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olors1.xml" ContentType="application/vnd.ms-office.chartcolorstyle+xml"/>
  <Override PartName="/xl/charts/style1.xml" ContentType="application/vnd.ms-office.chartstyle+xml"/>
  <Override PartName="/xl/charts/chart1.xml" ContentType="application/vnd.openxmlformats-officedocument.drawingml.char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comments3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omments2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1.xml" ContentType="application/vnd.openxmlformats-officedocument.spreadsheetml.comment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 defaultThemeVersion="153222"/>
  <mc:AlternateContent xmlns:mc="http://schemas.openxmlformats.org/markup-compatibility/2006">
    <mc:Choice Requires="x15">
      <x15ac:absPath xmlns:x15ac="http://schemas.microsoft.com/office/spreadsheetml/2010/11/ac" url="C:\01 - RRZ\02 - Materialy\03 - Priprava materialov\05 - WP\Zakladny scenar\"/>
    </mc:Choice>
  </mc:AlternateContent>
  <bookViews>
    <workbookView xWindow="0" yWindow="0" windowWidth="28800" windowHeight="12435" tabRatio="842"/>
  </bookViews>
  <sheets>
    <sheet name="uvod" sheetId="18" r:id="rId1"/>
    <sheet name="vystup_ESA95_SDcast" sheetId="15" r:id="rId2"/>
    <sheet name="vystup_ZS2013" sheetId="17" r:id="rId3"/>
    <sheet name="SD_prognozy" sheetId="2" r:id="rId4"/>
    <sheet name="DD_projekcie" sheetId="1" r:id="rId5"/>
    <sheet name="uroky" sheetId="11" r:id="rId6"/>
    <sheet name="EU_fondy" sheetId="4" r:id="rId7"/>
    <sheet name="pravidla_SDcast" sheetId="7" r:id="rId8"/>
    <sheet name="indexy_SDcast" sheetId="13" r:id="rId9"/>
    <sheet name="EKRK_rozdelenie_podpoloziek" sheetId="3" r:id="rId10"/>
    <sheet name="SDcast" sheetId="12" r:id="rId11"/>
    <sheet name="sumarizacia" sheetId="16" r:id="rId12"/>
    <sheet name="data" sheetId="9" r:id="rId13"/>
    <sheet name="ciselnik_pravidiel" sheetId="5" r:id="rId1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6" i="11" l="1"/>
  <c r="N35" i="11"/>
  <c r="O5" i="11"/>
  <c r="P5" i="11"/>
  <c r="Q5" i="11"/>
  <c r="R5" i="11"/>
  <c r="O6" i="11"/>
  <c r="N17" i="11"/>
  <c r="C33" i="3"/>
  <c r="C34" i="3"/>
  <c r="C35" i="3"/>
  <c r="F179" i="16"/>
  <c r="E179" i="16"/>
  <c r="D179" i="16"/>
  <c r="C179" i="16"/>
  <c r="B179" i="16"/>
  <c r="B3" i="13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111" i="13"/>
  <c r="B112" i="13"/>
  <c r="B113" i="13"/>
  <c r="B114" i="13"/>
  <c r="B115" i="13"/>
  <c r="B116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131" i="13"/>
  <c r="B132" i="13"/>
  <c r="B133" i="13"/>
  <c r="B134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7" i="13"/>
  <c r="B198" i="13"/>
  <c r="B199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312" i="13"/>
  <c r="B313" i="13"/>
  <c r="B314" i="13"/>
  <c r="B315" i="13"/>
  <c r="B316" i="13"/>
  <c r="B317" i="13"/>
  <c r="B318" i="13"/>
  <c r="B319" i="13"/>
  <c r="B320" i="13"/>
  <c r="B321" i="13"/>
  <c r="B322" i="13"/>
  <c r="B323" i="13"/>
  <c r="B324" i="13"/>
  <c r="B325" i="13"/>
  <c r="B326" i="13"/>
  <c r="B327" i="13"/>
  <c r="B328" i="13"/>
  <c r="B329" i="13"/>
  <c r="B330" i="13"/>
  <c r="B331" i="13"/>
  <c r="B332" i="13"/>
  <c r="B333" i="13"/>
  <c r="B334" i="13"/>
  <c r="B335" i="13"/>
  <c r="B336" i="13"/>
  <c r="B337" i="13"/>
  <c r="B338" i="13"/>
  <c r="B339" i="13"/>
  <c r="B340" i="13"/>
  <c r="B341" i="13"/>
  <c r="B342" i="13"/>
  <c r="B343" i="13"/>
  <c r="B344" i="13"/>
  <c r="B345" i="13"/>
  <c r="B34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395" i="13"/>
  <c r="B396" i="13"/>
  <c r="B397" i="13"/>
  <c r="B398" i="13"/>
  <c r="B399" i="13"/>
  <c r="B400" i="13"/>
  <c r="B401" i="13"/>
  <c r="B402" i="13"/>
  <c r="B403" i="13"/>
  <c r="B404" i="13"/>
  <c r="B405" i="13"/>
  <c r="B406" i="13"/>
  <c r="B407" i="13"/>
  <c r="B408" i="13"/>
  <c r="B409" i="13"/>
  <c r="B410" i="13"/>
  <c r="B411" i="13"/>
  <c r="B412" i="13"/>
  <c r="B413" i="13"/>
  <c r="B414" i="13"/>
  <c r="B415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446" i="13"/>
  <c r="B447" i="13"/>
  <c r="B448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473" i="13"/>
  <c r="B474" i="13"/>
  <c r="B475" i="13"/>
  <c r="B476" i="13"/>
  <c r="B477" i="13"/>
  <c r="B478" i="13"/>
  <c r="B479" i="13"/>
  <c r="B480" i="13"/>
  <c r="B481" i="13"/>
  <c r="B482" i="13"/>
  <c r="B483" i="13"/>
  <c r="B484" i="13"/>
  <c r="B485" i="13"/>
  <c r="B486" i="13"/>
  <c r="B487" i="13"/>
  <c r="B488" i="13"/>
  <c r="B489" i="13"/>
  <c r="B490" i="13"/>
  <c r="B491" i="13"/>
  <c r="B492" i="13"/>
  <c r="B493" i="13"/>
  <c r="B494" i="13"/>
  <c r="B495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528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1550" i="12"/>
  <c r="E1550" i="12"/>
  <c r="H1550" i="12"/>
  <c r="K1550" i="12"/>
  <c r="N1550" i="12"/>
  <c r="U1550" i="12"/>
  <c r="P1548" i="12"/>
  <c r="D3" i="3" l="1"/>
  <c r="D2" i="3" s="1"/>
  <c r="D14" i="3"/>
  <c r="D17" i="3"/>
  <c r="D23" i="3"/>
  <c r="D26" i="3"/>
  <c r="D31" i="3"/>
  <c r="D32" i="3" s="1"/>
  <c r="D43" i="3"/>
  <c r="D46" i="3"/>
  <c r="D50" i="3"/>
  <c r="D54" i="3"/>
  <c r="D57" i="3"/>
  <c r="D60" i="3"/>
  <c r="C13" i="4"/>
  <c r="D13" i="4"/>
  <c r="E13" i="4"/>
  <c r="F13" i="4"/>
  <c r="G13" i="4"/>
  <c r="D11" i="11" l="1"/>
  <c r="E11" i="11" s="1"/>
  <c r="F11" i="11" s="1"/>
  <c r="G11" i="11" s="1"/>
  <c r="H11" i="11" s="1"/>
  <c r="I11" i="11" s="1"/>
  <c r="J11" i="11" s="1"/>
  <c r="K11" i="11" s="1"/>
  <c r="L11" i="11" s="1"/>
  <c r="E42" i="1" l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E12" i="1"/>
  <c r="G23" i="2"/>
  <c r="K23" i="2" s="1"/>
  <c r="G36" i="2"/>
  <c r="K36" i="2" s="1"/>
  <c r="G59" i="2"/>
  <c r="K59" i="2" s="1"/>
  <c r="G82" i="2"/>
  <c r="K82" i="2" s="1"/>
  <c r="G91" i="2"/>
  <c r="H91" i="2" s="1"/>
  <c r="I91" i="2" s="1"/>
  <c r="J91" i="2" s="1"/>
  <c r="H23" i="2" l="1"/>
  <c r="H36" i="2"/>
  <c r="H59" i="2"/>
  <c r="H82" i="2"/>
  <c r="J4" i="16"/>
  <c r="I60" i="1"/>
  <c r="L23" i="2" l="1"/>
  <c r="I23" i="2"/>
  <c r="L36" i="2"/>
  <c r="I36" i="2"/>
  <c r="I59" i="2"/>
  <c r="L59" i="2"/>
  <c r="L82" i="2"/>
  <c r="I82" i="2"/>
  <c r="H34" i="17"/>
  <c r="I34" i="17" s="1"/>
  <c r="J34" i="17" s="1"/>
  <c r="K34" i="17" s="1"/>
  <c r="L34" i="17" s="1"/>
  <c r="M34" i="17" s="1"/>
  <c r="N34" i="17" s="1"/>
  <c r="O34" i="17" s="1"/>
  <c r="P34" i="17" s="1"/>
  <c r="Q34" i="17" s="1"/>
  <c r="R34" i="17" s="1"/>
  <c r="S34" i="17" s="1"/>
  <c r="T34" i="17" s="1"/>
  <c r="U34" i="17" s="1"/>
  <c r="V34" i="17" s="1"/>
  <c r="W34" i="17" s="1"/>
  <c r="X34" i="17" s="1"/>
  <c r="Y34" i="17" s="1"/>
  <c r="Z34" i="17" s="1"/>
  <c r="AA34" i="17" s="1"/>
  <c r="AB34" i="17" s="1"/>
  <c r="AC34" i="17" s="1"/>
  <c r="AD34" i="17" s="1"/>
  <c r="AE34" i="17" s="1"/>
  <c r="AF34" i="17" s="1"/>
  <c r="AG34" i="17" s="1"/>
  <c r="AH34" i="17" s="1"/>
  <c r="AI34" i="17" s="1"/>
  <c r="AJ34" i="17" s="1"/>
  <c r="AK34" i="17" s="1"/>
  <c r="AL34" i="17" s="1"/>
  <c r="AM34" i="17" s="1"/>
  <c r="AN34" i="17" s="1"/>
  <c r="AO34" i="17" s="1"/>
  <c r="AP34" i="17" s="1"/>
  <c r="AQ34" i="17" s="1"/>
  <c r="AR34" i="17" s="1"/>
  <c r="AS34" i="17" s="1"/>
  <c r="AT34" i="17" s="1"/>
  <c r="AU34" i="17" s="1"/>
  <c r="AV34" i="17" s="1"/>
  <c r="AW34" i="17" s="1"/>
  <c r="AX34" i="17" s="1"/>
  <c r="AY34" i="17" s="1"/>
  <c r="AZ34" i="17" s="1"/>
  <c r="BA34" i="17" s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F54" i="1"/>
  <c r="M23" i="2" l="1"/>
  <c r="J23" i="2"/>
  <c r="N23" i="2" s="1"/>
  <c r="M36" i="2"/>
  <c r="J36" i="2"/>
  <c r="N36" i="2" s="1"/>
  <c r="M59" i="2"/>
  <c r="J59" i="2"/>
  <c r="N59" i="2" s="1"/>
  <c r="M82" i="2"/>
  <c r="J82" i="2"/>
  <c r="N82" i="2" s="1"/>
  <c r="T42" i="16" l="1"/>
  <c r="S42" i="16"/>
  <c r="N42" i="15"/>
  <c r="K15" i="16"/>
  <c r="L15" i="16"/>
  <c r="M15" i="16"/>
  <c r="N15" i="16"/>
  <c r="C27" i="17" l="1"/>
  <c r="B27" i="17" l="1"/>
  <c r="C26" i="17"/>
  <c r="J51" i="16"/>
  <c r="K1265" i="12"/>
  <c r="N1265" i="12" s="1"/>
  <c r="U1265" i="12" s="1"/>
  <c r="H1264" i="12"/>
  <c r="K1264" i="12" s="1"/>
  <c r="H1310" i="12"/>
  <c r="K1310" i="12" s="1"/>
  <c r="K1317" i="12"/>
  <c r="N1317" i="12" s="1"/>
  <c r="U1317" i="12" s="1"/>
  <c r="M1317" i="12"/>
  <c r="T1317" i="12" s="1"/>
  <c r="F9" i="9"/>
  <c r="G9" i="9"/>
  <c r="H9" i="9"/>
  <c r="E9" i="9"/>
  <c r="B26" i="17" l="1"/>
  <c r="F28" i="3"/>
  <c r="G28" i="3" s="1"/>
  <c r="H28" i="3" s="1"/>
  <c r="I28" i="3" s="1"/>
  <c r="H1082" i="12"/>
  <c r="E51" i="3"/>
  <c r="E54" i="3" s="1"/>
  <c r="E58" i="3"/>
  <c r="E55" i="3"/>
  <c r="E20" i="3"/>
  <c r="E29" i="3"/>
  <c r="E11" i="3"/>
  <c r="H17" i="1" l="1"/>
  <c r="L17" i="1"/>
  <c r="P17" i="1"/>
  <c r="T17" i="1"/>
  <c r="Z17" i="1"/>
  <c r="AB17" i="1"/>
  <c r="AF17" i="1"/>
  <c r="AH17" i="1"/>
  <c r="AN17" i="1"/>
  <c r="AR17" i="1"/>
  <c r="AV17" i="1"/>
  <c r="AZ17" i="1"/>
  <c r="AW17" i="1"/>
  <c r="AO17" i="1"/>
  <c r="AG17" i="1"/>
  <c r="Y17" i="1"/>
  <c r="Q17" i="1"/>
  <c r="I17" i="1"/>
  <c r="E17" i="1"/>
  <c r="X17" i="1"/>
  <c r="AJ17" i="1"/>
  <c r="F17" i="1"/>
  <c r="J17" i="1"/>
  <c r="M17" i="1"/>
  <c r="N17" i="1"/>
  <c r="R17" i="1"/>
  <c r="U17" i="1"/>
  <c r="V17" i="1"/>
  <c r="AC17" i="1"/>
  <c r="AD17" i="1"/>
  <c r="AK17" i="1"/>
  <c r="AL17" i="1"/>
  <c r="AP17" i="1"/>
  <c r="AS17" i="1"/>
  <c r="AT17" i="1"/>
  <c r="AX17" i="1"/>
  <c r="BA17" i="1"/>
  <c r="BB17" i="1"/>
  <c r="AY17" i="1" l="1"/>
  <c r="AQ17" i="1"/>
  <c r="AI17" i="1"/>
  <c r="AA17" i="1"/>
  <c r="S17" i="1"/>
  <c r="BC17" i="1"/>
  <c r="AU17" i="1"/>
  <c r="AM17" i="1"/>
  <c r="AE17" i="1"/>
  <c r="W17" i="1"/>
  <c r="O17" i="1"/>
  <c r="G17" i="1"/>
  <c r="K17" i="1"/>
  <c r="D18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AG18" i="17"/>
  <c r="AH18" i="17"/>
  <c r="AI18" i="17"/>
  <c r="AJ18" i="17"/>
  <c r="AK18" i="17"/>
  <c r="AL18" i="17"/>
  <c r="AM18" i="17"/>
  <c r="AN18" i="17"/>
  <c r="AO18" i="17"/>
  <c r="AP18" i="17"/>
  <c r="AQ18" i="17"/>
  <c r="AR18" i="17"/>
  <c r="AS18" i="17"/>
  <c r="AT18" i="17"/>
  <c r="AU18" i="17"/>
  <c r="AV18" i="17"/>
  <c r="AW18" i="17"/>
  <c r="AX18" i="17"/>
  <c r="AY18" i="17"/>
  <c r="AZ18" i="17"/>
  <c r="BA18" i="17"/>
  <c r="C18" i="17"/>
  <c r="D24" i="17"/>
  <c r="E24" i="17"/>
  <c r="F24" i="17"/>
  <c r="G24" i="17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U24" i="17"/>
  <c r="V24" i="17"/>
  <c r="W24" i="17"/>
  <c r="X24" i="17"/>
  <c r="Y24" i="17"/>
  <c r="Z24" i="17"/>
  <c r="AA24" i="17"/>
  <c r="AB24" i="17"/>
  <c r="AC24" i="17"/>
  <c r="AD24" i="17"/>
  <c r="AE24" i="17"/>
  <c r="AF24" i="17"/>
  <c r="AG24" i="17"/>
  <c r="AH24" i="17"/>
  <c r="AI24" i="17"/>
  <c r="AJ24" i="17"/>
  <c r="AK24" i="17"/>
  <c r="AL24" i="17"/>
  <c r="AM24" i="17"/>
  <c r="AN24" i="17"/>
  <c r="AO24" i="17"/>
  <c r="AP24" i="17"/>
  <c r="AQ24" i="17"/>
  <c r="AR24" i="17"/>
  <c r="AS24" i="17"/>
  <c r="AT24" i="17"/>
  <c r="AU24" i="17"/>
  <c r="AV24" i="17"/>
  <c r="AW24" i="17"/>
  <c r="AX24" i="17"/>
  <c r="AY24" i="17"/>
  <c r="AZ24" i="17"/>
  <c r="BA24" i="17"/>
  <c r="C24" i="17"/>
  <c r="D25" i="17"/>
  <c r="E25" i="17"/>
  <c r="F25" i="17"/>
  <c r="G25" i="17"/>
  <c r="H25" i="17"/>
  <c r="I25" i="17"/>
  <c r="J25" i="17"/>
  <c r="K25" i="17"/>
  <c r="L25" i="17"/>
  <c r="M25" i="17"/>
  <c r="N25" i="17"/>
  <c r="O25" i="17"/>
  <c r="P25" i="17"/>
  <c r="Q25" i="17"/>
  <c r="R25" i="17"/>
  <c r="S25" i="17"/>
  <c r="T25" i="17"/>
  <c r="U25" i="17"/>
  <c r="V25" i="17"/>
  <c r="W25" i="17"/>
  <c r="X25" i="17"/>
  <c r="Y25" i="17"/>
  <c r="Z25" i="17"/>
  <c r="AA25" i="17"/>
  <c r="AB25" i="17"/>
  <c r="AC25" i="17"/>
  <c r="AD25" i="17"/>
  <c r="AE25" i="17"/>
  <c r="AF25" i="17"/>
  <c r="AG25" i="17"/>
  <c r="AH25" i="17"/>
  <c r="AI25" i="17"/>
  <c r="AJ25" i="17"/>
  <c r="AK25" i="17"/>
  <c r="AL25" i="17"/>
  <c r="AM25" i="17"/>
  <c r="AN25" i="17"/>
  <c r="AO25" i="17"/>
  <c r="AP25" i="17"/>
  <c r="AQ25" i="17"/>
  <c r="AR25" i="17"/>
  <c r="AS25" i="17"/>
  <c r="AT25" i="17"/>
  <c r="AU25" i="17"/>
  <c r="AV25" i="17"/>
  <c r="AW25" i="17"/>
  <c r="AX25" i="17"/>
  <c r="AY25" i="17"/>
  <c r="AZ25" i="17"/>
  <c r="BA25" i="17"/>
  <c r="C25" i="17"/>
  <c r="B25" i="17"/>
  <c r="D11" i="17"/>
  <c r="E11" i="17"/>
  <c r="F11" i="17"/>
  <c r="G11" i="17"/>
  <c r="H11" i="17"/>
  <c r="I11" i="17"/>
  <c r="J11" i="17"/>
  <c r="K11" i="17"/>
  <c r="L11" i="17"/>
  <c r="M11" i="17"/>
  <c r="N11" i="17"/>
  <c r="O11" i="17"/>
  <c r="P11" i="17"/>
  <c r="Q11" i="17"/>
  <c r="R11" i="17"/>
  <c r="S11" i="17"/>
  <c r="T11" i="17"/>
  <c r="U11" i="17"/>
  <c r="V11" i="17"/>
  <c r="W11" i="17"/>
  <c r="X11" i="17"/>
  <c r="Y11" i="17"/>
  <c r="Z11" i="17"/>
  <c r="AA11" i="17"/>
  <c r="AB11" i="17"/>
  <c r="AC11" i="17"/>
  <c r="AD11" i="17"/>
  <c r="AE11" i="17"/>
  <c r="AF11" i="17"/>
  <c r="AG11" i="17"/>
  <c r="AH11" i="17"/>
  <c r="AI11" i="17"/>
  <c r="AJ11" i="17"/>
  <c r="AK11" i="17"/>
  <c r="AL11" i="17"/>
  <c r="AM11" i="17"/>
  <c r="AN11" i="17"/>
  <c r="AO11" i="17"/>
  <c r="AP11" i="17"/>
  <c r="AQ11" i="17"/>
  <c r="AR11" i="17"/>
  <c r="AS11" i="17"/>
  <c r="AT11" i="17"/>
  <c r="AU11" i="17"/>
  <c r="AV11" i="17"/>
  <c r="AW11" i="17"/>
  <c r="AX11" i="17"/>
  <c r="AY11" i="17"/>
  <c r="AZ11" i="17"/>
  <c r="BA11" i="17"/>
  <c r="C11" i="17"/>
  <c r="D6" i="17"/>
  <c r="E6" i="17"/>
  <c r="F6" i="17"/>
  <c r="G6" i="17"/>
  <c r="H6" i="17"/>
  <c r="I6" i="17"/>
  <c r="J6" i="17"/>
  <c r="K6" i="17"/>
  <c r="L6" i="17"/>
  <c r="M6" i="17"/>
  <c r="N6" i="17"/>
  <c r="O6" i="17"/>
  <c r="P6" i="17"/>
  <c r="Q6" i="17"/>
  <c r="R6" i="17"/>
  <c r="S6" i="17"/>
  <c r="T6" i="17"/>
  <c r="U6" i="17"/>
  <c r="V6" i="17"/>
  <c r="W6" i="17"/>
  <c r="X6" i="17"/>
  <c r="Y6" i="17"/>
  <c r="Z6" i="17"/>
  <c r="AA6" i="17"/>
  <c r="AB6" i="17"/>
  <c r="AC6" i="17"/>
  <c r="AD6" i="17"/>
  <c r="AE6" i="17"/>
  <c r="AF6" i="17"/>
  <c r="AG6" i="17"/>
  <c r="AH6" i="17"/>
  <c r="AI6" i="17"/>
  <c r="AJ6" i="17"/>
  <c r="AK6" i="17"/>
  <c r="AL6" i="17"/>
  <c r="AM6" i="17"/>
  <c r="AN6" i="17"/>
  <c r="AO6" i="17"/>
  <c r="AP6" i="17"/>
  <c r="AQ6" i="17"/>
  <c r="AR6" i="17"/>
  <c r="AS6" i="17"/>
  <c r="AT6" i="17"/>
  <c r="AU6" i="17"/>
  <c r="AV6" i="17"/>
  <c r="AW6" i="17"/>
  <c r="AX6" i="17"/>
  <c r="AY6" i="17"/>
  <c r="AZ6" i="17"/>
  <c r="BA6" i="17"/>
  <c r="C6" i="17"/>
  <c r="H2" i="17"/>
  <c r="I2" i="17" s="1"/>
  <c r="J2" i="17" s="1"/>
  <c r="K2" i="17" s="1"/>
  <c r="L2" i="17" s="1"/>
  <c r="M2" i="17" s="1"/>
  <c r="N2" i="17" s="1"/>
  <c r="O2" i="17" s="1"/>
  <c r="P2" i="17" s="1"/>
  <c r="Q2" i="17" s="1"/>
  <c r="R2" i="17" s="1"/>
  <c r="S2" i="17" s="1"/>
  <c r="T2" i="17" s="1"/>
  <c r="U2" i="17" s="1"/>
  <c r="V2" i="17" s="1"/>
  <c r="W2" i="17" s="1"/>
  <c r="X2" i="17" s="1"/>
  <c r="Y2" i="17" s="1"/>
  <c r="Z2" i="17" s="1"/>
  <c r="AA2" i="17" s="1"/>
  <c r="AB2" i="17" s="1"/>
  <c r="AC2" i="17" s="1"/>
  <c r="AD2" i="17" s="1"/>
  <c r="AE2" i="17" s="1"/>
  <c r="AF2" i="17" s="1"/>
  <c r="AG2" i="17" s="1"/>
  <c r="AH2" i="17" s="1"/>
  <c r="AI2" i="17" s="1"/>
  <c r="AJ2" i="17" s="1"/>
  <c r="AK2" i="17" s="1"/>
  <c r="AL2" i="17" s="1"/>
  <c r="AM2" i="17" s="1"/>
  <c r="AN2" i="17" s="1"/>
  <c r="AO2" i="17" s="1"/>
  <c r="AP2" i="17" s="1"/>
  <c r="AQ2" i="17" s="1"/>
  <c r="AR2" i="17" s="1"/>
  <c r="AS2" i="17" s="1"/>
  <c r="AT2" i="17" s="1"/>
  <c r="AU2" i="17" s="1"/>
  <c r="AV2" i="17" s="1"/>
  <c r="AW2" i="17" s="1"/>
  <c r="AX2" i="17" s="1"/>
  <c r="AY2" i="17" s="1"/>
  <c r="AZ2" i="17" s="1"/>
  <c r="BA2" i="17" s="1"/>
  <c r="C10" i="15"/>
  <c r="B12" i="17" s="1"/>
  <c r="F7" i="15"/>
  <c r="G7" i="15"/>
  <c r="H12" i="15"/>
  <c r="F17" i="15"/>
  <c r="G17" i="15"/>
  <c r="C26" i="15"/>
  <c r="C25" i="15"/>
  <c r="C24" i="15"/>
  <c r="C23" i="15"/>
  <c r="C22" i="15"/>
  <c r="B28" i="17" s="1"/>
  <c r="C21" i="15"/>
  <c r="C20" i="15"/>
  <c r="C19" i="15"/>
  <c r="C18" i="15"/>
  <c r="C17" i="15"/>
  <c r="C16" i="15"/>
  <c r="C15" i="15"/>
  <c r="C14" i="15"/>
  <c r="C12" i="15"/>
  <c r="C11" i="15"/>
  <c r="C9" i="15"/>
  <c r="C8" i="15"/>
  <c r="C7" i="15"/>
  <c r="C6" i="15"/>
  <c r="B5" i="17" s="1"/>
  <c r="C5" i="15"/>
  <c r="C4" i="15"/>
  <c r="T43" i="16"/>
  <c r="U43" i="16"/>
  <c r="S11" i="16"/>
  <c r="Q4" i="16"/>
  <c r="Q60" i="16" s="1"/>
  <c r="R4" i="16"/>
  <c r="U4" i="16"/>
  <c r="V4" i="16"/>
  <c r="Q5" i="16"/>
  <c r="S5" i="16"/>
  <c r="T5" i="16"/>
  <c r="U5" i="16"/>
  <c r="Q6" i="16"/>
  <c r="Q7" i="16"/>
  <c r="S7" i="16"/>
  <c r="T7" i="16"/>
  <c r="Q8" i="16"/>
  <c r="T8" i="16"/>
  <c r="U8" i="16"/>
  <c r="V8" i="16"/>
  <c r="Q9" i="16"/>
  <c r="S9" i="16"/>
  <c r="T9" i="16"/>
  <c r="Q10" i="16"/>
  <c r="V10" i="16"/>
  <c r="H16" i="15" s="1"/>
  <c r="Q11" i="16"/>
  <c r="Q12" i="16"/>
  <c r="V12" i="16"/>
  <c r="Q13" i="16"/>
  <c r="S13" i="16"/>
  <c r="T13" i="16"/>
  <c r="Q14" i="16"/>
  <c r="T14" i="16"/>
  <c r="F9" i="15" s="1"/>
  <c r="U14" i="16"/>
  <c r="G9" i="15" s="1"/>
  <c r="V14" i="16"/>
  <c r="H9" i="15" s="1"/>
  <c r="Q15" i="16"/>
  <c r="Q16" i="16"/>
  <c r="S16" i="16"/>
  <c r="T16" i="16"/>
  <c r="Q17" i="16"/>
  <c r="T17" i="16"/>
  <c r="U17" i="16"/>
  <c r="V17" i="16"/>
  <c r="Q18" i="16"/>
  <c r="Q19" i="16"/>
  <c r="T19" i="16"/>
  <c r="Q20" i="16"/>
  <c r="Q21" i="16"/>
  <c r="T21" i="16"/>
  <c r="Q22" i="16"/>
  <c r="S22" i="16"/>
  <c r="T22" i="16"/>
  <c r="Q23" i="16"/>
  <c r="T23" i="16"/>
  <c r="U23" i="16"/>
  <c r="V23" i="16"/>
  <c r="Q24" i="16"/>
  <c r="Q25" i="16"/>
  <c r="T25" i="16"/>
  <c r="Q26" i="16"/>
  <c r="S26" i="16"/>
  <c r="T26" i="16"/>
  <c r="Q27" i="16"/>
  <c r="T27" i="16"/>
  <c r="U27" i="16"/>
  <c r="V27" i="16"/>
  <c r="H7" i="15" s="1"/>
  <c r="Q28" i="16"/>
  <c r="R28" i="16"/>
  <c r="Q29" i="16"/>
  <c r="T29" i="16"/>
  <c r="Q30" i="16"/>
  <c r="Q31" i="16"/>
  <c r="T31" i="16"/>
  <c r="F19" i="15" s="1"/>
  <c r="U31" i="16"/>
  <c r="G19" i="15" s="1"/>
  <c r="V31" i="16"/>
  <c r="H19" i="15" s="1"/>
  <c r="Q32" i="16"/>
  <c r="Q33" i="16"/>
  <c r="T33" i="16"/>
  <c r="F11" i="15" s="1"/>
  <c r="Q34" i="16"/>
  <c r="S34" i="16"/>
  <c r="T34" i="16"/>
  <c r="Q35" i="16"/>
  <c r="T35" i="16"/>
  <c r="U35" i="16"/>
  <c r="V35" i="16"/>
  <c r="Q36" i="16"/>
  <c r="Q37" i="16"/>
  <c r="Q38" i="16"/>
  <c r="S38" i="16"/>
  <c r="T38" i="16"/>
  <c r="Q39" i="16"/>
  <c r="V39" i="16"/>
  <c r="Q40" i="16"/>
  <c r="Q41" i="16"/>
  <c r="Q42" i="16"/>
  <c r="Q43" i="16"/>
  <c r="Q44" i="16"/>
  <c r="S44" i="16"/>
  <c r="T44" i="16"/>
  <c r="Q45" i="16"/>
  <c r="V45" i="16"/>
  <c r="Q46" i="16"/>
  <c r="Q47" i="16"/>
  <c r="Q48" i="16"/>
  <c r="S48" i="16"/>
  <c r="T48" i="16"/>
  <c r="U48" i="16"/>
  <c r="G8" i="15" s="1"/>
  <c r="V48" i="16"/>
  <c r="Q49" i="16"/>
  <c r="U49" i="16"/>
  <c r="V49" i="16"/>
  <c r="Q50" i="16"/>
  <c r="Q51" i="16"/>
  <c r="R51" i="16"/>
  <c r="D15" i="15" s="1"/>
  <c r="T51" i="16"/>
  <c r="F15" i="15" s="1"/>
  <c r="Q52" i="16"/>
  <c r="S52" i="16"/>
  <c r="T52" i="16"/>
  <c r="U52" i="16"/>
  <c r="Q53" i="16"/>
  <c r="T53" i="16"/>
  <c r="U53" i="16"/>
  <c r="V53" i="16"/>
  <c r="Q54" i="16"/>
  <c r="V54" i="16"/>
  <c r="Q55" i="16"/>
  <c r="T55" i="16"/>
  <c r="Q56" i="16"/>
  <c r="S56" i="16"/>
  <c r="T56" i="16"/>
  <c r="Q57" i="16"/>
  <c r="T57" i="16"/>
  <c r="U57" i="16"/>
  <c r="V57" i="16"/>
  <c r="Q58" i="16"/>
  <c r="Q59" i="16"/>
  <c r="R59" i="16"/>
  <c r="T59" i="16"/>
  <c r="S3" i="16"/>
  <c r="T3" i="16"/>
  <c r="U3" i="16"/>
  <c r="G14" i="15" s="1"/>
  <c r="Q3" i="16"/>
  <c r="I60" i="16"/>
  <c r="K3" i="16"/>
  <c r="L3" i="16"/>
  <c r="M3" i="16"/>
  <c r="N3" i="16"/>
  <c r="V3" i="16" s="1"/>
  <c r="K4" i="16"/>
  <c r="S4" i="16" s="1"/>
  <c r="L4" i="16"/>
  <c r="T4" i="16" s="1"/>
  <c r="M4" i="16"/>
  <c r="N4" i="16"/>
  <c r="K5" i="16"/>
  <c r="L5" i="16"/>
  <c r="M5" i="16"/>
  <c r="N5" i="16"/>
  <c r="V5" i="16" s="1"/>
  <c r="K6" i="16"/>
  <c r="S6" i="16" s="1"/>
  <c r="L6" i="16"/>
  <c r="T6" i="16" s="1"/>
  <c r="M6" i="16"/>
  <c r="U6" i="16" s="1"/>
  <c r="N6" i="16"/>
  <c r="V6" i="16" s="1"/>
  <c r="K7" i="16"/>
  <c r="L7" i="16"/>
  <c r="M7" i="16"/>
  <c r="U7" i="16" s="1"/>
  <c r="N7" i="16"/>
  <c r="V7" i="16" s="1"/>
  <c r="K8" i="16"/>
  <c r="S8" i="16" s="1"/>
  <c r="L8" i="16"/>
  <c r="M8" i="16"/>
  <c r="N8" i="16"/>
  <c r="K9" i="16"/>
  <c r="L9" i="16"/>
  <c r="M9" i="16"/>
  <c r="U9" i="16" s="1"/>
  <c r="N9" i="16"/>
  <c r="V9" i="16" s="1"/>
  <c r="K10" i="16"/>
  <c r="S10" i="16" s="1"/>
  <c r="E16" i="15" s="1"/>
  <c r="L10" i="16"/>
  <c r="T10" i="16" s="1"/>
  <c r="F16" i="15" s="1"/>
  <c r="M10" i="16"/>
  <c r="U10" i="16" s="1"/>
  <c r="G16" i="15" s="1"/>
  <c r="N10" i="16"/>
  <c r="K11" i="16"/>
  <c r="L11" i="16"/>
  <c r="T11" i="16" s="1"/>
  <c r="M11" i="16"/>
  <c r="U11" i="16" s="1"/>
  <c r="N11" i="16"/>
  <c r="V11" i="16" s="1"/>
  <c r="K12" i="16"/>
  <c r="S12" i="16" s="1"/>
  <c r="E21" i="15" s="1"/>
  <c r="L12" i="16"/>
  <c r="T12" i="16" s="1"/>
  <c r="M12" i="16"/>
  <c r="U12" i="16" s="1"/>
  <c r="N12" i="16"/>
  <c r="K13" i="16"/>
  <c r="L13" i="16"/>
  <c r="M13" i="16"/>
  <c r="U13" i="16" s="1"/>
  <c r="G21" i="15" s="1"/>
  <c r="N13" i="16"/>
  <c r="V13" i="16" s="1"/>
  <c r="H21" i="15" s="1"/>
  <c r="K14" i="16"/>
  <c r="S14" i="16" s="1"/>
  <c r="E9" i="15" s="1"/>
  <c r="L14" i="16"/>
  <c r="M14" i="16"/>
  <c r="N14" i="16"/>
  <c r="K16" i="16"/>
  <c r="L16" i="16"/>
  <c r="M16" i="16"/>
  <c r="U16" i="16" s="1"/>
  <c r="G10" i="15" s="1"/>
  <c r="H55" i="1" s="1"/>
  <c r="N16" i="16"/>
  <c r="V16" i="16" s="1"/>
  <c r="K17" i="16"/>
  <c r="S17" i="16" s="1"/>
  <c r="L17" i="16"/>
  <c r="M17" i="16"/>
  <c r="N17" i="16"/>
  <c r="K18" i="16"/>
  <c r="S18" i="16" s="1"/>
  <c r="L18" i="16"/>
  <c r="T18" i="16" s="1"/>
  <c r="M18" i="16"/>
  <c r="U18" i="16" s="1"/>
  <c r="N18" i="16"/>
  <c r="V18" i="16" s="1"/>
  <c r="K19" i="16"/>
  <c r="S19" i="16" s="1"/>
  <c r="E17" i="15" s="1"/>
  <c r="L19" i="16"/>
  <c r="M19" i="16"/>
  <c r="U19" i="16" s="1"/>
  <c r="N19" i="16"/>
  <c r="V19" i="16" s="1"/>
  <c r="H17" i="15" s="1"/>
  <c r="K20" i="16"/>
  <c r="L20" i="16"/>
  <c r="M20" i="16"/>
  <c r="N20" i="16"/>
  <c r="V20" i="16" s="1"/>
  <c r="H5" i="15" s="1"/>
  <c r="K21" i="16"/>
  <c r="S21" i="16" s="1"/>
  <c r="L21" i="16"/>
  <c r="M21" i="16"/>
  <c r="U21" i="16" s="1"/>
  <c r="N21" i="16"/>
  <c r="V21" i="16" s="1"/>
  <c r="K22" i="16"/>
  <c r="L22" i="16"/>
  <c r="M22" i="16"/>
  <c r="U22" i="16" s="1"/>
  <c r="N22" i="16"/>
  <c r="V22" i="16" s="1"/>
  <c r="K23" i="16"/>
  <c r="S23" i="16" s="1"/>
  <c r="L23" i="16"/>
  <c r="M23" i="16"/>
  <c r="N23" i="16"/>
  <c r="K24" i="16"/>
  <c r="S24" i="16" s="1"/>
  <c r="L24" i="16"/>
  <c r="T24" i="16" s="1"/>
  <c r="M24" i="16"/>
  <c r="U24" i="16" s="1"/>
  <c r="N24" i="16"/>
  <c r="V24" i="16" s="1"/>
  <c r="K25" i="16"/>
  <c r="S25" i="16" s="1"/>
  <c r="L25" i="16"/>
  <c r="M25" i="16"/>
  <c r="U25" i="16" s="1"/>
  <c r="N25" i="16"/>
  <c r="V25" i="16" s="1"/>
  <c r="K26" i="16"/>
  <c r="L26" i="16"/>
  <c r="M26" i="16"/>
  <c r="U26" i="16" s="1"/>
  <c r="N26" i="16"/>
  <c r="V26" i="16" s="1"/>
  <c r="K27" i="16"/>
  <c r="S27" i="16" s="1"/>
  <c r="E7" i="15" s="1"/>
  <c r="L27" i="16"/>
  <c r="M27" i="16"/>
  <c r="N27" i="16"/>
  <c r="K28" i="16"/>
  <c r="S28" i="16" s="1"/>
  <c r="L28" i="16"/>
  <c r="T28" i="16" s="1"/>
  <c r="F18" i="15" s="1"/>
  <c r="M28" i="16"/>
  <c r="U28" i="16" s="1"/>
  <c r="G18" i="15" s="1"/>
  <c r="N28" i="16"/>
  <c r="V28" i="16" s="1"/>
  <c r="H18" i="15" s="1"/>
  <c r="K29" i="16"/>
  <c r="S29" i="16" s="1"/>
  <c r="L29" i="16"/>
  <c r="M29" i="16"/>
  <c r="U29" i="16" s="1"/>
  <c r="N29" i="16"/>
  <c r="V29" i="16" s="1"/>
  <c r="K30" i="16"/>
  <c r="S30" i="16" s="1"/>
  <c r="E20" i="15" s="1"/>
  <c r="L30" i="16"/>
  <c r="T30" i="16" s="1"/>
  <c r="F20" i="15" s="1"/>
  <c r="M30" i="16"/>
  <c r="U30" i="16" s="1"/>
  <c r="G20" i="15" s="1"/>
  <c r="N30" i="16"/>
  <c r="V30" i="16" s="1"/>
  <c r="H20" i="15" s="1"/>
  <c r="K31" i="16"/>
  <c r="S31" i="16" s="1"/>
  <c r="E19" i="15" s="1"/>
  <c r="L31" i="16"/>
  <c r="M31" i="16"/>
  <c r="N31" i="16"/>
  <c r="K32" i="16"/>
  <c r="S32" i="16" s="1"/>
  <c r="L32" i="16"/>
  <c r="T32" i="16" s="1"/>
  <c r="M32" i="16"/>
  <c r="U32" i="16" s="1"/>
  <c r="N32" i="16"/>
  <c r="V32" i="16" s="1"/>
  <c r="K33" i="16"/>
  <c r="S33" i="16" s="1"/>
  <c r="E11" i="15" s="1"/>
  <c r="L33" i="16"/>
  <c r="M33" i="16"/>
  <c r="U33" i="16" s="1"/>
  <c r="N33" i="16"/>
  <c r="V33" i="16" s="1"/>
  <c r="K34" i="16"/>
  <c r="L34" i="16"/>
  <c r="M34" i="16"/>
  <c r="U34" i="16" s="1"/>
  <c r="N34" i="16"/>
  <c r="V34" i="16" s="1"/>
  <c r="K35" i="16"/>
  <c r="S35" i="16" s="1"/>
  <c r="L35" i="16"/>
  <c r="M35" i="16"/>
  <c r="N35" i="16"/>
  <c r="K36" i="16"/>
  <c r="S36" i="16" s="1"/>
  <c r="L36" i="16"/>
  <c r="T36" i="16" s="1"/>
  <c r="M36" i="16"/>
  <c r="U36" i="16" s="1"/>
  <c r="N36" i="16"/>
  <c r="V36" i="16" s="1"/>
  <c r="K37" i="16"/>
  <c r="S37" i="16" s="1"/>
  <c r="L37" i="16"/>
  <c r="T37" i="16" s="1"/>
  <c r="M37" i="16"/>
  <c r="U37" i="16" s="1"/>
  <c r="N37" i="16"/>
  <c r="V37" i="16" s="1"/>
  <c r="K38" i="16"/>
  <c r="L38" i="16"/>
  <c r="M38" i="16"/>
  <c r="U38" i="16" s="1"/>
  <c r="N38" i="16"/>
  <c r="V38" i="16" s="1"/>
  <c r="K39" i="16"/>
  <c r="S39" i="16" s="1"/>
  <c r="L39" i="16"/>
  <c r="T39" i="16" s="1"/>
  <c r="F12" i="15" s="1"/>
  <c r="M39" i="16"/>
  <c r="U39" i="16" s="1"/>
  <c r="G12" i="15" s="1"/>
  <c r="N39" i="16"/>
  <c r="K40" i="16"/>
  <c r="S40" i="16" s="1"/>
  <c r="L40" i="16"/>
  <c r="T40" i="16" s="1"/>
  <c r="M40" i="16"/>
  <c r="U40" i="16" s="1"/>
  <c r="N40" i="16"/>
  <c r="V40" i="16" s="1"/>
  <c r="K41" i="16"/>
  <c r="S41" i="16" s="1"/>
  <c r="L41" i="16"/>
  <c r="T41" i="16" s="1"/>
  <c r="M41" i="16"/>
  <c r="U41" i="16" s="1"/>
  <c r="N41" i="16"/>
  <c r="V41" i="16" s="1"/>
  <c r="K42" i="16"/>
  <c r="L42" i="16"/>
  <c r="M42" i="16"/>
  <c r="U42" i="16" s="1"/>
  <c r="N42" i="16"/>
  <c r="V42" i="16" s="1"/>
  <c r="K43" i="16"/>
  <c r="S43" i="16" s="1"/>
  <c r="L43" i="16"/>
  <c r="M43" i="16"/>
  <c r="N43" i="16"/>
  <c r="V43" i="16" s="1"/>
  <c r="K44" i="16"/>
  <c r="L44" i="16"/>
  <c r="M44" i="16"/>
  <c r="U44" i="16" s="1"/>
  <c r="G26" i="15" s="1"/>
  <c r="N44" i="16"/>
  <c r="V44" i="16" s="1"/>
  <c r="K45" i="16"/>
  <c r="S45" i="16" s="1"/>
  <c r="L45" i="16"/>
  <c r="T45" i="16" s="1"/>
  <c r="M45" i="16"/>
  <c r="U45" i="16" s="1"/>
  <c r="N45" i="16"/>
  <c r="K46" i="16"/>
  <c r="S46" i="16" s="1"/>
  <c r="L46" i="16"/>
  <c r="T46" i="16" s="1"/>
  <c r="M46" i="16"/>
  <c r="U46" i="16" s="1"/>
  <c r="N46" i="16"/>
  <c r="V46" i="16" s="1"/>
  <c r="K47" i="16"/>
  <c r="S47" i="16" s="1"/>
  <c r="L47" i="16"/>
  <c r="T47" i="16" s="1"/>
  <c r="M47" i="16"/>
  <c r="U47" i="16" s="1"/>
  <c r="N47" i="16"/>
  <c r="V47" i="16" s="1"/>
  <c r="K48" i="16"/>
  <c r="L48" i="16"/>
  <c r="M48" i="16"/>
  <c r="N48" i="16"/>
  <c r="K49" i="16"/>
  <c r="S49" i="16" s="1"/>
  <c r="L49" i="16"/>
  <c r="T49" i="16" s="1"/>
  <c r="M49" i="16"/>
  <c r="N49" i="16"/>
  <c r="K50" i="16"/>
  <c r="S50" i="16" s="1"/>
  <c r="L50" i="16"/>
  <c r="T50" i="16" s="1"/>
  <c r="M50" i="16"/>
  <c r="U50" i="16" s="1"/>
  <c r="N50" i="16"/>
  <c r="V50" i="16" s="1"/>
  <c r="K51" i="16"/>
  <c r="S51" i="16" s="1"/>
  <c r="E15" i="15" s="1"/>
  <c r="L51" i="16"/>
  <c r="M51" i="16"/>
  <c r="U51" i="16" s="1"/>
  <c r="G15" i="15" s="1"/>
  <c r="N51" i="16"/>
  <c r="V51" i="16" s="1"/>
  <c r="H15" i="15" s="1"/>
  <c r="K52" i="16"/>
  <c r="L52" i="16"/>
  <c r="M52" i="16"/>
  <c r="N52" i="16"/>
  <c r="V52" i="16" s="1"/>
  <c r="K53" i="16"/>
  <c r="S53" i="16" s="1"/>
  <c r="L53" i="16"/>
  <c r="M53" i="16"/>
  <c r="N53" i="16"/>
  <c r="K54" i="16"/>
  <c r="S54" i="16" s="1"/>
  <c r="L54" i="16"/>
  <c r="T54" i="16" s="1"/>
  <c r="M54" i="16"/>
  <c r="U54" i="16" s="1"/>
  <c r="N54" i="16"/>
  <c r="K55" i="16"/>
  <c r="S55" i="16" s="1"/>
  <c r="L55" i="16"/>
  <c r="M55" i="16"/>
  <c r="U55" i="16" s="1"/>
  <c r="N55" i="16"/>
  <c r="V55" i="16" s="1"/>
  <c r="K56" i="16"/>
  <c r="L56" i="16"/>
  <c r="M56" i="16"/>
  <c r="U56" i="16" s="1"/>
  <c r="N56" i="16"/>
  <c r="V56" i="16" s="1"/>
  <c r="K57" i="16"/>
  <c r="S57" i="16" s="1"/>
  <c r="L57" i="16"/>
  <c r="M57" i="16"/>
  <c r="N57" i="16"/>
  <c r="K58" i="16"/>
  <c r="S58" i="16" s="1"/>
  <c r="L58" i="16"/>
  <c r="T58" i="16" s="1"/>
  <c r="M58" i="16"/>
  <c r="U58" i="16" s="1"/>
  <c r="N58" i="16"/>
  <c r="V58" i="16" s="1"/>
  <c r="K59" i="16"/>
  <c r="S59" i="16" s="1"/>
  <c r="L59" i="16"/>
  <c r="M59" i="16"/>
  <c r="U59" i="16" s="1"/>
  <c r="N59" i="16"/>
  <c r="V59" i="16" s="1"/>
  <c r="J59" i="16"/>
  <c r="J58" i="16"/>
  <c r="R58" i="16" s="1"/>
  <c r="J57" i="16"/>
  <c r="R57" i="16" s="1"/>
  <c r="J56" i="16"/>
  <c r="R56" i="16" s="1"/>
  <c r="J55" i="16"/>
  <c r="R55" i="16" s="1"/>
  <c r="J54" i="16"/>
  <c r="R54" i="16" s="1"/>
  <c r="J53" i="16"/>
  <c r="R53" i="16" s="1"/>
  <c r="J52" i="16"/>
  <c r="R52" i="16" s="1"/>
  <c r="J50" i="16"/>
  <c r="R50" i="16" s="1"/>
  <c r="J49" i="16"/>
  <c r="R49" i="16" s="1"/>
  <c r="J48" i="16"/>
  <c r="R48" i="16" s="1"/>
  <c r="J47" i="16"/>
  <c r="R47" i="16" s="1"/>
  <c r="J46" i="16"/>
  <c r="R46" i="16" s="1"/>
  <c r="J45" i="16"/>
  <c r="R45" i="16" s="1"/>
  <c r="J44" i="16"/>
  <c r="R44" i="16" s="1"/>
  <c r="J43" i="16"/>
  <c r="R43" i="16" s="1"/>
  <c r="J42" i="16"/>
  <c r="R42" i="16" s="1"/>
  <c r="J41" i="16"/>
  <c r="R41" i="16" s="1"/>
  <c r="J40" i="16"/>
  <c r="R40" i="16" s="1"/>
  <c r="D24" i="15" s="1"/>
  <c r="J39" i="16"/>
  <c r="R39" i="16" s="1"/>
  <c r="J38" i="16"/>
  <c r="R38" i="16" s="1"/>
  <c r="J37" i="16"/>
  <c r="R37" i="16" s="1"/>
  <c r="J36" i="16"/>
  <c r="R36" i="16" s="1"/>
  <c r="J35" i="16"/>
  <c r="R35" i="16" s="1"/>
  <c r="J34" i="16"/>
  <c r="R34" i="16" s="1"/>
  <c r="J33" i="16"/>
  <c r="R33" i="16" s="1"/>
  <c r="J32" i="16"/>
  <c r="R32" i="16" s="1"/>
  <c r="J31" i="16"/>
  <c r="R31" i="16" s="1"/>
  <c r="D19" i="15" s="1"/>
  <c r="J30" i="16"/>
  <c r="R30" i="16" s="1"/>
  <c r="D20" i="15" s="1"/>
  <c r="J29" i="16"/>
  <c r="R29" i="16" s="1"/>
  <c r="J28" i="16"/>
  <c r="J27" i="16"/>
  <c r="R27" i="16" s="1"/>
  <c r="D7" i="15" s="1"/>
  <c r="J24" i="16"/>
  <c r="R24" i="16" s="1"/>
  <c r="J25" i="16"/>
  <c r="R25" i="16" s="1"/>
  <c r="J26" i="16"/>
  <c r="R26" i="16" s="1"/>
  <c r="J22" i="16"/>
  <c r="R22" i="16" s="1"/>
  <c r="J23" i="16"/>
  <c r="R23" i="16" s="1"/>
  <c r="J19" i="16"/>
  <c r="R19" i="16" s="1"/>
  <c r="D17" i="15" s="1"/>
  <c r="J20" i="16"/>
  <c r="R20" i="16" s="1"/>
  <c r="J21" i="16"/>
  <c r="R21" i="16" s="1"/>
  <c r="J18" i="16"/>
  <c r="R18" i="16" s="1"/>
  <c r="J17" i="16"/>
  <c r="R17" i="16" s="1"/>
  <c r="J16" i="16"/>
  <c r="R16" i="16" s="1"/>
  <c r="J15" i="16"/>
  <c r="R15" i="16" s="1"/>
  <c r="D22" i="15" s="1"/>
  <c r="J14" i="16"/>
  <c r="R14" i="16" s="1"/>
  <c r="D9" i="15" s="1"/>
  <c r="J13" i="16"/>
  <c r="R13" i="16" s="1"/>
  <c r="J12" i="16"/>
  <c r="R12" i="16" s="1"/>
  <c r="J11" i="16"/>
  <c r="R11" i="16" s="1"/>
  <c r="J10" i="16"/>
  <c r="R10" i="16" s="1"/>
  <c r="D16" i="15" s="1"/>
  <c r="J9" i="16"/>
  <c r="R9" i="16" s="1"/>
  <c r="J8" i="16"/>
  <c r="R8" i="16" s="1"/>
  <c r="J7" i="16"/>
  <c r="R7" i="16" s="1"/>
  <c r="J6" i="16"/>
  <c r="R6" i="16" s="1"/>
  <c r="J5" i="16"/>
  <c r="R5" i="16" s="1"/>
  <c r="J3" i="16"/>
  <c r="R3" i="16" s="1"/>
  <c r="K1101" i="12"/>
  <c r="N1101" i="12" s="1"/>
  <c r="U1101" i="12" s="1"/>
  <c r="J1101" i="12"/>
  <c r="M1101" i="12" s="1"/>
  <c r="T1101" i="12" s="1"/>
  <c r="F4" i="9"/>
  <c r="G4" i="9"/>
  <c r="H4" i="9"/>
  <c r="F5" i="9"/>
  <c r="G5" i="9"/>
  <c r="H5" i="9"/>
  <c r="E5" i="9"/>
  <c r="E4" i="9"/>
  <c r="D4" i="9"/>
  <c r="D5" i="9"/>
  <c r="C5" i="9"/>
  <c r="C4" i="9"/>
  <c r="F6" i="9"/>
  <c r="G6" i="9"/>
  <c r="H6" i="9"/>
  <c r="E6" i="9"/>
  <c r="D6" i="9"/>
  <c r="C6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Z54" i="9"/>
  <c r="AA54" i="9"/>
  <c r="AB54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AS54" i="9"/>
  <c r="AT54" i="9"/>
  <c r="AU54" i="9"/>
  <c r="AV54" i="9"/>
  <c r="AW54" i="9"/>
  <c r="AX54" i="9"/>
  <c r="AY54" i="9"/>
  <c r="AZ54" i="9"/>
  <c r="BA54" i="9"/>
  <c r="BB54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AS50" i="9"/>
  <c r="AT50" i="9"/>
  <c r="AU50" i="9"/>
  <c r="AV50" i="9"/>
  <c r="AW50" i="9"/>
  <c r="AX50" i="9"/>
  <c r="AY50" i="9"/>
  <c r="AZ50" i="9"/>
  <c r="BA50" i="9"/>
  <c r="BB50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AG33" i="9"/>
  <c r="AH33" i="9"/>
  <c r="AI33" i="9"/>
  <c r="AJ33" i="9"/>
  <c r="AK33" i="9"/>
  <c r="AL33" i="9"/>
  <c r="AM33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Z33" i="9"/>
  <c r="BA33" i="9"/>
  <c r="BB33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F31" i="9"/>
  <c r="AG31" i="9"/>
  <c r="AH31" i="9"/>
  <c r="AI31" i="9"/>
  <c r="AJ31" i="9"/>
  <c r="AK31" i="9"/>
  <c r="AL31" i="9"/>
  <c r="AM31" i="9"/>
  <c r="AN31" i="9"/>
  <c r="AO31" i="9"/>
  <c r="AP31" i="9"/>
  <c r="AQ31" i="9"/>
  <c r="AR31" i="9"/>
  <c r="AS31" i="9"/>
  <c r="AT31" i="9"/>
  <c r="AU31" i="9"/>
  <c r="AV31" i="9"/>
  <c r="AW31" i="9"/>
  <c r="AX31" i="9"/>
  <c r="AY31" i="9"/>
  <c r="AZ31" i="9"/>
  <c r="BA31" i="9"/>
  <c r="BB31" i="9"/>
  <c r="D30" i="9"/>
  <c r="D31" i="9"/>
  <c r="E31" i="9"/>
  <c r="F16" i="3" s="1"/>
  <c r="F31" i="9"/>
  <c r="G16" i="3" s="1"/>
  <c r="G31" i="9"/>
  <c r="H16" i="3" s="1"/>
  <c r="H31" i="9"/>
  <c r="I16" i="3" s="1"/>
  <c r="D32" i="9"/>
  <c r="D33" i="9"/>
  <c r="E33" i="9"/>
  <c r="F19" i="3" s="1"/>
  <c r="F33" i="9"/>
  <c r="G19" i="3" s="1"/>
  <c r="G33" i="9"/>
  <c r="H19" i="3" s="1"/>
  <c r="H33" i="9"/>
  <c r="I19" i="3" s="1"/>
  <c r="D34" i="9"/>
  <c r="D35" i="9"/>
  <c r="D36" i="9"/>
  <c r="D41" i="9"/>
  <c r="E41" i="9"/>
  <c r="F41" i="9"/>
  <c r="G41" i="9"/>
  <c r="H41" i="9"/>
  <c r="D42" i="9"/>
  <c r="D43" i="9"/>
  <c r="E42" i="3" s="1"/>
  <c r="E43" i="3" s="1"/>
  <c r="E43" i="9"/>
  <c r="F42" i="3" s="1"/>
  <c r="F43" i="9"/>
  <c r="G42" i="3" s="1"/>
  <c r="G43" i="9"/>
  <c r="H42" i="3" s="1"/>
  <c r="H43" i="9"/>
  <c r="I42" i="3" s="1"/>
  <c r="D44" i="9"/>
  <c r="E44" i="9"/>
  <c r="F44" i="9"/>
  <c r="G44" i="9"/>
  <c r="H44" i="9"/>
  <c r="D45" i="9"/>
  <c r="D46" i="9"/>
  <c r="E45" i="3" s="1"/>
  <c r="E46" i="9"/>
  <c r="F45" i="3" s="1"/>
  <c r="F46" i="9"/>
  <c r="G45" i="3" s="1"/>
  <c r="G46" i="9"/>
  <c r="H45" i="3" s="1"/>
  <c r="H46" i="9"/>
  <c r="I45" i="3" s="1"/>
  <c r="D47" i="9"/>
  <c r="D48" i="9"/>
  <c r="D49" i="9"/>
  <c r="D50" i="9"/>
  <c r="E50" i="9"/>
  <c r="F52" i="3" s="1"/>
  <c r="F50" i="9"/>
  <c r="G52" i="3" s="1"/>
  <c r="G50" i="9"/>
  <c r="H52" i="3" s="1"/>
  <c r="H50" i="9"/>
  <c r="I52" i="3" s="1"/>
  <c r="D51" i="9"/>
  <c r="D53" i="9"/>
  <c r="D54" i="9"/>
  <c r="E54" i="9"/>
  <c r="F59" i="3" s="1"/>
  <c r="F54" i="9"/>
  <c r="G59" i="3" s="1"/>
  <c r="G54" i="9"/>
  <c r="H59" i="3" s="1"/>
  <c r="H54" i="9"/>
  <c r="I59" i="3" s="1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6" i="9"/>
  <c r="C35" i="9"/>
  <c r="C34" i="9"/>
  <c r="C33" i="9"/>
  <c r="C32" i="9"/>
  <c r="C31" i="9"/>
  <c r="C30" i="9"/>
  <c r="R40" i="12"/>
  <c r="V1088" i="12"/>
  <c r="R1548" i="12"/>
  <c r="R1546" i="12"/>
  <c r="R1544" i="12"/>
  <c r="R1541" i="12"/>
  <c r="R1537" i="12"/>
  <c r="R1531" i="12"/>
  <c r="R1528" i="12"/>
  <c r="R1525" i="12"/>
  <c r="R1497" i="12"/>
  <c r="R1402" i="12"/>
  <c r="R1400" i="12"/>
  <c r="R1398" i="12"/>
  <c r="R1383" i="12"/>
  <c r="R1381" i="12"/>
  <c r="R1379" i="12"/>
  <c r="R1376" i="12"/>
  <c r="R1373" i="12"/>
  <c r="R1360" i="12"/>
  <c r="R1351" i="12"/>
  <c r="R1348" i="12"/>
  <c r="R1335" i="12"/>
  <c r="R1333" i="12"/>
  <c r="R1296" i="12"/>
  <c r="R1275" i="12"/>
  <c r="R1270" i="12"/>
  <c r="R1266" i="12"/>
  <c r="R1263" i="12"/>
  <c r="R1260" i="12"/>
  <c r="R1257" i="12"/>
  <c r="R1249" i="12"/>
  <c r="R1228" i="12"/>
  <c r="R1222" i="12"/>
  <c r="R1214" i="12"/>
  <c r="R1202" i="12"/>
  <c r="R1189" i="12"/>
  <c r="R1181" i="12"/>
  <c r="R1168" i="12"/>
  <c r="R1149" i="12"/>
  <c r="R1137" i="12"/>
  <c r="R1127" i="12"/>
  <c r="R1125" i="12"/>
  <c r="R1119" i="12"/>
  <c r="R1114" i="12"/>
  <c r="R1102" i="12"/>
  <c r="R1091" i="12"/>
  <c r="R1088" i="12"/>
  <c r="R1080" i="12"/>
  <c r="R1074" i="12"/>
  <c r="R1055" i="12"/>
  <c r="R1050" i="12"/>
  <c r="R1033" i="12"/>
  <c r="R1030" i="12"/>
  <c r="R1028" i="12"/>
  <c r="R1026" i="12"/>
  <c r="R1018" i="12"/>
  <c r="R998" i="12"/>
  <c r="R974" i="12"/>
  <c r="R943" i="12"/>
  <c r="R703" i="12"/>
  <c r="R695" i="12"/>
  <c r="R693" i="12"/>
  <c r="R690" i="12"/>
  <c r="R671" i="12"/>
  <c r="R617" i="12"/>
  <c r="R613" i="12"/>
  <c r="R611" i="12"/>
  <c r="R609" i="12"/>
  <c r="R607" i="12"/>
  <c r="R598" i="12"/>
  <c r="R596" i="12"/>
  <c r="R594" i="12"/>
  <c r="R593" i="12"/>
  <c r="R584" i="12"/>
  <c r="R567" i="12"/>
  <c r="R557" i="12"/>
  <c r="R552" i="12"/>
  <c r="R550" i="12"/>
  <c r="R547" i="12"/>
  <c r="R543" i="12"/>
  <c r="R537" i="12"/>
  <c r="R533" i="12"/>
  <c r="R531" i="12"/>
  <c r="R529" i="12"/>
  <c r="R524" i="12"/>
  <c r="R519" i="12"/>
  <c r="R516" i="12"/>
  <c r="R512" i="12"/>
  <c r="R496" i="12"/>
  <c r="R480" i="12"/>
  <c r="R476" i="12"/>
  <c r="R474" i="12"/>
  <c r="R470" i="12"/>
  <c r="R466" i="12"/>
  <c r="R464" i="12"/>
  <c r="R438" i="12"/>
  <c r="R363" i="12"/>
  <c r="R361" i="12"/>
  <c r="R359" i="12"/>
  <c r="R355" i="12"/>
  <c r="R341" i="12"/>
  <c r="R339" i="12"/>
  <c r="R336" i="12"/>
  <c r="R330" i="12"/>
  <c r="R314" i="12"/>
  <c r="R312" i="12"/>
  <c r="R309" i="12"/>
  <c r="R303" i="12"/>
  <c r="R297" i="12"/>
  <c r="R294" i="12"/>
  <c r="R288" i="12"/>
  <c r="R270" i="12"/>
  <c r="R250" i="12"/>
  <c r="R246" i="12"/>
  <c r="R236" i="12"/>
  <c r="R188" i="12"/>
  <c r="R186" i="12"/>
  <c r="R184" i="12"/>
  <c r="R176" i="12"/>
  <c r="R173" i="12"/>
  <c r="R170" i="12"/>
  <c r="R164" i="12"/>
  <c r="R162" i="12"/>
  <c r="R160" i="12"/>
  <c r="R158" i="12"/>
  <c r="R156" i="12"/>
  <c r="R153" i="12"/>
  <c r="R142" i="12"/>
  <c r="R125" i="12"/>
  <c r="R121" i="12"/>
  <c r="R111" i="12"/>
  <c r="R64" i="12"/>
  <c r="R62" i="12"/>
  <c r="R60" i="12"/>
  <c r="R52" i="12"/>
  <c r="R49" i="12"/>
  <c r="R46" i="12"/>
  <c r="R38" i="12"/>
  <c r="R34" i="12"/>
  <c r="R31" i="12"/>
  <c r="R20" i="12"/>
  <c r="R4" i="12"/>
  <c r="P1546" i="12"/>
  <c r="P1544" i="12"/>
  <c r="P1541" i="12"/>
  <c r="P1537" i="12"/>
  <c r="P1531" i="12"/>
  <c r="P1528" i="12"/>
  <c r="P1497" i="12"/>
  <c r="P1402" i="12"/>
  <c r="P1400" i="12"/>
  <c r="P1398" i="12"/>
  <c r="P1383" i="12"/>
  <c r="P1381" i="12"/>
  <c r="P1379" i="12"/>
  <c r="P1376" i="12"/>
  <c r="P1373" i="12"/>
  <c r="P1360" i="12"/>
  <c r="P1351" i="12"/>
  <c r="P1348" i="12"/>
  <c r="P1335" i="12"/>
  <c r="P1333" i="12"/>
  <c r="P1296" i="12"/>
  <c r="P1275" i="12"/>
  <c r="P1270" i="12"/>
  <c r="P1266" i="12"/>
  <c r="P1263" i="12"/>
  <c r="P1260" i="12"/>
  <c r="P1257" i="12"/>
  <c r="P1249" i="12"/>
  <c r="P1228" i="12"/>
  <c r="P1222" i="12"/>
  <c r="P1214" i="12"/>
  <c r="P1202" i="12"/>
  <c r="P1189" i="12"/>
  <c r="P1181" i="12"/>
  <c r="P1168" i="12"/>
  <c r="P1149" i="12"/>
  <c r="P1137" i="12"/>
  <c r="P1127" i="12"/>
  <c r="P1125" i="12"/>
  <c r="P1119" i="12"/>
  <c r="P1114" i="12"/>
  <c r="P1102" i="12"/>
  <c r="P1091" i="12"/>
  <c r="U1088" i="12"/>
  <c r="P1088" i="12"/>
  <c r="P1080" i="12"/>
  <c r="P1074" i="12"/>
  <c r="P1055" i="12"/>
  <c r="P1050" i="12"/>
  <c r="P1033" i="12"/>
  <c r="P1030" i="12"/>
  <c r="P1028" i="12"/>
  <c r="P1026" i="12"/>
  <c r="P1018" i="12"/>
  <c r="P998" i="12"/>
  <c r="P974" i="12"/>
  <c r="P968" i="12"/>
  <c r="P961" i="12"/>
  <c r="P957" i="12"/>
  <c r="P955" i="12"/>
  <c r="P949" i="12"/>
  <c r="P943" i="12"/>
  <c r="P939" i="12"/>
  <c r="P935" i="12"/>
  <c r="P932" i="12"/>
  <c r="P929" i="12"/>
  <c r="P908" i="12"/>
  <c r="P850" i="12"/>
  <c r="P847" i="12"/>
  <c r="P845" i="12"/>
  <c r="P843" i="12"/>
  <c r="P841" i="12"/>
  <c r="P832" i="12"/>
  <c r="P830" i="12"/>
  <c r="P828" i="12"/>
  <c r="P817" i="12"/>
  <c r="P798" i="12"/>
  <c r="P788" i="12"/>
  <c r="P783" i="12"/>
  <c r="P780" i="12"/>
  <c r="P777" i="12"/>
  <c r="P772" i="12"/>
  <c r="P766" i="12"/>
  <c r="P761" i="12"/>
  <c r="P758" i="12"/>
  <c r="P755" i="12"/>
  <c r="P750" i="12"/>
  <c r="P745" i="12"/>
  <c r="P742" i="12"/>
  <c r="P737" i="12"/>
  <c r="P720" i="12"/>
  <c r="P703" i="12"/>
  <c r="P699" i="12"/>
  <c r="P695" i="12"/>
  <c r="P693" i="12"/>
  <c r="P690" i="12"/>
  <c r="P671" i="12"/>
  <c r="P617" i="12"/>
  <c r="P613" i="12"/>
  <c r="P611" i="12"/>
  <c r="P609" i="12"/>
  <c r="P607" i="12"/>
  <c r="P598" i="12"/>
  <c r="P596" i="12"/>
  <c r="P594" i="12"/>
  <c r="P584" i="12"/>
  <c r="P567" i="12"/>
  <c r="P557" i="12"/>
  <c r="P552" i="12"/>
  <c r="P550" i="12"/>
  <c r="P547" i="12"/>
  <c r="P543" i="12"/>
  <c r="P537" i="12"/>
  <c r="P533" i="12"/>
  <c r="P531" i="12"/>
  <c r="P529" i="12"/>
  <c r="P524" i="12"/>
  <c r="P519" i="12"/>
  <c r="P516" i="12"/>
  <c r="P512" i="12"/>
  <c r="P496" i="12"/>
  <c r="P480" i="12"/>
  <c r="P476" i="12"/>
  <c r="P474" i="12"/>
  <c r="P470" i="12"/>
  <c r="P466" i="12"/>
  <c r="P464" i="12"/>
  <c r="P438" i="12"/>
  <c r="P363" i="12"/>
  <c r="P361" i="12"/>
  <c r="P359" i="12"/>
  <c r="P355" i="12"/>
  <c r="P341" i="12"/>
  <c r="P339" i="12"/>
  <c r="P336" i="12"/>
  <c r="P330" i="12"/>
  <c r="P314" i="12"/>
  <c r="P312" i="12"/>
  <c r="P309" i="12"/>
  <c r="P303" i="12"/>
  <c r="P297" i="12"/>
  <c r="P294" i="12"/>
  <c r="P288" i="12"/>
  <c r="P270" i="12"/>
  <c r="P250" i="12"/>
  <c r="P246" i="12"/>
  <c r="P236" i="12"/>
  <c r="P188" i="12"/>
  <c r="P186" i="12"/>
  <c r="P184" i="12"/>
  <c r="P176" i="12"/>
  <c r="P173" i="12"/>
  <c r="P170" i="12"/>
  <c r="P164" i="12"/>
  <c r="P162" i="12"/>
  <c r="P160" i="12"/>
  <c r="P158" i="12"/>
  <c r="P156" i="12"/>
  <c r="P153" i="12"/>
  <c r="P142" i="12"/>
  <c r="P125" i="12"/>
  <c r="P121" i="12"/>
  <c r="P111" i="12"/>
  <c r="P64" i="12"/>
  <c r="P62" i="12"/>
  <c r="P60" i="12"/>
  <c r="P52" i="12"/>
  <c r="P49" i="12"/>
  <c r="P46" i="12"/>
  <c r="P40" i="12"/>
  <c r="P38" i="12"/>
  <c r="P36" i="12"/>
  <c r="P34" i="12"/>
  <c r="P31" i="12"/>
  <c r="P20" i="12"/>
  <c r="P4" i="12"/>
  <c r="M4" i="12"/>
  <c r="T4" i="12" s="1"/>
  <c r="N4" i="12"/>
  <c r="M5" i="12"/>
  <c r="T5" i="12" s="1"/>
  <c r="N5" i="12"/>
  <c r="U5" i="12" s="1"/>
  <c r="M6" i="12"/>
  <c r="T6" i="12" s="1"/>
  <c r="N6" i="12"/>
  <c r="U6" i="12" s="1"/>
  <c r="M7" i="12"/>
  <c r="T7" i="12" s="1"/>
  <c r="N7" i="12"/>
  <c r="U7" i="12" s="1"/>
  <c r="M8" i="12"/>
  <c r="T8" i="12" s="1"/>
  <c r="N8" i="12"/>
  <c r="U8" i="12" s="1"/>
  <c r="M9" i="12"/>
  <c r="T9" i="12" s="1"/>
  <c r="N9" i="12"/>
  <c r="U9" i="12" s="1"/>
  <c r="M10" i="12"/>
  <c r="T10" i="12" s="1"/>
  <c r="N10" i="12"/>
  <c r="U10" i="12" s="1"/>
  <c r="M11" i="12"/>
  <c r="T11" i="12" s="1"/>
  <c r="N11" i="12"/>
  <c r="U11" i="12" s="1"/>
  <c r="M12" i="12"/>
  <c r="T12" i="12" s="1"/>
  <c r="N12" i="12"/>
  <c r="U12" i="12" s="1"/>
  <c r="M13" i="12"/>
  <c r="T13" i="12" s="1"/>
  <c r="N13" i="12"/>
  <c r="U13" i="12" s="1"/>
  <c r="M14" i="12"/>
  <c r="T14" i="12" s="1"/>
  <c r="N14" i="12"/>
  <c r="U14" i="12" s="1"/>
  <c r="M15" i="12"/>
  <c r="T15" i="12" s="1"/>
  <c r="N15" i="12"/>
  <c r="U15" i="12" s="1"/>
  <c r="M16" i="12"/>
  <c r="T16" i="12" s="1"/>
  <c r="N16" i="12"/>
  <c r="U16" i="12" s="1"/>
  <c r="M17" i="12"/>
  <c r="T17" i="12" s="1"/>
  <c r="N17" i="12"/>
  <c r="U17" i="12" s="1"/>
  <c r="M18" i="12"/>
  <c r="T18" i="12" s="1"/>
  <c r="N18" i="12"/>
  <c r="U18" i="12" s="1"/>
  <c r="M19" i="12"/>
  <c r="T19" i="12" s="1"/>
  <c r="N19" i="12"/>
  <c r="U19" i="12" s="1"/>
  <c r="M20" i="12"/>
  <c r="T20" i="12" s="1"/>
  <c r="N20" i="12"/>
  <c r="M21" i="12"/>
  <c r="T21" i="12" s="1"/>
  <c r="N21" i="12"/>
  <c r="U21" i="12" s="1"/>
  <c r="M22" i="12"/>
  <c r="T22" i="12" s="1"/>
  <c r="N22" i="12"/>
  <c r="U22" i="12" s="1"/>
  <c r="M23" i="12"/>
  <c r="T23" i="12" s="1"/>
  <c r="N23" i="12"/>
  <c r="U23" i="12" s="1"/>
  <c r="M24" i="12"/>
  <c r="T24" i="12" s="1"/>
  <c r="N24" i="12"/>
  <c r="U24" i="12" s="1"/>
  <c r="M25" i="12"/>
  <c r="T25" i="12" s="1"/>
  <c r="N25" i="12"/>
  <c r="U25" i="12" s="1"/>
  <c r="M26" i="12"/>
  <c r="T26" i="12" s="1"/>
  <c r="N26" i="12"/>
  <c r="U26" i="12" s="1"/>
  <c r="M27" i="12"/>
  <c r="T27" i="12" s="1"/>
  <c r="N27" i="12"/>
  <c r="U27" i="12" s="1"/>
  <c r="M28" i="12"/>
  <c r="T28" i="12" s="1"/>
  <c r="N28" i="12"/>
  <c r="U28" i="12" s="1"/>
  <c r="M29" i="12"/>
  <c r="T29" i="12" s="1"/>
  <c r="N29" i="12"/>
  <c r="U29" i="12" s="1"/>
  <c r="M30" i="12"/>
  <c r="T30" i="12" s="1"/>
  <c r="N30" i="12"/>
  <c r="U30" i="12" s="1"/>
  <c r="M31" i="12"/>
  <c r="T31" i="12" s="1"/>
  <c r="N31" i="12"/>
  <c r="M32" i="12"/>
  <c r="T32" i="12" s="1"/>
  <c r="N32" i="12"/>
  <c r="U32" i="12" s="1"/>
  <c r="M33" i="12"/>
  <c r="T33" i="12" s="1"/>
  <c r="N33" i="12"/>
  <c r="U33" i="12" s="1"/>
  <c r="M34" i="12"/>
  <c r="T34" i="12" s="1"/>
  <c r="N34" i="12"/>
  <c r="M35" i="12"/>
  <c r="T35" i="12" s="1"/>
  <c r="N35" i="12"/>
  <c r="U35" i="12" s="1"/>
  <c r="U34" i="12" s="1"/>
  <c r="M36" i="12"/>
  <c r="T36" i="12" s="1"/>
  <c r="N36" i="12"/>
  <c r="M37" i="12"/>
  <c r="T37" i="12" s="1"/>
  <c r="N37" i="12"/>
  <c r="U37" i="12" s="1"/>
  <c r="U36" i="12" s="1"/>
  <c r="M38" i="12"/>
  <c r="T38" i="12" s="1"/>
  <c r="N38" i="12"/>
  <c r="M39" i="12"/>
  <c r="T39" i="12" s="1"/>
  <c r="N39" i="12"/>
  <c r="U39" i="12" s="1"/>
  <c r="U38" i="12" s="1"/>
  <c r="M40" i="12"/>
  <c r="T40" i="12" s="1"/>
  <c r="N40" i="12"/>
  <c r="M41" i="12"/>
  <c r="T41" i="12" s="1"/>
  <c r="N41" i="12"/>
  <c r="U41" i="12" s="1"/>
  <c r="M42" i="12"/>
  <c r="T42" i="12" s="1"/>
  <c r="N42" i="12"/>
  <c r="U42" i="12" s="1"/>
  <c r="M43" i="12"/>
  <c r="T43" i="12" s="1"/>
  <c r="N43" i="12"/>
  <c r="U43" i="12" s="1"/>
  <c r="M44" i="12"/>
  <c r="T44" i="12" s="1"/>
  <c r="N44" i="12"/>
  <c r="U44" i="12" s="1"/>
  <c r="M45" i="12"/>
  <c r="T45" i="12" s="1"/>
  <c r="N45" i="12"/>
  <c r="U45" i="12" s="1"/>
  <c r="M46" i="12"/>
  <c r="T46" i="12" s="1"/>
  <c r="N46" i="12"/>
  <c r="M47" i="12"/>
  <c r="T47" i="12" s="1"/>
  <c r="N47" i="12"/>
  <c r="U47" i="12" s="1"/>
  <c r="M48" i="12"/>
  <c r="T48" i="12" s="1"/>
  <c r="N48" i="12"/>
  <c r="U48" i="12" s="1"/>
  <c r="M49" i="12"/>
  <c r="T49" i="12" s="1"/>
  <c r="N49" i="12"/>
  <c r="M50" i="12"/>
  <c r="T50" i="12" s="1"/>
  <c r="N50" i="12"/>
  <c r="U50" i="12" s="1"/>
  <c r="M51" i="12"/>
  <c r="T51" i="12" s="1"/>
  <c r="N51" i="12"/>
  <c r="U51" i="12" s="1"/>
  <c r="M52" i="12"/>
  <c r="T52" i="12" s="1"/>
  <c r="N52" i="12"/>
  <c r="M53" i="12"/>
  <c r="T53" i="12" s="1"/>
  <c r="N53" i="12"/>
  <c r="U53" i="12" s="1"/>
  <c r="M54" i="12"/>
  <c r="T54" i="12" s="1"/>
  <c r="N54" i="12"/>
  <c r="U54" i="12" s="1"/>
  <c r="M55" i="12"/>
  <c r="T55" i="12" s="1"/>
  <c r="N55" i="12"/>
  <c r="U55" i="12" s="1"/>
  <c r="M56" i="12"/>
  <c r="T56" i="12" s="1"/>
  <c r="N56" i="12"/>
  <c r="U56" i="12" s="1"/>
  <c r="M57" i="12"/>
  <c r="T57" i="12" s="1"/>
  <c r="N57" i="12"/>
  <c r="U57" i="12" s="1"/>
  <c r="M58" i="12"/>
  <c r="T58" i="12" s="1"/>
  <c r="N58" i="12"/>
  <c r="U58" i="12" s="1"/>
  <c r="M59" i="12"/>
  <c r="T59" i="12" s="1"/>
  <c r="N59" i="12"/>
  <c r="U59" i="12" s="1"/>
  <c r="M60" i="12"/>
  <c r="T60" i="12" s="1"/>
  <c r="N60" i="12"/>
  <c r="M61" i="12"/>
  <c r="T61" i="12" s="1"/>
  <c r="N61" i="12"/>
  <c r="U61" i="12" s="1"/>
  <c r="U60" i="12" s="1"/>
  <c r="M62" i="12"/>
  <c r="T62" i="12" s="1"/>
  <c r="N62" i="12"/>
  <c r="M63" i="12"/>
  <c r="T63" i="12" s="1"/>
  <c r="N63" i="12"/>
  <c r="U63" i="12" s="1"/>
  <c r="U62" i="12" s="1"/>
  <c r="M64" i="12"/>
  <c r="T64" i="12" s="1"/>
  <c r="N64" i="12"/>
  <c r="M65" i="12"/>
  <c r="T65" i="12" s="1"/>
  <c r="N65" i="12"/>
  <c r="U65" i="12" s="1"/>
  <c r="M66" i="12"/>
  <c r="T66" i="12" s="1"/>
  <c r="N66" i="12"/>
  <c r="U66" i="12" s="1"/>
  <c r="M67" i="12"/>
  <c r="T67" i="12" s="1"/>
  <c r="N67" i="12"/>
  <c r="U67" i="12" s="1"/>
  <c r="M68" i="12"/>
  <c r="T68" i="12" s="1"/>
  <c r="N68" i="12"/>
  <c r="U68" i="12" s="1"/>
  <c r="M69" i="12"/>
  <c r="T69" i="12" s="1"/>
  <c r="N69" i="12"/>
  <c r="U69" i="12" s="1"/>
  <c r="M70" i="12"/>
  <c r="T70" i="12" s="1"/>
  <c r="N70" i="12"/>
  <c r="U70" i="12" s="1"/>
  <c r="M71" i="12"/>
  <c r="T71" i="12" s="1"/>
  <c r="N71" i="12"/>
  <c r="U71" i="12" s="1"/>
  <c r="M72" i="12"/>
  <c r="T72" i="12" s="1"/>
  <c r="N72" i="12"/>
  <c r="U72" i="12" s="1"/>
  <c r="M73" i="12"/>
  <c r="T73" i="12" s="1"/>
  <c r="N73" i="12"/>
  <c r="U73" i="12" s="1"/>
  <c r="M74" i="12"/>
  <c r="T74" i="12" s="1"/>
  <c r="N74" i="12"/>
  <c r="U74" i="12" s="1"/>
  <c r="M75" i="12"/>
  <c r="T75" i="12" s="1"/>
  <c r="N75" i="12"/>
  <c r="U75" i="12" s="1"/>
  <c r="M76" i="12"/>
  <c r="T76" i="12" s="1"/>
  <c r="N76" i="12"/>
  <c r="U76" i="12" s="1"/>
  <c r="M77" i="12"/>
  <c r="T77" i="12" s="1"/>
  <c r="N77" i="12"/>
  <c r="U77" i="12" s="1"/>
  <c r="M78" i="12"/>
  <c r="T78" i="12" s="1"/>
  <c r="N78" i="12"/>
  <c r="U78" i="12" s="1"/>
  <c r="M79" i="12"/>
  <c r="T79" i="12" s="1"/>
  <c r="N79" i="12"/>
  <c r="U79" i="12" s="1"/>
  <c r="M80" i="12"/>
  <c r="T80" i="12" s="1"/>
  <c r="N80" i="12"/>
  <c r="U80" i="12" s="1"/>
  <c r="M81" i="12"/>
  <c r="T81" i="12" s="1"/>
  <c r="N81" i="12"/>
  <c r="U81" i="12" s="1"/>
  <c r="M82" i="12"/>
  <c r="T82" i="12" s="1"/>
  <c r="N82" i="12"/>
  <c r="U82" i="12" s="1"/>
  <c r="M83" i="12"/>
  <c r="T83" i="12" s="1"/>
  <c r="N83" i="12"/>
  <c r="U83" i="12" s="1"/>
  <c r="M84" i="12"/>
  <c r="T84" i="12" s="1"/>
  <c r="N84" i="12"/>
  <c r="U84" i="12" s="1"/>
  <c r="M85" i="12"/>
  <c r="T85" i="12" s="1"/>
  <c r="N85" i="12"/>
  <c r="U85" i="12" s="1"/>
  <c r="M86" i="12"/>
  <c r="T86" i="12" s="1"/>
  <c r="N86" i="12"/>
  <c r="U86" i="12" s="1"/>
  <c r="M87" i="12"/>
  <c r="T87" i="12" s="1"/>
  <c r="N87" i="12"/>
  <c r="U87" i="12" s="1"/>
  <c r="M88" i="12"/>
  <c r="T88" i="12" s="1"/>
  <c r="N88" i="12"/>
  <c r="U88" i="12" s="1"/>
  <c r="M89" i="12"/>
  <c r="T89" i="12" s="1"/>
  <c r="N89" i="12"/>
  <c r="U89" i="12" s="1"/>
  <c r="M90" i="12"/>
  <c r="T90" i="12" s="1"/>
  <c r="N90" i="12"/>
  <c r="U90" i="12" s="1"/>
  <c r="M91" i="12"/>
  <c r="T91" i="12" s="1"/>
  <c r="N91" i="12"/>
  <c r="U91" i="12" s="1"/>
  <c r="M92" i="12"/>
  <c r="T92" i="12" s="1"/>
  <c r="N92" i="12"/>
  <c r="U92" i="12" s="1"/>
  <c r="M93" i="12"/>
  <c r="T93" i="12" s="1"/>
  <c r="N93" i="12"/>
  <c r="U93" i="12" s="1"/>
  <c r="M94" i="12"/>
  <c r="T94" i="12" s="1"/>
  <c r="N94" i="12"/>
  <c r="U94" i="12" s="1"/>
  <c r="M95" i="12"/>
  <c r="T95" i="12" s="1"/>
  <c r="N95" i="12"/>
  <c r="U95" i="12" s="1"/>
  <c r="M96" i="12"/>
  <c r="T96" i="12" s="1"/>
  <c r="N96" i="12"/>
  <c r="U96" i="12" s="1"/>
  <c r="M97" i="12"/>
  <c r="T97" i="12" s="1"/>
  <c r="N97" i="12"/>
  <c r="U97" i="12" s="1"/>
  <c r="M98" i="12"/>
  <c r="T98" i="12" s="1"/>
  <c r="N98" i="12"/>
  <c r="U98" i="12" s="1"/>
  <c r="M99" i="12"/>
  <c r="T99" i="12" s="1"/>
  <c r="N99" i="12"/>
  <c r="U99" i="12" s="1"/>
  <c r="M100" i="12"/>
  <c r="T100" i="12" s="1"/>
  <c r="N100" i="12"/>
  <c r="U100" i="12" s="1"/>
  <c r="M101" i="12"/>
  <c r="T101" i="12" s="1"/>
  <c r="N101" i="12"/>
  <c r="U101" i="12" s="1"/>
  <c r="M102" i="12"/>
  <c r="T102" i="12" s="1"/>
  <c r="N102" i="12"/>
  <c r="U102" i="12" s="1"/>
  <c r="M103" i="12"/>
  <c r="T103" i="12" s="1"/>
  <c r="N103" i="12"/>
  <c r="U103" i="12" s="1"/>
  <c r="M104" i="12"/>
  <c r="T104" i="12" s="1"/>
  <c r="N104" i="12"/>
  <c r="U104" i="12" s="1"/>
  <c r="M105" i="12"/>
  <c r="T105" i="12" s="1"/>
  <c r="N105" i="12"/>
  <c r="U105" i="12" s="1"/>
  <c r="M106" i="12"/>
  <c r="T106" i="12" s="1"/>
  <c r="N106" i="12"/>
  <c r="U106" i="12" s="1"/>
  <c r="M107" i="12"/>
  <c r="T107" i="12" s="1"/>
  <c r="N107" i="12"/>
  <c r="U107" i="12" s="1"/>
  <c r="M108" i="12"/>
  <c r="T108" i="12" s="1"/>
  <c r="N108" i="12"/>
  <c r="U108" i="12" s="1"/>
  <c r="M109" i="12"/>
  <c r="T109" i="12" s="1"/>
  <c r="N109" i="12"/>
  <c r="U109" i="12" s="1"/>
  <c r="M110" i="12"/>
  <c r="T110" i="12" s="1"/>
  <c r="N110" i="12"/>
  <c r="U110" i="12" s="1"/>
  <c r="M111" i="12"/>
  <c r="T111" i="12" s="1"/>
  <c r="N111" i="12"/>
  <c r="M112" i="12"/>
  <c r="T112" i="12" s="1"/>
  <c r="N112" i="12"/>
  <c r="U112" i="12" s="1"/>
  <c r="M113" i="12"/>
  <c r="T113" i="12" s="1"/>
  <c r="N113" i="12"/>
  <c r="U113" i="12" s="1"/>
  <c r="M114" i="12"/>
  <c r="T114" i="12" s="1"/>
  <c r="N114" i="12"/>
  <c r="U114" i="12" s="1"/>
  <c r="M115" i="12"/>
  <c r="T115" i="12" s="1"/>
  <c r="N115" i="12"/>
  <c r="U115" i="12" s="1"/>
  <c r="M116" i="12"/>
  <c r="T116" i="12" s="1"/>
  <c r="N116" i="12"/>
  <c r="U116" i="12" s="1"/>
  <c r="M117" i="12"/>
  <c r="T117" i="12" s="1"/>
  <c r="N117" i="12"/>
  <c r="U117" i="12" s="1"/>
  <c r="M118" i="12"/>
  <c r="T118" i="12" s="1"/>
  <c r="N118" i="12"/>
  <c r="U118" i="12" s="1"/>
  <c r="M119" i="12"/>
  <c r="T119" i="12" s="1"/>
  <c r="N119" i="12"/>
  <c r="U119" i="12" s="1"/>
  <c r="M120" i="12"/>
  <c r="T120" i="12" s="1"/>
  <c r="N120" i="12"/>
  <c r="U120" i="12" s="1"/>
  <c r="M121" i="12"/>
  <c r="T121" i="12" s="1"/>
  <c r="N121" i="12"/>
  <c r="M122" i="12"/>
  <c r="T122" i="12" s="1"/>
  <c r="N122" i="12"/>
  <c r="U122" i="12" s="1"/>
  <c r="U121" i="12" s="1"/>
  <c r="M124" i="12"/>
  <c r="T124" i="12" s="1"/>
  <c r="N124" i="12"/>
  <c r="U124" i="12" s="1"/>
  <c r="M125" i="12"/>
  <c r="T125" i="12" s="1"/>
  <c r="N125" i="12"/>
  <c r="M126" i="12"/>
  <c r="T126" i="12" s="1"/>
  <c r="N126" i="12"/>
  <c r="U126" i="12" s="1"/>
  <c r="M127" i="12"/>
  <c r="T127" i="12" s="1"/>
  <c r="N127" i="12"/>
  <c r="U127" i="12" s="1"/>
  <c r="M128" i="12"/>
  <c r="T128" i="12" s="1"/>
  <c r="N128" i="12"/>
  <c r="U128" i="12" s="1"/>
  <c r="M129" i="12"/>
  <c r="T129" i="12" s="1"/>
  <c r="N129" i="12"/>
  <c r="U129" i="12" s="1"/>
  <c r="M130" i="12"/>
  <c r="T130" i="12" s="1"/>
  <c r="N130" i="12"/>
  <c r="U130" i="12" s="1"/>
  <c r="M131" i="12"/>
  <c r="T131" i="12" s="1"/>
  <c r="N131" i="12"/>
  <c r="U131" i="12" s="1"/>
  <c r="M132" i="12"/>
  <c r="T132" i="12" s="1"/>
  <c r="N132" i="12"/>
  <c r="U132" i="12" s="1"/>
  <c r="M133" i="12"/>
  <c r="T133" i="12" s="1"/>
  <c r="N133" i="12"/>
  <c r="U133" i="12" s="1"/>
  <c r="M134" i="12"/>
  <c r="T134" i="12" s="1"/>
  <c r="N134" i="12"/>
  <c r="U134" i="12" s="1"/>
  <c r="M135" i="12"/>
  <c r="T135" i="12" s="1"/>
  <c r="N135" i="12"/>
  <c r="U135" i="12" s="1"/>
  <c r="M136" i="12"/>
  <c r="T136" i="12" s="1"/>
  <c r="N136" i="12"/>
  <c r="U136" i="12" s="1"/>
  <c r="M137" i="12"/>
  <c r="T137" i="12" s="1"/>
  <c r="N137" i="12"/>
  <c r="U137" i="12" s="1"/>
  <c r="M138" i="12"/>
  <c r="T138" i="12" s="1"/>
  <c r="N138" i="12"/>
  <c r="U138" i="12" s="1"/>
  <c r="M139" i="12"/>
  <c r="T139" i="12" s="1"/>
  <c r="N139" i="12"/>
  <c r="U139" i="12" s="1"/>
  <c r="M140" i="12"/>
  <c r="T140" i="12" s="1"/>
  <c r="N140" i="12"/>
  <c r="U140" i="12" s="1"/>
  <c r="M141" i="12"/>
  <c r="T141" i="12" s="1"/>
  <c r="N141" i="12"/>
  <c r="U141" i="12" s="1"/>
  <c r="M142" i="12"/>
  <c r="T142" i="12" s="1"/>
  <c r="N142" i="12"/>
  <c r="M143" i="12"/>
  <c r="T143" i="12" s="1"/>
  <c r="N143" i="12"/>
  <c r="U143" i="12" s="1"/>
  <c r="M144" i="12"/>
  <c r="T144" i="12" s="1"/>
  <c r="N144" i="12"/>
  <c r="U144" i="12" s="1"/>
  <c r="M145" i="12"/>
  <c r="T145" i="12" s="1"/>
  <c r="N145" i="12"/>
  <c r="U145" i="12" s="1"/>
  <c r="M146" i="12"/>
  <c r="T146" i="12" s="1"/>
  <c r="N146" i="12"/>
  <c r="U146" i="12" s="1"/>
  <c r="M147" i="12"/>
  <c r="T147" i="12" s="1"/>
  <c r="N147" i="12"/>
  <c r="U147" i="12" s="1"/>
  <c r="M148" i="12"/>
  <c r="T148" i="12" s="1"/>
  <c r="N148" i="12"/>
  <c r="U148" i="12" s="1"/>
  <c r="M149" i="12"/>
  <c r="T149" i="12" s="1"/>
  <c r="N149" i="12"/>
  <c r="U149" i="12" s="1"/>
  <c r="M150" i="12"/>
  <c r="T150" i="12" s="1"/>
  <c r="N150" i="12"/>
  <c r="U150" i="12" s="1"/>
  <c r="M151" i="12"/>
  <c r="T151" i="12" s="1"/>
  <c r="N151" i="12"/>
  <c r="U151" i="12" s="1"/>
  <c r="M152" i="12"/>
  <c r="T152" i="12" s="1"/>
  <c r="N152" i="12"/>
  <c r="U152" i="12" s="1"/>
  <c r="M153" i="12"/>
  <c r="T153" i="12" s="1"/>
  <c r="N153" i="12"/>
  <c r="M154" i="12"/>
  <c r="T154" i="12" s="1"/>
  <c r="N154" i="12"/>
  <c r="U154" i="12" s="1"/>
  <c r="M155" i="12"/>
  <c r="T155" i="12" s="1"/>
  <c r="N155" i="12"/>
  <c r="U155" i="12" s="1"/>
  <c r="M156" i="12"/>
  <c r="T156" i="12" s="1"/>
  <c r="N156" i="12"/>
  <c r="M157" i="12"/>
  <c r="T157" i="12" s="1"/>
  <c r="N157" i="12"/>
  <c r="U157" i="12" s="1"/>
  <c r="U156" i="12" s="1"/>
  <c r="M158" i="12"/>
  <c r="T158" i="12" s="1"/>
  <c r="N158" i="12"/>
  <c r="M159" i="12"/>
  <c r="T159" i="12" s="1"/>
  <c r="N159" i="12"/>
  <c r="U159" i="12" s="1"/>
  <c r="U158" i="12" s="1"/>
  <c r="M160" i="12"/>
  <c r="T160" i="12" s="1"/>
  <c r="N160" i="12"/>
  <c r="M161" i="12"/>
  <c r="T161" i="12" s="1"/>
  <c r="N161" i="12"/>
  <c r="U161" i="12" s="1"/>
  <c r="U160" i="12" s="1"/>
  <c r="M162" i="12"/>
  <c r="T162" i="12" s="1"/>
  <c r="N162" i="12"/>
  <c r="M163" i="12"/>
  <c r="T163" i="12" s="1"/>
  <c r="N163" i="12"/>
  <c r="U163" i="12" s="1"/>
  <c r="U162" i="12" s="1"/>
  <c r="M164" i="12"/>
  <c r="T164" i="12" s="1"/>
  <c r="N164" i="12"/>
  <c r="M165" i="12"/>
  <c r="T165" i="12" s="1"/>
  <c r="N165" i="12"/>
  <c r="U165" i="12" s="1"/>
  <c r="M166" i="12"/>
  <c r="T166" i="12" s="1"/>
  <c r="N166" i="12"/>
  <c r="U166" i="12" s="1"/>
  <c r="M167" i="12"/>
  <c r="T167" i="12" s="1"/>
  <c r="N167" i="12"/>
  <c r="U167" i="12" s="1"/>
  <c r="M168" i="12"/>
  <c r="T168" i="12" s="1"/>
  <c r="N168" i="12"/>
  <c r="U168" i="12" s="1"/>
  <c r="M169" i="12"/>
  <c r="T169" i="12" s="1"/>
  <c r="N169" i="12"/>
  <c r="U169" i="12" s="1"/>
  <c r="M170" i="12"/>
  <c r="T170" i="12" s="1"/>
  <c r="N170" i="12"/>
  <c r="M171" i="12"/>
  <c r="T171" i="12" s="1"/>
  <c r="N171" i="12"/>
  <c r="U171" i="12" s="1"/>
  <c r="M172" i="12"/>
  <c r="T172" i="12" s="1"/>
  <c r="N172" i="12"/>
  <c r="U172" i="12" s="1"/>
  <c r="M173" i="12"/>
  <c r="T173" i="12" s="1"/>
  <c r="N173" i="12"/>
  <c r="M174" i="12"/>
  <c r="T174" i="12" s="1"/>
  <c r="N174" i="12"/>
  <c r="U174" i="12" s="1"/>
  <c r="M175" i="12"/>
  <c r="T175" i="12" s="1"/>
  <c r="N175" i="12"/>
  <c r="U175" i="12" s="1"/>
  <c r="M176" i="12"/>
  <c r="T176" i="12" s="1"/>
  <c r="N176" i="12"/>
  <c r="M177" i="12"/>
  <c r="T177" i="12" s="1"/>
  <c r="N177" i="12"/>
  <c r="U177" i="12" s="1"/>
  <c r="M178" i="12"/>
  <c r="T178" i="12" s="1"/>
  <c r="N178" i="12"/>
  <c r="U178" i="12" s="1"/>
  <c r="M179" i="12"/>
  <c r="T179" i="12" s="1"/>
  <c r="N179" i="12"/>
  <c r="U179" i="12" s="1"/>
  <c r="M180" i="12"/>
  <c r="T180" i="12" s="1"/>
  <c r="N180" i="12"/>
  <c r="U180" i="12" s="1"/>
  <c r="M181" i="12"/>
  <c r="T181" i="12" s="1"/>
  <c r="N181" i="12"/>
  <c r="U181" i="12" s="1"/>
  <c r="M182" i="12"/>
  <c r="T182" i="12" s="1"/>
  <c r="N182" i="12"/>
  <c r="U182" i="12" s="1"/>
  <c r="M183" i="12"/>
  <c r="T183" i="12" s="1"/>
  <c r="N183" i="12"/>
  <c r="U183" i="12" s="1"/>
  <c r="M184" i="12"/>
  <c r="T184" i="12" s="1"/>
  <c r="N184" i="12"/>
  <c r="M185" i="12"/>
  <c r="T185" i="12" s="1"/>
  <c r="N185" i="12"/>
  <c r="U185" i="12" s="1"/>
  <c r="U184" i="12" s="1"/>
  <c r="M186" i="12"/>
  <c r="T186" i="12" s="1"/>
  <c r="N186" i="12"/>
  <c r="M187" i="12"/>
  <c r="T187" i="12" s="1"/>
  <c r="N187" i="12"/>
  <c r="U187" i="12" s="1"/>
  <c r="U186" i="12" s="1"/>
  <c r="M188" i="12"/>
  <c r="T188" i="12" s="1"/>
  <c r="N188" i="12"/>
  <c r="M189" i="12"/>
  <c r="T189" i="12" s="1"/>
  <c r="N189" i="12"/>
  <c r="U189" i="12" s="1"/>
  <c r="M190" i="12"/>
  <c r="T190" i="12" s="1"/>
  <c r="N190" i="12"/>
  <c r="U190" i="12" s="1"/>
  <c r="M191" i="12"/>
  <c r="T191" i="12" s="1"/>
  <c r="N191" i="12"/>
  <c r="U191" i="12" s="1"/>
  <c r="M192" i="12"/>
  <c r="T192" i="12" s="1"/>
  <c r="N192" i="12"/>
  <c r="U192" i="12" s="1"/>
  <c r="M193" i="12"/>
  <c r="T193" i="12" s="1"/>
  <c r="N193" i="12"/>
  <c r="U193" i="12" s="1"/>
  <c r="M194" i="12"/>
  <c r="T194" i="12" s="1"/>
  <c r="N194" i="12"/>
  <c r="U194" i="12" s="1"/>
  <c r="M195" i="12"/>
  <c r="T195" i="12" s="1"/>
  <c r="N195" i="12"/>
  <c r="U195" i="12" s="1"/>
  <c r="M196" i="12"/>
  <c r="T196" i="12" s="1"/>
  <c r="N196" i="12"/>
  <c r="U196" i="12" s="1"/>
  <c r="M197" i="12"/>
  <c r="T197" i="12" s="1"/>
  <c r="N197" i="12"/>
  <c r="U197" i="12" s="1"/>
  <c r="M198" i="12"/>
  <c r="T198" i="12" s="1"/>
  <c r="N198" i="12"/>
  <c r="U198" i="12" s="1"/>
  <c r="M199" i="12"/>
  <c r="T199" i="12" s="1"/>
  <c r="N199" i="12"/>
  <c r="U199" i="12" s="1"/>
  <c r="M200" i="12"/>
  <c r="T200" i="12" s="1"/>
  <c r="N200" i="12"/>
  <c r="U200" i="12" s="1"/>
  <c r="M201" i="12"/>
  <c r="T201" i="12" s="1"/>
  <c r="N201" i="12"/>
  <c r="U201" i="12" s="1"/>
  <c r="M202" i="12"/>
  <c r="T202" i="12" s="1"/>
  <c r="N202" i="12"/>
  <c r="U202" i="12" s="1"/>
  <c r="M203" i="12"/>
  <c r="T203" i="12" s="1"/>
  <c r="N203" i="12"/>
  <c r="U203" i="12" s="1"/>
  <c r="M204" i="12"/>
  <c r="T204" i="12" s="1"/>
  <c r="N204" i="12"/>
  <c r="U204" i="12" s="1"/>
  <c r="M205" i="12"/>
  <c r="T205" i="12" s="1"/>
  <c r="N205" i="12"/>
  <c r="U205" i="12" s="1"/>
  <c r="M206" i="12"/>
  <c r="T206" i="12" s="1"/>
  <c r="N206" i="12"/>
  <c r="U206" i="12" s="1"/>
  <c r="M207" i="12"/>
  <c r="T207" i="12" s="1"/>
  <c r="N207" i="12"/>
  <c r="U207" i="12" s="1"/>
  <c r="M208" i="12"/>
  <c r="T208" i="12" s="1"/>
  <c r="N208" i="12"/>
  <c r="U208" i="12" s="1"/>
  <c r="M209" i="12"/>
  <c r="T209" i="12" s="1"/>
  <c r="N209" i="12"/>
  <c r="U209" i="12" s="1"/>
  <c r="M210" i="12"/>
  <c r="T210" i="12" s="1"/>
  <c r="N210" i="12"/>
  <c r="U210" i="12" s="1"/>
  <c r="M211" i="12"/>
  <c r="T211" i="12" s="1"/>
  <c r="N211" i="12"/>
  <c r="U211" i="12" s="1"/>
  <c r="M212" i="12"/>
  <c r="T212" i="12" s="1"/>
  <c r="N212" i="12"/>
  <c r="U212" i="12" s="1"/>
  <c r="M213" i="12"/>
  <c r="T213" i="12" s="1"/>
  <c r="N213" i="12"/>
  <c r="U213" i="12" s="1"/>
  <c r="M214" i="12"/>
  <c r="T214" i="12" s="1"/>
  <c r="N214" i="12"/>
  <c r="U214" i="12" s="1"/>
  <c r="M215" i="12"/>
  <c r="T215" i="12" s="1"/>
  <c r="N215" i="12"/>
  <c r="U215" i="12" s="1"/>
  <c r="M216" i="12"/>
  <c r="T216" i="12" s="1"/>
  <c r="N216" i="12"/>
  <c r="U216" i="12" s="1"/>
  <c r="M217" i="12"/>
  <c r="T217" i="12" s="1"/>
  <c r="N217" i="12"/>
  <c r="U217" i="12" s="1"/>
  <c r="M218" i="12"/>
  <c r="T218" i="12" s="1"/>
  <c r="N218" i="12"/>
  <c r="U218" i="12" s="1"/>
  <c r="M219" i="12"/>
  <c r="T219" i="12" s="1"/>
  <c r="N219" i="12"/>
  <c r="U219" i="12" s="1"/>
  <c r="M220" i="12"/>
  <c r="T220" i="12" s="1"/>
  <c r="N220" i="12"/>
  <c r="U220" i="12" s="1"/>
  <c r="M221" i="12"/>
  <c r="T221" i="12" s="1"/>
  <c r="N221" i="12"/>
  <c r="U221" i="12" s="1"/>
  <c r="M222" i="12"/>
  <c r="T222" i="12" s="1"/>
  <c r="N222" i="12"/>
  <c r="U222" i="12" s="1"/>
  <c r="M223" i="12"/>
  <c r="T223" i="12" s="1"/>
  <c r="N223" i="12"/>
  <c r="U223" i="12" s="1"/>
  <c r="M224" i="12"/>
  <c r="T224" i="12" s="1"/>
  <c r="N224" i="12"/>
  <c r="U224" i="12" s="1"/>
  <c r="M225" i="12"/>
  <c r="T225" i="12" s="1"/>
  <c r="N225" i="12"/>
  <c r="U225" i="12" s="1"/>
  <c r="M226" i="12"/>
  <c r="T226" i="12" s="1"/>
  <c r="N226" i="12"/>
  <c r="U226" i="12" s="1"/>
  <c r="M227" i="12"/>
  <c r="T227" i="12" s="1"/>
  <c r="N227" i="12"/>
  <c r="U227" i="12" s="1"/>
  <c r="M228" i="12"/>
  <c r="T228" i="12" s="1"/>
  <c r="N228" i="12"/>
  <c r="U228" i="12" s="1"/>
  <c r="M229" i="12"/>
  <c r="T229" i="12" s="1"/>
  <c r="N229" i="12"/>
  <c r="U229" i="12" s="1"/>
  <c r="M230" i="12"/>
  <c r="T230" i="12" s="1"/>
  <c r="N230" i="12"/>
  <c r="U230" i="12" s="1"/>
  <c r="M231" i="12"/>
  <c r="T231" i="12" s="1"/>
  <c r="N231" i="12"/>
  <c r="U231" i="12" s="1"/>
  <c r="M232" i="12"/>
  <c r="T232" i="12" s="1"/>
  <c r="N232" i="12"/>
  <c r="U232" i="12" s="1"/>
  <c r="M233" i="12"/>
  <c r="T233" i="12" s="1"/>
  <c r="N233" i="12"/>
  <c r="U233" i="12" s="1"/>
  <c r="M234" i="12"/>
  <c r="T234" i="12" s="1"/>
  <c r="N234" i="12"/>
  <c r="U234" i="12" s="1"/>
  <c r="M235" i="12"/>
  <c r="T235" i="12" s="1"/>
  <c r="N235" i="12"/>
  <c r="U235" i="12" s="1"/>
  <c r="M236" i="12"/>
  <c r="T236" i="12" s="1"/>
  <c r="N236" i="12"/>
  <c r="M237" i="12"/>
  <c r="T237" i="12" s="1"/>
  <c r="N237" i="12"/>
  <c r="U237" i="12" s="1"/>
  <c r="M238" i="12"/>
  <c r="T238" i="12" s="1"/>
  <c r="N238" i="12"/>
  <c r="U238" i="12" s="1"/>
  <c r="M239" i="12"/>
  <c r="T239" i="12" s="1"/>
  <c r="N239" i="12"/>
  <c r="U239" i="12" s="1"/>
  <c r="M240" i="12"/>
  <c r="T240" i="12" s="1"/>
  <c r="N240" i="12"/>
  <c r="U240" i="12" s="1"/>
  <c r="M241" i="12"/>
  <c r="T241" i="12" s="1"/>
  <c r="N241" i="12"/>
  <c r="U241" i="12" s="1"/>
  <c r="M242" i="12"/>
  <c r="T242" i="12" s="1"/>
  <c r="N242" i="12"/>
  <c r="U242" i="12" s="1"/>
  <c r="M243" i="12"/>
  <c r="T243" i="12" s="1"/>
  <c r="N243" i="12"/>
  <c r="U243" i="12" s="1"/>
  <c r="M244" i="12"/>
  <c r="T244" i="12" s="1"/>
  <c r="N244" i="12"/>
  <c r="U244" i="12" s="1"/>
  <c r="M245" i="12"/>
  <c r="T245" i="12" s="1"/>
  <c r="N245" i="12"/>
  <c r="U245" i="12" s="1"/>
  <c r="M246" i="12"/>
  <c r="T246" i="12" s="1"/>
  <c r="N246" i="12"/>
  <c r="M247" i="12"/>
  <c r="T247" i="12" s="1"/>
  <c r="N247" i="12"/>
  <c r="U247" i="12" s="1"/>
  <c r="U246" i="12" s="1"/>
  <c r="M249" i="12"/>
  <c r="T249" i="12" s="1"/>
  <c r="N249" i="12"/>
  <c r="U249" i="12" s="1"/>
  <c r="M250" i="12"/>
  <c r="T250" i="12" s="1"/>
  <c r="N250" i="12"/>
  <c r="M251" i="12"/>
  <c r="T251" i="12" s="1"/>
  <c r="N251" i="12"/>
  <c r="U251" i="12" s="1"/>
  <c r="M252" i="12"/>
  <c r="T252" i="12" s="1"/>
  <c r="N252" i="12"/>
  <c r="U252" i="12" s="1"/>
  <c r="M253" i="12"/>
  <c r="T253" i="12" s="1"/>
  <c r="N253" i="12"/>
  <c r="U253" i="12" s="1"/>
  <c r="M254" i="12"/>
  <c r="T254" i="12" s="1"/>
  <c r="N254" i="12"/>
  <c r="U254" i="12" s="1"/>
  <c r="M255" i="12"/>
  <c r="T255" i="12" s="1"/>
  <c r="N255" i="12"/>
  <c r="U255" i="12" s="1"/>
  <c r="M256" i="12"/>
  <c r="T256" i="12" s="1"/>
  <c r="N256" i="12"/>
  <c r="U256" i="12" s="1"/>
  <c r="M257" i="12"/>
  <c r="T257" i="12" s="1"/>
  <c r="N257" i="12"/>
  <c r="U257" i="12" s="1"/>
  <c r="M258" i="12"/>
  <c r="T258" i="12" s="1"/>
  <c r="N258" i="12"/>
  <c r="U258" i="12" s="1"/>
  <c r="M259" i="12"/>
  <c r="T259" i="12" s="1"/>
  <c r="N259" i="12"/>
  <c r="U259" i="12" s="1"/>
  <c r="M260" i="12"/>
  <c r="T260" i="12" s="1"/>
  <c r="N260" i="12"/>
  <c r="U260" i="12" s="1"/>
  <c r="M261" i="12"/>
  <c r="T261" i="12" s="1"/>
  <c r="N261" i="12"/>
  <c r="U261" i="12" s="1"/>
  <c r="M262" i="12"/>
  <c r="T262" i="12" s="1"/>
  <c r="N262" i="12"/>
  <c r="U262" i="12" s="1"/>
  <c r="M263" i="12"/>
  <c r="T263" i="12" s="1"/>
  <c r="N263" i="12"/>
  <c r="U263" i="12" s="1"/>
  <c r="M264" i="12"/>
  <c r="T264" i="12" s="1"/>
  <c r="N264" i="12"/>
  <c r="U264" i="12" s="1"/>
  <c r="M265" i="12"/>
  <c r="T265" i="12" s="1"/>
  <c r="N265" i="12"/>
  <c r="U265" i="12" s="1"/>
  <c r="M266" i="12"/>
  <c r="T266" i="12" s="1"/>
  <c r="N266" i="12"/>
  <c r="U266" i="12" s="1"/>
  <c r="M267" i="12"/>
  <c r="T267" i="12" s="1"/>
  <c r="N267" i="12"/>
  <c r="U267" i="12" s="1"/>
  <c r="M268" i="12"/>
  <c r="T268" i="12" s="1"/>
  <c r="N268" i="12"/>
  <c r="U268" i="12" s="1"/>
  <c r="M269" i="12"/>
  <c r="T269" i="12" s="1"/>
  <c r="N269" i="12"/>
  <c r="U269" i="12" s="1"/>
  <c r="M270" i="12"/>
  <c r="T270" i="12" s="1"/>
  <c r="N270" i="12"/>
  <c r="M271" i="12"/>
  <c r="T271" i="12" s="1"/>
  <c r="N271" i="12"/>
  <c r="U271" i="12" s="1"/>
  <c r="M272" i="12"/>
  <c r="T272" i="12" s="1"/>
  <c r="N272" i="12"/>
  <c r="U272" i="12" s="1"/>
  <c r="M273" i="12"/>
  <c r="T273" i="12" s="1"/>
  <c r="N273" i="12"/>
  <c r="U273" i="12" s="1"/>
  <c r="M274" i="12"/>
  <c r="T274" i="12" s="1"/>
  <c r="N274" i="12"/>
  <c r="U274" i="12" s="1"/>
  <c r="M275" i="12"/>
  <c r="T275" i="12" s="1"/>
  <c r="N275" i="12"/>
  <c r="U275" i="12" s="1"/>
  <c r="M276" i="12"/>
  <c r="T276" i="12" s="1"/>
  <c r="N276" i="12"/>
  <c r="U276" i="12" s="1"/>
  <c r="M277" i="12"/>
  <c r="T277" i="12" s="1"/>
  <c r="N277" i="12"/>
  <c r="U277" i="12" s="1"/>
  <c r="M278" i="12"/>
  <c r="T278" i="12" s="1"/>
  <c r="N278" i="12"/>
  <c r="U278" i="12" s="1"/>
  <c r="M279" i="12"/>
  <c r="T279" i="12" s="1"/>
  <c r="N279" i="12"/>
  <c r="U279" i="12" s="1"/>
  <c r="M280" i="12"/>
  <c r="T280" i="12" s="1"/>
  <c r="N280" i="12"/>
  <c r="U280" i="12" s="1"/>
  <c r="M281" i="12"/>
  <c r="T281" i="12" s="1"/>
  <c r="N281" i="12"/>
  <c r="U281" i="12" s="1"/>
  <c r="M282" i="12"/>
  <c r="T282" i="12" s="1"/>
  <c r="N282" i="12"/>
  <c r="U282" i="12" s="1"/>
  <c r="M283" i="12"/>
  <c r="T283" i="12" s="1"/>
  <c r="N283" i="12"/>
  <c r="U283" i="12" s="1"/>
  <c r="M284" i="12"/>
  <c r="T284" i="12" s="1"/>
  <c r="N284" i="12"/>
  <c r="U284" i="12" s="1"/>
  <c r="M285" i="12"/>
  <c r="T285" i="12" s="1"/>
  <c r="N285" i="12"/>
  <c r="U285" i="12" s="1"/>
  <c r="M286" i="12"/>
  <c r="T286" i="12" s="1"/>
  <c r="N286" i="12"/>
  <c r="U286" i="12" s="1"/>
  <c r="M287" i="12"/>
  <c r="T287" i="12" s="1"/>
  <c r="N287" i="12"/>
  <c r="U287" i="12" s="1"/>
  <c r="M288" i="12"/>
  <c r="T288" i="12" s="1"/>
  <c r="N288" i="12"/>
  <c r="M289" i="12"/>
  <c r="T289" i="12" s="1"/>
  <c r="N289" i="12"/>
  <c r="U289" i="12" s="1"/>
  <c r="M290" i="12"/>
  <c r="T290" i="12" s="1"/>
  <c r="N290" i="12"/>
  <c r="U290" i="12" s="1"/>
  <c r="M291" i="12"/>
  <c r="T291" i="12" s="1"/>
  <c r="N291" i="12"/>
  <c r="U291" i="12" s="1"/>
  <c r="M292" i="12"/>
  <c r="T292" i="12" s="1"/>
  <c r="N292" i="12"/>
  <c r="U292" i="12" s="1"/>
  <c r="M293" i="12"/>
  <c r="T293" i="12" s="1"/>
  <c r="N293" i="12"/>
  <c r="U293" i="12" s="1"/>
  <c r="M294" i="12"/>
  <c r="T294" i="12" s="1"/>
  <c r="N294" i="12"/>
  <c r="M295" i="12"/>
  <c r="T295" i="12" s="1"/>
  <c r="N295" i="12"/>
  <c r="U295" i="12" s="1"/>
  <c r="M296" i="12"/>
  <c r="T296" i="12" s="1"/>
  <c r="N296" i="12"/>
  <c r="U296" i="12" s="1"/>
  <c r="M297" i="12"/>
  <c r="T297" i="12" s="1"/>
  <c r="N297" i="12"/>
  <c r="M298" i="12"/>
  <c r="T298" i="12" s="1"/>
  <c r="N298" i="12"/>
  <c r="U298" i="12" s="1"/>
  <c r="M299" i="12"/>
  <c r="T299" i="12" s="1"/>
  <c r="N299" i="12"/>
  <c r="U299" i="12" s="1"/>
  <c r="M300" i="12"/>
  <c r="T300" i="12" s="1"/>
  <c r="N300" i="12"/>
  <c r="U300" i="12" s="1"/>
  <c r="M301" i="12"/>
  <c r="T301" i="12" s="1"/>
  <c r="N301" i="12"/>
  <c r="U301" i="12" s="1"/>
  <c r="M302" i="12"/>
  <c r="T302" i="12" s="1"/>
  <c r="N302" i="12"/>
  <c r="U302" i="12" s="1"/>
  <c r="M303" i="12"/>
  <c r="T303" i="12" s="1"/>
  <c r="N303" i="12"/>
  <c r="M304" i="12"/>
  <c r="T304" i="12" s="1"/>
  <c r="N304" i="12"/>
  <c r="U304" i="12" s="1"/>
  <c r="M305" i="12"/>
  <c r="T305" i="12" s="1"/>
  <c r="N305" i="12"/>
  <c r="U305" i="12" s="1"/>
  <c r="M306" i="12"/>
  <c r="T306" i="12" s="1"/>
  <c r="N306" i="12"/>
  <c r="U306" i="12" s="1"/>
  <c r="M307" i="12"/>
  <c r="T307" i="12" s="1"/>
  <c r="N307" i="12"/>
  <c r="U307" i="12" s="1"/>
  <c r="M308" i="12"/>
  <c r="T308" i="12" s="1"/>
  <c r="N308" i="12"/>
  <c r="U308" i="12" s="1"/>
  <c r="M309" i="12"/>
  <c r="T309" i="12" s="1"/>
  <c r="N309" i="12"/>
  <c r="M310" i="12"/>
  <c r="T310" i="12" s="1"/>
  <c r="N310" i="12"/>
  <c r="U310" i="12" s="1"/>
  <c r="M311" i="12"/>
  <c r="T311" i="12" s="1"/>
  <c r="N311" i="12"/>
  <c r="U311" i="12" s="1"/>
  <c r="M312" i="12"/>
  <c r="T312" i="12" s="1"/>
  <c r="N312" i="12"/>
  <c r="M313" i="12"/>
  <c r="T313" i="12" s="1"/>
  <c r="N313" i="12"/>
  <c r="U313" i="12" s="1"/>
  <c r="U312" i="12" s="1"/>
  <c r="M314" i="12"/>
  <c r="T314" i="12" s="1"/>
  <c r="N314" i="12"/>
  <c r="M315" i="12"/>
  <c r="T315" i="12" s="1"/>
  <c r="N315" i="12"/>
  <c r="U315" i="12" s="1"/>
  <c r="M316" i="12"/>
  <c r="T316" i="12" s="1"/>
  <c r="N316" i="12"/>
  <c r="U316" i="12" s="1"/>
  <c r="M317" i="12"/>
  <c r="T317" i="12" s="1"/>
  <c r="N317" i="12"/>
  <c r="U317" i="12" s="1"/>
  <c r="M318" i="12"/>
  <c r="T318" i="12" s="1"/>
  <c r="N318" i="12"/>
  <c r="U318" i="12" s="1"/>
  <c r="M319" i="12"/>
  <c r="T319" i="12" s="1"/>
  <c r="N319" i="12"/>
  <c r="U319" i="12" s="1"/>
  <c r="M320" i="12"/>
  <c r="T320" i="12" s="1"/>
  <c r="N320" i="12"/>
  <c r="U320" i="12" s="1"/>
  <c r="M321" i="12"/>
  <c r="T321" i="12" s="1"/>
  <c r="N321" i="12"/>
  <c r="U321" i="12" s="1"/>
  <c r="M322" i="12"/>
  <c r="T322" i="12" s="1"/>
  <c r="N322" i="12"/>
  <c r="U322" i="12" s="1"/>
  <c r="M323" i="12"/>
  <c r="T323" i="12" s="1"/>
  <c r="N323" i="12"/>
  <c r="U323" i="12" s="1"/>
  <c r="M324" i="12"/>
  <c r="T324" i="12" s="1"/>
  <c r="N324" i="12"/>
  <c r="U324" i="12" s="1"/>
  <c r="M325" i="12"/>
  <c r="T325" i="12" s="1"/>
  <c r="N325" i="12"/>
  <c r="U325" i="12" s="1"/>
  <c r="M326" i="12"/>
  <c r="T326" i="12" s="1"/>
  <c r="N326" i="12"/>
  <c r="U326" i="12" s="1"/>
  <c r="M327" i="12"/>
  <c r="T327" i="12" s="1"/>
  <c r="N327" i="12"/>
  <c r="U327" i="12" s="1"/>
  <c r="M328" i="12"/>
  <c r="T328" i="12" s="1"/>
  <c r="N328" i="12"/>
  <c r="U328" i="12" s="1"/>
  <c r="M329" i="12"/>
  <c r="T329" i="12" s="1"/>
  <c r="N329" i="12"/>
  <c r="U329" i="12" s="1"/>
  <c r="M330" i="12"/>
  <c r="T330" i="12" s="1"/>
  <c r="N330" i="12"/>
  <c r="M331" i="12"/>
  <c r="T331" i="12" s="1"/>
  <c r="N331" i="12"/>
  <c r="U331" i="12" s="1"/>
  <c r="M332" i="12"/>
  <c r="T332" i="12" s="1"/>
  <c r="N332" i="12"/>
  <c r="U332" i="12" s="1"/>
  <c r="M333" i="12"/>
  <c r="T333" i="12" s="1"/>
  <c r="N333" i="12"/>
  <c r="U333" i="12" s="1"/>
  <c r="M334" i="12"/>
  <c r="T334" i="12" s="1"/>
  <c r="N334" i="12"/>
  <c r="U334" i="12" s="1"/>
  <c r="M335" i="12"/>
  <c r="T335" i="12" s="1"/>
  <c r="N335" i="12"/>
  <c r="U335" i="12" s="1"/>
  <c r="M336" i="12"/>
  <c r="T336" i="12" s="1"/>
  <c r="N336" i="12"/>
  <c r="M337" i="12"/>
  <c r="T337" i="12" s="1"/>
  <c r="N337" i="12"/>
  <c r="U337" i="12" s="1"/>
  <c r="M338" i="12"/>
  <c r="T338" i="12" s="1"/>
  <c r="N338" i="12"/>
  <c r="U338" i="12" s="1"/>
  <c r="M339" i="12"/>
  <c r="T339" i="12" s="1"/>
  <c r="N339" i="12"/>
  <c r="M340" i="12"/>
  <c r="T340" i="12" s="1"/>
  <c r="N340" i="12"/>
  <c r="U340" i="12" s="1"/>
  <c r="U339" i="12" s="1"/>
  <c r="M341" i="12"/>
  <c r="T341" i="12" s="1"/>
  <c r="N341" i="12"/>
  <c r="M342" i="12"/>
  <c r="T342" i="12" s="1"/>
  <c r="N342" i="12"/>
  <c r="U342" i="12" s="1"/>
  <c r="M343" i="12"/>
  <c r="T343" i="12" s="1"/>
  <c r="N343" i="12"/>
  <c r="U343" i="12" s="1"/>
  <c r="M344" i="12"/>
  <c r="T344" i="12" s="1"/>
  <c r="N344" i="12"/>
  <c r="U344" i="12" s="1"/>
  <c r="M345" i="12"/>
  <c r="T345" i="12" s="1"/>
  <c r="N345" i="12"/>
  <c r="U345" i="12" s="1"/>
  <c r="M346" i="12"/>
  <c r="T346" i="12" s="1"/>
  <c r="N346" i="12"/>
  <c r="U346" i="12" s="1"/>
  <c r="M347" i="12"/>
  <c r="T347" i="12" s="1"/>
  <c r="N347" i="12"/>
  <c r="U347" i="12" s="1"/>
  <c r="M348" i="12"/>
  <c r="T348" i="12" s="1"/>
  <c r="N348" i="12"/>
  <c r="U348" i="12" s="1"/>
  <c r="M349" i="12"/>
  <c r="T349" i="12" s="1"/>
  <c r="N349" i="12"/>
  <c r="U349" i="12" s="1"/>
  <c r="M350" i="12"/>
  <c r="T350" i="12" s="1"/>
  <c r="N350" i="12"/>
  <c r="U350" i="12" s="1"/>
  <c r="M351" i="12"/>
  <c r="T351" i="12" s="1"/>
  <c r="N351" i="12"/>
  <c r="U351" i="12" s="1"/>
  <c r="M352" i="12"/>
  <c r="T352" i="12" s="1"/>
  <c r="N352" i="12"/>
  <c r="U352" i="12" s="1"/>
  <c r="M353" i="12"/>
  <c r="T353" i="12" s="1"/>
  <c r="N353" i="12"/>
  <c r="U353" i="12" s="1"/>
  <c r="M354" i="12"/>
  <c r="T354" i="12" s="1"/>
  <c r="N354" i="12"/>
  <c r="U354" i="12" s="1"/>
  <c r="M355" i="12"/>
  <c r="T355" i="12" s="1"/>
  <c r="N355" i="12"/>
  <c r="M356" i="12"/>
  <c r="T356" i="12" s="1"/>
  <c r="N356" i="12"/>
  <c r="U356" i="12" s="1"/>
  <c r="M357" i="12"/>
  <c r="T357" i="12" s="1"/>
  <c r="N357" i="12"/>
  <c r="U357" i="12" s="1"/>
  <c r="M358" i="12"/>
  <c r="T358" i="12" s="1"/>
  <c r="N358" i="12"/>
  <c r="U358" i="12" s="1"/>
  <c r="M359" i="12"/>
  <c r="T359" i="12" s="1"/>
  <c r="N359" i="12"/>
  <c r="M360" i="12"/>
  <c r="T360" i="12" s="1"/>
  <c r="N360" i="12"/>
  <c r="U360" i="12" s="1"/>
  <c r="U359" i="12" s="1"/>
  <c r="M361" i="12"/>
  <c r="T361" i="12" s="1"/>
  <c r="N361" i="12"/>
  <c r="M362" i="12"/>
  <c r="T362" i="12" s="1"/>
  <c r="N362" i="12"/>
  <c r="U362" i="12" s="1"/>
  <c r="U361" i="12" s="1"/>
  <c r="M363" i="12"/>
  <c r="T363" i="12" s="1"/>
  <c r="N363" i="12"/>
  <c r="M364" i="12"/>
  <c r="T364" i="12" s="1"/>
  <c r="N364" i="12"/>
  <c r="U364" i="12" s="1"/>
  <c r="M365" i="12"/>
  <c r="T365" i="12" s="1"/>
  <c r="N365" i="12"/>
  <c r="U365" i="12" s="1"/>
  <c r="M366" i="12"/>
  <c r="T366" i="12" s="1"/>
  <c r="N366" i="12"/>
  <c r="U366" i="12" s="1"/>
  <c r="M367" i="12"/>
  <c r="T367" i="12" s="1"/>
  <c r="N367" i="12"/>
  <c r="U367" i="12" s="1"/>
  <c r="M368" i="12"/>
  <c r="T368" i="12" s="1"/>
  <c r="N368" i="12"/>
  <c r="U368" i="12" s="1"/>
  <c r="M369" i="12"/>
  <c r="T369" i="12" s="1"/>
  <c r="N369" i="12"/>
  <c r="U369" i="12" s="1"/>
  <c r="M370" i="12"/>
  <c r="T370" i="12" s="1"/>
  <c r="N370" i="12"/>
  <c r="U370" i="12" s="1"/>
  <c r="M371" i="12"/>
  <c r="T371" i="12" s="1"/>
  <c r="N371" i="12"/>
  <c r="U371" i="12" s="1"/>
  <c r="M372" i="12"/>
  <c r="T372" i="12" s="1"/>
  <c r="N372" i="12"/>
  <c r="U372" i="12" s="1"/>
  <c r="M373" i="12"/>
  <c r="T373" i="12" s="1"/>
  <c r="N373" i="12"/>
  <c r="U373" i="12" s="1"/>
  <c r="M374" i="12"/>
  <c r="T374" i="12" s="1"/>
  <c r="N374" i="12"/>
  <c r="U374" i="12" s="1"/>
  <c r="M375" i="12"/>
  <c r="T375" i="12" s="1"/>
  <c r="N375" i="12"/>
  <c r="U375" i="12" s="1"/>
  <c r="M376" i="12"/>
  <c r="T376" i="12" s="1"/>
  <c r="N376" i="12"/>
  <c r="U376" i="12" s="1"/>
  <c r="M377" i="12"/>
  <c r="T377" i="12" s="1"/>
  <c r="N377" i="12"/>
  <c r="U377" i="12" s="1"/>
  <c r="M378" i="12"/>
  <c r="T378" i="12" s="1"/>
  <c r="N378" i="12"/>
  <c r="U378" i="12" s="1"/>
  <c r="M379" i="12"/>
  <c r="T379" i="12" s="1"/>
  <c r="N379" i="12"/>
  <c r="U379" i="12" s="1"/>
  <c r="M380" i="12"/>
  <c r="T380" i="12" s="1"/>
  <c r="N380" i="12"/>
  <c r="U380" i="12" s="1"/>
  <c r="M381" i="12"/>
  <c r="T381" i="12" s="1"/>
  <c r="N381" i="12"/>
  <c r="U381" i="12" s="1"/>
  <c r="M382" i="12"/>
  <c r="T382" i="12" s="1"/>
  <c r="N382" i="12"/>
  <c r="U382" i="12" s="1"/>
  <c r="M383" i="12"/>
  <c r="T383" i="12" s="1"/>
  <c r="N383" i="12"/>
  <c r="U383" i="12" s="1"/>
  <c r="M384" i="12"/>
  <c r="T384" i="12" s="1"/>
  <c r="N384" i="12"/>
  <c r="U384" i="12" s="1"/>
  <c r="M385" i="12"/>
  <c r="T385" i="12" s="1"/>
  <c r="N385" i="12"/>
  <c r="U385" i="12" s="1"/>
  <c r="M386" i="12"/>
  <c r="T386" i="12" s="1"/>
  <c r="N386" i="12"/>
  <c r="U386" i="12" s="1"/>
  <c r="M387" i="12"/>
  <c r="T387" i="12" s="1"/>
  <c r="N387" i="12"/>
  <c r="U387" i="12" s="1"/>
  <c r="M388" i="12"/>
  <c r="T388" i="12" s="1"/>
  <c r="N388" i="12"/>
  <c r="U388" i="12" s="1"/>
  <c r="M389" i="12"/>
  <c r="T389" i="12" s="1"/>
  <c r="N389" i="12"/>
  <c r="U389" i="12" s="1"/>
  <c r="M390" i="12"/>
  <c r="T390" i="12" s="1"/>
  <c r="N390" i="12"/>
  <c r="U390" i="12" s="1"/>
  <c r="M391" i="12"/>
  <c r="T391" i="12" s="1"/>
  <c r="N391" i="12"/>
  <c r="U391" i="12" s="1"/>
  <c r="M392" i="12"/>
  <c r="T392" i="12" s="1"/>
  <c r="N392" i="12"/>
  <c r="U392" i="12" s="1"/>
  <c r="M393" i="12"/>
  <c r="T393" i="12" s="1"/>
  <c r="N393" i="12"/>
  <c r="U393" i="12" s="1"/>
  <c r="M394" i="12"/>
  <c r="T394" i="12" s="1"/>
  <c r="N394" i="12"/>
  <c r="U394" i="12" s="1"/>
  <c r="M395" i="12"/>
  <c r="T395" i="12" s="1"/>
  <c r="N395" i="12"/>
  <c r="U395" i="12" s="1"/>
  <c r="M396" i="12"/>
  <c r="T396" i="12" s="1"/>
  <c r="N396" i="12"/>
  <c r="U396" i="12" s="1"/>
  <c r="M397" i="12"/>
  <c r="T397" i="12" s="1"/>
  <c r="N397" i="12"/>
  <c r="U397" i="12" s="1"/>
  <c r="M398" i="12"/>
  <c r="T398" i="12" s="1"/>
  <c r="N398" i="12"/>
  <c r="U398" i="12" s="1"/>
  <c r="M399" i="12"/>
  <c r="T399" i="12" s="1"/>
  <c r="N399" i="12"/>
  <c r="U399" i="12" s="1"/>
  <c r="M400" i="12"/>
  <c r="T400" i="12" s="1"/>
  <c r="N400" i="12"/>
  <c r="U400" i="12" s="1"/>
  <c r="M401" i="12"/>
  <c r="T401" i="12" s="1"/>
  <c r="N401" i="12"/>
  <c r="U401" i="12" s="1"/>
  <c r="M402" i="12"/>
  <c r="T402" i="12" s="1"/>
  <c r="N402" i="12"/>
  <c r="U402" i="12" s="1"/>
  <c r="M403" i="12"/>
  <c r="T403" i="12" s="1"/>
  <c r="N403" i="12"/>
  <c r="U403" i="12" s="1"/>
  <c r="M404" i="12"/>
  <c r="T404" i="12" s="1"/>
  <c r="N404" i="12"/>
  <c r="U404" i="12" s="1"/>
  <c r="M405" i="12"/>
  <c r="T405" i="12" s="1"/>
  <c r="N405" i="12"/>
  <c r="U405" i="12" s="1"/>
  <c r="M406" i="12"/>
  <c r="T406" i="12" s="1"/>
  <c r="N406" i="12"/>
  <c r="U406" i="12" s="1"/>
  <c r="M407" i="12"/>
  <c r="T407" i="12" s="1"/>
  <c r="N407" i="12"/>
  <c r="U407" i="12" s="1"/>
  <c r="M408" i="12"/>
  <c r="T408" i="12" s="1"/>
  <c r="N408" i="12"/>
  <c r="U408" i="12" s="1"/>
  <c r="M409" i="12"/>
  <c r="T409" i="12" s="1"/>
  <c r="N409" i="12"/>
  <c r="U409" i="12" s="1"/>
  <c r="M410" i="12"/>
  <c r="T410" i="12" s="1"/>
  <c r="N410" i="12"/>
  <c r="U410" i="12" s="1"/>
  <c r="M411" i="12"/>
  <c r="T411" i="12" s="1"/>
  <c r="N411" i="12"/>
  <c r="U411" i="12" s="1"/>
  <c r="M412" i="12"/>
  <c r="T412" i="12" s="1"/>
  <c r="N412" i="12"/>
  <c r="U412" i="12" s="1"/>
  <c r="M413" i="12"/>
  <c r="T413" i="12" s="1"/>
  <c r="N413" i="12"/>
  <c r="U413" i="12" s="1"/>
  <c r="M414" i="12"/>
  <c r="T414" i="12" s="1"/>
  <c r="N414" i="12"/>
  <c r="U414" i="12" s="1"/>
  <c r="M415" i="12"/>
  <c r="T415" i="12" s="1"/>
  <c r="N415" i="12"/>
  <c r="U415" i="12" s="1"/>
  <c r="M416" i="12"/>
  <c r="T416" i="12" s="1"/>
  <c r="N416" i="12"/>
  <c r="U416" i="12" s="1"/>
  <c r="M417" i="12"/>
  <c r="T417" i="12" s="1"/>
  <c r="N417" i="12"/>
  <c r="U417" i="12" s="1"/>
  <c r="M418" i="12"/>
  <c r="T418" i="12" s="1"/>
  <c r="N418" i="12"/>
  <c r="U418" i="12" s="1"/>
  <c r="M419" i="12"/>
  <c r="T419" i="12" s="1"/>
  <c r="N419" i="12"/>
  <c r="U419" i="12" s="1"/>
  <c r="M420" i="12"/>
  <c r="T420" i="12" s="1"/>
  <c r="N420" i="12"/>
  <c r="U420" i="12" s="1"/>
  <c r="M421" i="12"/>
  <c r="T421" i="12" s="1"/>
  <c r="N421" i="12"/>
  <c r="U421" i="12" s="1"/>
  <c r="M422" i="12"/>
  <c r="T422" i="12" s="1"/>
  <c r="N422" i="12"/>
  <c r="U422" i="12" s="1"/>
  <c r="M423" i="12"/>
  <c r="T423" i="12" s="1"/>
  <c r="N423" i="12"/>
  <c r="U423" i="12" s="1"/>
  <c r="M424" i="12"/>
  <c r="T424" i="12" s="1"/>
  <c r="N424" i="12"/>
  <c r="U424" i="12" s="1"/>
  <c r="M425" i="12"/>
  <c r="T425" i="12" s="1"/>
  <c r="N425" i="12"/>
  <c r="U425" i="12" s="1"/>
  <c r="M426" i="12"/>
  <c r="T426" i="12" s="1"/>
  <c r="N426" i="12"/>
  <c r="U426" i="12" s="1"/>
  <c r="M427" i="12"/>
  <c r="T427" i="12" s="1"/>
  <c r="N427" i="12"/>
  <c r="U427" i="12" s="1"/>
  <c r="M428" i="12"/>
  <c r="T428" i="12" s="1"/>
  <c r="N428" i="12"/>
  <c r="U428" i="12" s="1"/>
  <c r="M429" i="12"/>
  <c r="T429" i="12" s="1"/>
  <c r="N429" i="12"/>
  <c r="U429" i="12" s="1"/>
  <c r="M430" i="12"/>
  <c r="T430" i="12" s="1"/>
  <c r="N430" i="12"/>
  <c r="U430" i="12" s="1"/>
  <c r="M431" i="12"/>
  <c r="T431" i="12" s="1"/>
  <c r="N431" i="12"/>
  <c r="U431" i="12" s="1"/>
  <c r="M432" i="12"/>
  <c r="T432" i="12" s="1"/>
  <c r="N432" i="12"/>
  <c r="U432" i="12" s="1"/>
  <c r="M433" i="12"/>
  <c r="T433" i="12" s="1"/>
  <c r="N433" i="12"/>
  <c r="U433" i="12" s="1"/>
  <c r="M434" i="12"/>
  <c r="T434" i="12" s="1"/>
  <c r="N434" i="12"/>
  <c r="U434" i="12" s="1"/>
  <c r="M435" i="12"/>
  <c r="T435" i="12" s="1"/>
  <c r="N435" i="12"/>
  <c r="U435" i="12" s="1"/>
  <c r="M436" i="12"/>
  <c r="T436" i="12" s="1"/>
  <c r="N436" i="12"/>
  <c r="U436" i="12" s="1"/>
  <c r="M437" i="12"/>
  <c r="T437" i="12" s="1"/>
  <c r="N437" i="12"/>
  <c r="U437" i="12" s="1"/>
  <c r="M438" i="12"/>
  <c r="T438" i="12" s="1"/>
  <c r="N438" i="12"/>
  <c r="M439" i="12"/>
  <c r="T439" i="12" s="1"/>
  <c r="N439" i="12"/>
  <c r="U439" i="12" s="1"/>
  <c r="M440" i="12"/>
  <c r="T440" i="12" s="1"/>
  <c r="N440" i="12"/>
  <c r="U440" i="12" s="1"/>
  <c r="M441" i="12"/>
  <c r="T441" i="12" s="1"/>
  <c r="N441" i="12"/>
  <c r="U441" i="12" s="1"/>
  <c r="M442" i="12"/>
  <c r="T442" i="12" s="1"/>
  <c r="N442" i="12"/>
  <c r="U442" i="12" s="1"/>
  <c r="M443" i="12"/>
  <c r="T443" i="12" s="1"/>
  <c r="N443" i="12"/>
  <c r="U443" i="12" s="1"/>
  <c r="M444" i="12"/>
  <c r="T444" i="12" s="1"/>
  <c r="N444" i="12"/>
  <c r="U444" i="12" s="1"/>
  <c r="M445" i="12"/>
  <c r="T445" i="12" s="1"/>
  <c r="N445" i="12"/>
  <c r="U445" i="12" s="1"/>
  <c r="M446" i="12"/>
  <c r="T446" i="12" s="1"/>
  <c r="N446" i="12"/>
  <c r="U446" i="12" s="1"/>
  <c r="M447" i="12"/>
  <c r="T447" i="12" s="1"/>
  <c r="N447" i="12"/>
  <c r="U447" i="12" s="1"/>
  <c r="M448" i="12"/>
  <c r="T448" i="12" s="1"/>
  <c r="N448" i="12"/>
  <c r="U448" i="12" s="1"/>
  <c r="M449" i="12"/>
  <c r="T449" i="12" s="1"/>
  <c r="N449" i="12"/>
  <c r="U449" i="12" s="1"/>
  <c r="M450" i="12"/>
  <c r="T450" i="12" s="1"/>
  <c r="N450" i="12"/>
  <c r="U450" i="12" s="1"/>
  <c r="M451" i="12"/>
  <c r="T451" i="12" s="1"/>
  <c r="N451" i="12"/>
  <c r="U451" i="12" s="1"/>
  <c r="M452" i="12"/>
  <c r="T452" i="12" s="1"/>
  <c r="N452" i="12"/>
  <c r="U452" i="12" s="1"/>
  <c r="M453" i="12"/>
  <c r="T453" i="12" s="1"/>
  <c r="N453" i="12"/>
  <c r="U453" i="12" s="1"/>
  <c r="M454" i="12"/>
  <c r="T454" i="12" s="1"/>
  <c r="N454" i="12"/>
  <c r="U454" i="12" s="1"/>
  <c r="M455" i="12"/>
  <c r="T455" i="12" s="1"/>
  <c r="N455" i="12"/>
  <c r="U455" i="12" s="1"/>
  <c r="M456" i="12"/>
  <c r="T456" i="12" s="1"/>
  <c r="N456" i="12"/>
  <c r="U456" i="12" s="1"/>
  <c r="M457" i="12"/>
  <c r="T457" i="12" s="1"/>
  <c r="N457" i="12"/>
  <c r="U457" i="12" s="1"/>
  <c r="M458" i="12"/>
  <c r="T458" i="12" s="1"/>
  <c r="N458" i="12"/>
  <c r="U458" i="12" s="1"/>
  <c r="M459" i="12"/>
  <c r="T459" i="12" s="1"/>
  <c r="N459" i="12"/>
  <c r="U459" i="12" s="1"/>
  <c r="M460" i="12"/>
  <c r="T460" i="12" s="1"/>
  <c r="N460" i="12"/>
  <c r="U460" i="12" s="1"/>
  <c r="M461" i="12"/>
  <c r="T461" i="12" s="1"/>
  <c r="N461" i="12"/>
  <c r="U461" i="12" s="1"/>
  <c r="M462" i="12"/>
  <c r="T462" i="12" s="1"/>
  <c r="N462" i="12"/>
  <c r="U462" i="12" s="1"/>
  <c r="M463" i="12"/>
  <c r="T463" i="12" s="1"/>
  <c r="N463" i="12"/>
  <c r="U463" i="12" s="1"/>
  <c r="M464" i="12"/>
  <c r="T464" i="12" s="1"/>
  <c r="N464" i="12"/>
  <c r="M465" i="12"/>
  <c r="T465" i="12" s="1"/>
  <c r="N465" i="12"/>
  <c r="U465" i="12" s="1"/>
  <c r="U464" i="12" s="1"/>
  <c r="M466" i="12"/>
  <c r="T466" i="12" s="1"/>
  <c r="N466" i="12"/>
  <c r="M467" i="12"/>
  <c r="T467" i="12" s="1"/>
  <c r="N467" i="12"/>
  <c r="U467" i="12" s="1"/>
  <c r="M468" i="12"/>
  <c r="T468" i="12" s="1"/>
  <c r="N468" i="12"/>
  <c r="U468" i="12" s="1"/>
  <c r="M469" i="12"/>
  <c r="T469" i="12" s="1"/>
  <c r="N469" i="12"/>
  <c r="U469" i="12" s="1"/>
  <c r="M470" i="12"/>
  <c r="T470" i="12" s="1"/>
  <c r="N470" i="12"/>
  <c r="M471" i="12"/>
  <c r="T471" i="12" s="1"/>
  <c r="N471" i="12"/>
  <c r="U471" i="12" s="1"/>
  <c r="U470" i="12" s="1"/>
  <c r="M473" i="12"/>
  <c r="T473" i="12" s="1"/>
  <c r="N473" i="12"/>
  <c r="U473" i="12" s="1"/>
  <c r="M474" i="12"/>
  <c r="T474" i="12" s="1"/>
  <c r="M475" i="12"/>
  <c r="T475" i="12" s="1"/>
  <c r="M476" i="12"/>
  <c r="T476" i="12" s="1"/>
  <c r="M477" i="12"/>
  <c r="T477" i="12" s="1"/>
  <c r="M479" i="12"/>
  <c r="T479" i="12" s="1"/>
  <c r="N479" i="12"/>
  <c r="U479" i="12" s="1"/>
  <c r="M480" i="12"/>
  <c r="T480" i="12" s="1"/>
  <c r="N480" i="12"/>
  <c r="M481" i="12"/>
  <c r="T481" i="12" s="1"/>
  <c r="N481" i="12"/>
  <c r="U481" i="12" s="1"/>
  <c r="M482" i="12"/>
  <c r="T482" i="12" s="1"/>
  <c r="N482" i="12"/>
  <c r="U482" i="12" s="1"/>
  <c r="M483" i="12"/>
  <c r="T483" i="12" s="1"/>
  <c r="N483" i="12"/>
  <c r="U483" i="12" s="1"/>
  <c r="M484" i="12"/>
  <c r="T484" i="12" s="1"/>
  <c r="N484" i="12"/>
  <c r="U484" i="12" s="1"/>
  <c r="M485" i="12"/>
  <c r="T485" i="12" s="1"/>
  <c r="N485" i="12"/>
  <c r="U485" i="12" s="1"/>
  <c r="M486" i="12"/>
  <c r="T486" i="12" s="1"/>
  <c r="N486" i="12"/>
  <c r="U486" i="12" s="1"/>
  <c r="M487" i="12"/>
  <c r="T487" i="12" s="1"/>
  <c r="N487" i="12"/>
  <c r="U487" i="12" s="1"/>
  <c r="M488" i="12"/>
  <c r="T488" i="12" s="1"/>
  <c r="N488" i="12"/>
  <c r="U488" i="12" s="1"/>
  <c r="M489" i="12"/>
  <c r="T489" i="12" s="1"/>
  <c r="N489" i="12"/>
  <c r="U489" i="12" s="1"/>
  <c r="M490" i="12"/>
  <c r="T490" i="12" s="1"/>
  <c r="N490" i="12"/>
  <c r="U490" i="12" s="1"/>
  <c r="M491" i="12"/>
  <c r="T491" i="12" s="1"/>
  <c r="N491" i="12"/>
  <c r="U491" i="12" s="1"/>
  <c r="M492" i="12"/>
  <c r="T492" i="12" s="1"/>
  <c r="N492" i="12"/>
  <c r="U492" i="12" s="1"/>
  <c r="M493" i="12"/>
  <c r="T493" i="12" s="1"/>
  <c r="N493" i="12"/>
  <c r="U493" i="12" s="1"/>
  <c r="M494" i="12"/>
  <c r="T494" i="12" s="1"/>
  <c r="N494" i="12"/>
  <c r="U494" i="12" s="1"/>
  <c r="M495" i="12"/>
  <c r="T495" i="12" s="1"/>
  <c r="N495" i="12"/>
  <c r="U495" i="12" s="1"/>
  <c r="M496" i="12"/>
  <c r="T496" i="12" s="1"/>
  <c r="N496" i="12"/>
  <c r="M497" i="12"/>
  <c r="T497" i="12" s="1"/>
  <c r="N497" i="12"/>
  <c r="U497" i="12" s="1"/>
  <c r="M498" i="12"/>
  <c r="T498" i="12" s="1"/>
  <c r="N498" i="12"/>
  <c r="U498" i="12" s="1"/>
  <c r="M499" i="12"/>
  <c r="T499" i="12" s="1"/>
  <c r="N499" i="12"/>
  <c r="U499" i="12" s="1"/>
  <c r="M500" i="12"/>
  <c r="T500" i="12" s="1"/>
  <c r="N500" i="12"/>
  <c r="U500" i="12" s="1"/>
  <c r="M501" i="12"/>
  <c r="T501" i="12" s="1"/>
  <c r="N501" i="12"/>
  <c r="U501" i="12" s="1"/>
  <c r="M502" i="12"/>
  <c r="T502" i="12" s="1"/>
  <c r="N502" i="12"/>
  <c r="U502" i="12" s="1"/>
  <c r="M503" i="12"/>
  <c r="T503" i="12" s="1"/>
  <c r="N503" i="12"/>
  <c r="U503" i="12" s="1"/>
  <c r="M504" i="12"/>
  <c r="T504" i="12" s="1"/>
  <c r="N504" i="12"/>
  <c r="U504" i="12" s="1"/>
  <c r="M505" i="12"/>
  <c r="T505" i="12" s="1"/>
  <c r="N505" i="12"/>
  <c r="U505" i="12" s="1"/>
  <c r="M506" i="12"/>
  <c r="T506" i="12" s="1"/>
  <c r="N506" i="12"/>
  <c r="U506" i="12" s="1"/>
  <c r="M507" i="12"/>
  <c r="T507" i="12" s="1"/>
  <c r="N507" i="12"/>
  <c r="U507" i="12" s="1"/>
  <c r="M508" i="12"/>
  <c r="T508" i="12" s="1"/>
  <c r="N508" i="12"/>
  <c r="U508" i="12" s="1"/>
  <c r="M509" i="12"/>
  <c r="T509" i="12" s="1"/>
  <c r="N509" i="12"/>
  <c r="U509" i="12" s="1"/>
  <c r="M510" i="12"/>
  <c r="T510" i="12" s="1"/>
  <c r="N510" i="12"/>
  <c r="U510" i="12" s="1"/>
  <c r="M511" i="12"/>
  <c r="T511" i="12" s="1"/>
  <c r="N511" i="12"/>
  <c r="U511" i="12" s="1"/>
  <c r="M512" i="12"/>
  <c r="T512" i="12" s="1"/>
  <c r="N512" i="12"/>
  <c r="M513" i="12"/>
  <c r="T513" i="12" s="1"/>
  <c r="N513" i="12"/>
  <c r="U513" i="12" s="1"/>
  <c r="M514" i="12"/>
  <c r="T514" i="12" s="1"/>
  <c r="N514" i="12"/>
  <c r="U514" i="12" s="1"/>
  <c r="M515" i="12"/>
  <c r="T515" i="12" s="1"/>
  <c r="N515" i="12"/>
  <c r="U515" i="12" s="1"/>
  <c r="M516" i="12"/>
  <c r="T516" i="12" s="1"/>
  <c r="N516" i="12"/>
  <c r="M517" i="12"/>
  <c r="T517" i="12" s="1"/>
  <c r="N517" i="12"/>
  <c r="U517" i="12" s="1"/>
  <c r="M518" i="12"/>
  <c r="T518" i="12" s="1"/>
  <c r="N518" i="12"/>
  <c r="U518" i="12" s="1"/>
  <c r="M519" i="12"/>
  <c r="T519" i="12" s="1"/>
  <c r="N519" i="12"/>
  <c r="M520" i="12"/>
  <c r="T520" i="12" s="1"/>
  <c r="N520" i="12"/>
  <c r="U520" i="12" s="1"/>
  <c r="M521" i="12"/>
  <c r="T521" i="12" s="1"/>
  <c r="N521" i="12"/>
  <c r="U521" i="12" s="1"/>
  <c r="M522" i="12"/>
  <c r="T522" i="12" s="1"/>
  <c r="N522" i="12"/>
  <c r="U522" i="12" s="1"/>
  <c r="M523" i="12"/>
  <c r="T523" i="12" s="1"/>
  <c r="N523" i="12"/>
  <c r="U523" i="12" s="1"/>
  <c r="M524" i="12"/>
  <c r="T524" i="12" s="1"/>
  <c r="N524" i="12"/>
  <c r="M525" i="12"/>
  <c r="T525" i="12" s="1"/>
  <c r="N525" i="12"/>
  <c r="U525" i="12" s="1"/>
  <c r="M526" i="12"/>
  <c r="T526" i="12" s="1"/>
  <c r="N526" i="12"/>
  <c r="U526" i="12" s="1"/>
  <c r="M527" i="12"/>
  <c r="T527" i="12" s="1"/>
  <c r="N527" i="12"/>
  <c r="U527" i="12" s="1"/>
  <c r="M528" i="12"/>
  <c r="T528" i="12" s="1"/>
  <c r="N528" i="12"/>
  <c r="U528" i="12" s="1"/>
  <c r="M529" i="12"/>
  <c r="T529" i="12" s="1"/>
  <c r="N529" i="12"/>
  <c r="M530" i="12"/>
  <c r="T530" i="12" s="1"/>
  <c r="N530" i="12"/>
  <c r="U530" i="12" s="1"/>
  <c r="U529" i="12" s="1"/>
  <c r="M531" i="12"/>
  <c r="T531" i="12" s="1"/>
  <c r="N531" i="12"/>
  <c r="M532" i="12"/>
  <c r="T532" i="12" s="1"/>
  <c r="N532" i="12"/>
  <c r="U532" i="12" s="1"/>
  <c r="U531" i="12" s="1"/>
  <c r="M533" i="12"/>
  <c r="T533" i="12" s="1"/>
  <c r="N533" i="12"/>
  <c r="M534" i="12"/>
  <c r="T534" i="12" s="1"/>
  <c r="N534" i="12"/>
  <c r="U534" i="12" s="1"/>
  <c r="M535" i="12"/>
  <c r="T535" i="12" s="1"/>
  <c r="N535" i="12"/>
  <c r="U535" i="12" s="1"/>
  <c r="M536" i="12"/>
  <c r="T536" i="12" s="1"/>
  <c r="N536" i="12"/>
  <c r="U536" i="12" s="1"/>
  <c r="M537" i="12"/>
  <c r="T537" i="12" s="1"/>
  <c r="N537" i="12"/>
  <c r="M538" i="12"/>
  <c r="T538" i="12" s="1"/>
  <c r="N538" i="12"/>
  <c r="U538" i="12" s="1"/>
  <c r="M539" i="12"/>
  <c r="T539" i="12" s="1"/>
  <c r="N539" i="12"/>
  <c r="U539" i="12" s="1"/>
  <c r="M540" i="12"/>
  <c r="T540" i="12" s="1"/>
  <c r="N540" i="12"/>
  <c r="U540" i="12" s="1"/>
  <c r="M541" i="12"/>
  <c r="T541" i="12" s="1"/>
  <c r="N541" i="12"/>
  <c r="U541" i="12" s="1"/>
  <c r="M542" i="12"/>
  <c r="T542" i="12" s="1"/>
  <c r="N542" i="12"/>
  <c r="U542" i="12" s="1"/>
  <c r="M543" i="12"/>
  <c r="T543" i="12" s="1"/>
  <c r="N543" i="12"/>
  <c r="M544" i="12"/>
  <c r="T544" i="12" s="1"/>
  <c r="N544" i="12"/>
  <c r="U544" i="12" s="1"/>
  <c r="M545" i="12"/>
  <c r="T545" i="12" s="1"/>
  <c r="N545" i="12"/>
  <c r="U545" i="12" s="1"/>
  <c r="M546" i="12"/>
  <c r="T546" i="12" s="1"/>
  <c r="N546" i="12"/>
  <c r="U546" i="12" s="1"/>
  <c r="M547" i="12"/>
  <c r="T547" i="12" s="1"/>
  <c r="N547" i="12"/>
  <c r="M548" i="12"/>
  <c r="T548" i="12" s="1"/>
  <c r="N548" i="12"/>
  <c r="U548" i="12" s="1"/>
  <c r="M549" i="12"/>
  <c r="T549" i="12" s="1"/>
  <c r="N549" i="12"/>
  <c r="U549" i="12" s="1"/>
  <c r="M550" i="12"/>
  <c r="T550" i="12" s="1"/>
  <c r="N550" i="12"/>
  <c r="M551" i="12"/>
  <c r="T551" i="12" s="1"/>
  <c r="N551" i="12"/>
  <c r="U551" i="12" s="1"/>
  <c r="U550" i="12" s="1"/>
  <c r="M552" i="12"/>
  <c r="T552" i="12" s="1"/>
  <c r="N552" i="12"/>
  <c r="M553" i="12"/>
  <c r="T553" i="12" s="1"/>
  <c r="N553" i="12"/>
  <c r="U553" i="12" s="1"/>
  <c r="M554" i="12"/>
  <c r="T554" i="12" s="1"/>
  <c r="N554" i="12"/>
  <c r="U554" i="12" s="1"/>
  <c r="M555" i="12"/>
  <c r="T555" i="12" s="1"/>
  <c r="N555" i="12"/>
  <c r="U555" i="12" s="1"/>
  <c r="M556" i="12"/>
  <c r="T556" i="12" s="1"/>
  <c r="N556" i="12"/>
  <c r="U556" i="12" s="1"/>
  <c r="M557" i="12"/>
  <c r="T557" i="12" s="1"/>
  <c r="N557" i="12"/>
  <c r="M558" i="12"/>
  <c r="T558" i="12" s="1"/>
  <c r="N558" i="12"/>
  <c r="U558" i="12" s="1"/>
  <c r="M559" i="12"/>
  <c r="T559" i="12" s="1"/>
  <c r="N559" i="12"/>
  <c r="U559" i="12" s="1"/>
  <c r="M560" i="12"/>
  <c r="T560" i="12" s="1"/>
  <c r="N560" i="12"/>
  <c r="U560" i="12" s="1"/>
  <c r="M561" i="12"/>
  <c r="T561" i="12" s="1"/>
  <c r="N561" i="12"/>
  <c r="U561" i="12" s="1"/>
  <c r="M562" i="12"/>
  <c r="T562" i="12" s="1"/>
  <c r="N562" i="12"/>
  <c r="U562" i="12" s="1"/>
  <c r="M563" i="12"/>
  <c r="T563" i="12" s="1"/>
  <c r="N563" i="12"/>
  <c r="U563" i="12" s="1"/>
  <c r="M564" i="12"/>
  <c r="T564" i="12" s="1"/>
  <c r="N564" i="12"/>
  <c r="U564" i="12" s="1"/>
  <c r="M565" i="12"/>
  <c r="T565" i="12" s="1"/>
  <c r="N565" i="12"/>
  <c r="U565" i="12" s="1"/>
  <c r="M566" i="12"/>
  <c r="T566" i="12" s="1"/>
  <c r="N566" i="12"/>
  <c r="U566" i="12" s="1"/>
  <c r="M567" i="12"/>
  <c r="T567" i="12" s="1"/>
  <c r="N567" i="12"/>
  <c r="M568" i="12"/>
  <c r="T568" i="12" s="1"/>
  <c r="N568" i="12"/>
  <c r="U568" i="12" s="1"/>
  <c r="M569" i="12"/>
  <c r="T569" i="12" s="1"/>
  <c r="N569" i="12"/>
  <c r="U569" i="12" s="1"/>
  <c r="M570" i="12"/>
  <c r="T570" i="12" s="1"/>
  <c r="N570" i="12"/>
  <c r="U570" i="12" s="1"/>
  <c r="M571" i="12"/>
  <c r="T571" i="12" s="1"/>
  <c r="N571" i="12"/>
  <c r="U571" i="12" s="1"/>
  <c r="M572" i="12"/>
  <c r="T572" i="12" s="1"/>
  <c r="N572" i="12"/>
  <c r="U572" i="12" s="1"/>
  <c r="M573" i="12"/>
  <c r="T573" i="12" s="1"/>
  <c r="N573" i="12"/>
  <c r="U573" i="12" s="1"/>
  <c r="M574" i="12"/>
  <c r="T574" i="12" s="1"/>
  <c r="N574" i="12"/>
  <c r="U574" i="12" s="1"/>
  <c r="M575" i="12"/>
  <c r="T575" i="12" s="1"/>
  <c r="N575" i="12"/>
  <c r="U575" i="12" s="1"/>
  <c r="M576" i="12"/>
  <c r="T576" i="12" s="1"/>
  <c r="N576" i="12"/>
  <c r="U576" i="12" s="1"/>
  <c r="M577" i="12"/>
  <c r="T577" i="12" s="1"/>
  <c r="N577" i="12"/>
  <c r="U577" i="12" s="1"/>
  <c r="M578" i="12"/>
  <c r="T578" i="12" s="1"/>
  <c r="N578" i="12"/>
  <c r="U578" i="12" s="1"/>
  <c r="M579" i="12"/>
  <c r="T579" i="12" s="1"/>
  <c r="N579" i="12"/>
  <c r="U579" i="12" s="1"/>
  <c r="M580" i="12"/>
  <c r="T580" i="12" s="1"/>
  <c r="N580" i="12"/>
  <c r="U580" i="12" s="1"/>
  <c r="M581" i="12"/>
  <c r="T581" i="12" s="1"/>
  <c r="N581" i="12"/>
  <c r="U581" i="12" s="1"/>
  <c r="M582" i="12"/>
  <c r="T582" i="12" s="1"/>
  <c r="N582" i="12"/>
  <c r="U582" i="12" s="1"/>
  <c r="M583" i="12"/>
  <c r="T583" i="12" s="1"/>
  <c r="N583" i="12"/>
  <c r="U583" i="12" s="1"/>
  <c r="M584" i="12"/>
  <c r="T584" i="12" s="1"/>
  <c r="N584" i="12"/>
  <c r="M585" i="12"/>
  <c r="T585" i="12" s="1"/>
  <c r="N585" i="12"/>
  <c r="U585" i="12" s="1"/>
  <c r="M586" i="12"/>
  <c r="T586" i="12" s="1"/>
  <c r="N586" i="12"/>
  <c r="U586" i="12" s="1"/>
  <c r="M587" i="12"/>
  <c r="T587" i="12" s="1"/>
  <c r="N587" i="12"/>
  <c r="U587" i="12" s="1"/>
  <c r="M588" i="12"/>
  <c r="T588" i="12" s="1"/>
  <c r="M589" i="12"/>
  <c r="T589" i="12" s="1"/>
  <c r="N589" i="12"/>
  <c r="U589" i="12" s="1"/>
  <c r="M590" i="12"/>
  <c r="T590" i="12" s="1"/>
  <c r="N590" i="12"/>
  <c r="U590" i="12" s="1"/>
  <c r="M591" i="12"/>
  <c r="T591" i="12" s="1"/>
  <c r="N591" i="12"/>
  <c r="U591" i="12" s="1"/>
  <c r="M592" i="12"/>
  <c r="T592" i="12" s="1"/>
  <c r="N592" i="12"/>
  <c r="U592" i="12" s="1"/>
  <c r="M593" i="12"/>
  <c r="T593" i="12" s="1"/>
  <c r="N593" i="12"/>
  <c r="M594" i="12"/>
  <c r="T594" i="12" s="1"/>
  <c r="N594" i="12"/>
  <c r="M595" i="12"/>
  <c r="T595" i="12" s="1"/>
  <c r="N595" i="12"/>
  <c r="U595" i="12" s="1"/>
  <c r="U594" i="12" s="1"/>
  <c r="M596" i="12"/>
  <c r="T596" i="12" s="1"/>
  <c r="N596" i="12"/>
  <c r="M597" i="12"/>
  <c r="T597" i="12" s="1"/>
  <c r="N597" i="12"/>
  <c r="U597" i="12" s="1"/>
  <c r="U596" i="12" s="1"/>
  <c r="M598" i="12"/>
  <c r="T598" i="12" s="1"/>
  <c r="N598" i="12"/>
  <c r="M599" i="12"/>
  <c r="T599" i="12" s="1"/>
  <c r="N599" i="12"/>
  <c r="U599" i="12" s="1"/>
  <c r="M600" i="12"/>
  <c r="T600" i="12" s="1"/>
  <c r="N600" i="12"/>
  <c r="U600" i="12" s="1"/>
  <c r="M601" i="12"/>
  <c r="T601" i="12" s="1"/>
  <c r="N601" i="12"/>
  <c r="U601" i="12" s="1"/>
  <c r="M602" i="12"/>
  <c r="T602" i="12" s="1"/>
  <c r="N602" i="12"/>
  <c r="U602" i="12" s="1"/>
  <c r="M603" i="12"/>
  <c r="T603" i="12" s="1"/>
  <c r="N603" i="12"/>
  <c r="U603" i="12" s="1"/>
  <c r="M604" i="12"/>
  <c r="T604" i="12" s="1"/>
  <c r="N604" i="12"/>
  <c r="U604" i="12" s="1"/>
  <c r="M605" i="12"/>
  <c r="T605" i="12" s="1"/>
  <c r="N605" i="12"/>
  <c r="U605" i="12" s="1"/>
  <c r="M606" i="12"/>
  <c r="T606" i="12" s="1"/>
  <c r="N606" i="12"/>
  <c r="U606" i="12" s="1"/>
  <c r="M607" i="12"/>
  <c r="T607" i="12" s="1"/>
  <c r="N607" i="12"/>
  <c r="M608" i="12"/>
  <c r="T608" i="12" s="1"/>
  <c r="N608" i="12"/>
  <c r="U608" i="12" s="1"/>
  <c r="U607" i="12" s="1"/>
  <c r="M609" i="12"/>
  <c r="T609" i="12" s="1"/>
  <c r="N609" i="12"/>
  <c r="M610" i="12"/>
  <c r="T610" i="12" s="1"/>
  <c r="N610" i="12"/>
  <c r="U610" i="12" s="1"/>
  <c r="U609" i="12" s="1"/>
  <c r="M611" i="12"/>
  <c r="T611" i="12" s="1"/>
  <c r="N611" i="12"/>
  <c r="M612" i="12"/>
  <c r="T612" i="12" s="1"/>
  <c r="N612" i="12"/>
  <c r="U612" i="12" s="1"/>
  <c r="U611" i="12" s="1"/>
  <c r="M613" i="12"/>
  <c r="T613" i="12" s="1"/>
  <c r="N613" i="12"/>
  <c r="M614" i="12"/>
  <c r="T614" i="12" s="1"/>
  <c r="N614" i="12"/>
  <c r="U614" i="12" s="1"/>
  <c r="M615" i="12"/>
  <c r="T615" i="12" s="1"/>
  <c r="N615" i="12"/>
  <c r="U615" i="12" s="1"/>
  <c r="M616" i="12"/>
  <c r="T616" i="12" s="1"/>
  <c r="N616" i="12"/>
  <c r="U616" i="12" s="1"/>
  <c r="M617" i="12"/>
  <c r="T617" i="12" s="1"/>
  <c r="N617" i="12"/>
  <c r="M618" i="12"/>
  <c r="T618" i="12" s="1"/>
  <c r="N618" i="12"/>
  <c r="U618" i="12" s="1"/>
  <c r="M619" i="12"/>
  <c r="T619" i="12" s="1"/>
  <c r="N619" i="12"/>
  <c r="U619" i="12" s="1"/>
  <c r="M620" i="12"/>
  <c r="T620" i="12" s="1"/>
  <c r="N620" i="12"/>
  <c r="U620" i="12" s="1"/>
  <c r="M621" i="12"/>
  <c r="T621" i="12" s="1"/>
  <c r="N621" i="12"/>
  <c r="U621" i="12" s="1"/>
  <c r="M622" i="12"/>
  <c r="T622" i="12" s="1"/>
  <c r="N622" i="12"/>
  <c r="U622" i="12" s="1"/>
  <c r="M623" i="12"/>
  <c r="T623" i="12" s="1"/>
  <c r="N623" i="12"/>
  <c r="U623" i="12" s="1"/>
  <c r="M624" i="12"/>
  <c r="T624" i="12" s="1"/>
  <c r="N624" i="12"/>
  <c r="U624" i="12" s="1"/>
  <c r="M625" i="12"/>
  <c r="T625" i="12" s="1"/>
  <c r="N625" i="12"/>
  <c r="U625" i="12" s="1"/>
  <c r="M626" i="12"/>
  <c r="T626" i="12" s="1"/>
  <c r="N626" i="12"/>
  <c r="U626" i="12" s="1"/>
  <c r="M627" i="12"/>
  <c r="T627" i="12" s="1"/>
  <c r="N627" i="12"/>
  <c r="U627" i="12" s="1"/>
  <c r="M628" i="12"/>
  <c r="T628" i="12" s="1"/>
  <c r="N628" i="12"/>
  <c r="U628" i="12" s="1"/>
  <c r="M629" i="12"/>
  <c r="T629" i="12" s="1"/>
  <c r="N629" i="12"/>
  <c r="U629" i="12" s="1"/>
  <c r="M630" i="12"/>
  <c r="T630" i="12" s="1"/>
  <c r="N630" i="12"/>
  <c r="U630" i="12" s="1"/>
  <c r="M631" i="12"/>
  <c r="T631" i="12" s="1"/>
  <c r="N631" i="12"/>
  <c r="U631" i="12" s="1"/>
  <c r="M632" i="12"/>
  <c r="T632" i="12" s="1"/>
  <c r="N632" i="12"/>
  <c r="U632" i="12" s="1"/>
  <c r="M633" i="12"/>
  <c r="T633" i="12" s="1"/>
  <c r="N633" i="12"/>
  <c r="U633" i="12" s="1"/>
  <c r="M634" i="12"/>
  <c r="T634" i="12" s="1"/>
  <c r="N634" i="12"/>
  <c r="U634" i="12" s="1"/>
  <c r="M635" i="12"/>
  <c r="T635" i="12" s="1"/>
  <c r="N635" i="12"/>
  <c r="U635" i="12" s="1"/>
  <c r="M636" i="12"/>
  <c r="T636" i="12" s="1"/>
  <c r="N636" i="12"/>
  <c r="U636" i="12" s="1"/>
  <c r="M637" i="12"/>
  <c r="T637" i="12" s="1"/>
  <c r="N637" i="12"/>
  <c r="U637" i="12" s="1"/>
  <c r="M638" i="12"/>
  <c r="T638" i="12" s="1"/>
  <c r="N638" i="12"/>
  <c r="U638" i="12" s="1"/>
  <c r="M639" i="12"/>
  <c r="T639" i="12" s="1"/>
  <c r="N639" i="12"/>
  <c r="U639" i="12" s="1"/>
  <c r="M640" i="12"/>
  <c r="T640" i="12" s="1"/>
  <c r="N640" i="12"/>
  <c r="U640" i="12" s="1"/>
  <c r="M641" i="12"/>
  <c r="T641" i="12" s="1"/>
  <c r="N641" i="12"/>
  <c r="U641" i="12" s="1"/>
  <c r="M642" i="12"/>
  <c r="T642" i="12" s="1"/>
  <c r="N642" i="12"/>
  <c r="U642" i="12" s="1"/>
  <c r="M643" i="12"/>
  <c r="T643" i="12" s="1"/>
  <c r="N643" i="12"/>
  <c r="U643" i="12" s="1"/>
  <c r="M644" i="12"/>
  <c r="T644" i="12" s="1"/>
  <c r="N644" i="12"/>
  <c r="U644" i="12" s="1"/>
  <c r="M645" i="12"/>
  <c r="T645" i="12" s="1"/>
  <c r="N645" i="12"/>
  <c r="U645" i="12" s="1"/>
  <c r="M646" i="12"/>
  <c r="T646" i="12" s="1"/>
  <c r="N646" i="12"/>
  <c r="U646" i="12" s="1"/>
  <c r="M647" i="12"/>
  <c r="T647" i="12" s="1"/>
  <c r="N647" i="12"/>
  <c r="U647" i="12" s="1"/>
  <c r="M648" i="12"/>
  <c r="T648" i="12" s="1"/>
  <c r="N648" i="12"/>
  <c r="U648" i="12" s="1"/>
  <c r="M649" i="12"/>
  <c r="T649" i="12" s="1"/>
  <c r="N649" i="12"/>
  <c r="U649" i="12" s="1"/>
  <c r="M650" i="12"/>
  <c r="T650" i="12" s="1"/>
  <c r="N650" i="12"/>
  <c r="U650" i="12" s="1"/>
  <c r="M651" i="12"/>
  <c r="T651" i="12" s="1"/>
  <c r="N651" i="12"/>
  <c r="U651" i="12" s="1"/>
  <c r="M652" i="12"/>
  <c r="T652" i="12" s="1"/>
  <c r="N652" i="12"/>
  <c r="U652" i="12" s="1"/>
  <c r="M653" i="12"/>
  <c r="T653" i="12" s="1"/>
  <c r="N653" i="12"/>
  <c r="U653" i="12" s="1"/>
  <c r="M654" i="12"/>
  <c r="T654" i="12" s="1"/>
  <c r="N654" i="12"/>
  <c r="U654" i="12" s="1"/>
  <c r="M655" i="12"/>
  <c r="T655" i="12" s="1"/>
  <c r="N655" i="12"/>
  <c r="U655" i="12" s="1"/>
  <c r="M656" i="12"/>
  <c r="T656" i="12" s="1"/>
  <c r="N656" i="12"/>
  <c r="U656" i="12" s="1"/>
  <c r="M657" i="12"/>
  <c r="T657" i="12" s="1"/>
  <c r="N657" i="12"/>
  <c r="U657" i="12" s="1"/>
  <c r="M658" i="12"/>
  <c r="T658" i="12" s="1"/>
  <c r="N658" i="12"/>
  <c r="U658" i="12" s="1"/>
  <c r="M659" i="12"/>
  <c r="T659" i="12" s="1"/>
  <c r="N659" i="12"/>
  <c r="U659" i="12" s="1"/>
  <c r="M660" i="12"/>
  <c r="T660" i="12" s="1"/>
  <c r="N660" i="12"/>
  <c r="U660" i="12" s="1"/>
  <c r="M661" i="12"/>
  <c r="T661" i="12" s="1"/>
  <c r="N661" i="12"/>
  <c r="U661" i="12" s="1"/>
  <c r="M662" i="12"/>
  <c r="T662" i="12" s="1"/>
  <c r="N662" i="12"/>
  <c r="U662" i="12" s="1"/>
  <c r="M663" i="12"/>
  <c r="T663" i="12" s="1"/>
  <c r="N663" i="12"/>
  <c r="U663" i="12" s="1"/>
  <c r="M664" i="12"/>
  <c r="T664" i="12" s="1"/>
  <c r="N664" i="12"/>
  <c r="U664" i="12" s="1"/>
  <c r="M665" i="12"/>
  <c r="T665" i="12" s="1"/>
  <c r="N665" i="12"/>
  <c r="U665" i="12" s="1"/>
  <c r="M666" i="12"/>
  <c r="T666" i="12" s="1"/>
  <c r="N666" i="12"/>
  <c r="U666" i="12" s="1"/>
  <c r="M667" i="12"/>
  <c r="T667" i="12" s="1"/>
  <c r="N667" i="12"/>
  <c r="U667" i="12" s="1"/>
  <c r="M668" i="12"/>
  <c r="T668" i="12" s="1"/>
  <c r="N668" i="12"/>
  <c r="U668" i="12" s="1"/>
  <c r="M669" i="12"/>
  <c r="T669" i="12" s="1"/>
  <c r="N669" i="12"/>
  <c r="U669" i="12" s="1"/>
  <c r="M670" i="12"/>
  <c r="T670" i="12" s="1"/>
  <c r="N670" i="12"/>
  <c r="U670" i="12" s="1"/>
  <c r="M671" i="12"/>
  <c r="T671" i="12" s="1"/>
  <c r="N671" i="12"/>
  <c r="M672" i="12"/>
  <c r="T672" i="12" s="1"/>
  <c r="N672" i="12"/>
  <c r="U672" i="12" s="1"/>
  <c r="M673" i="12"/>
  <c r="T673" i="12" s="1"/>
  <c r="N673" i="12"/>
  <c r="U673" i="12" s="1"/>
  <c r="M674" i="12"/>
  <c r="T674" i="12" s="1"/>
  <c r="N674" i="12"/>
  <c r="U674" i="12" s="1"/>
  <c r="M675" i="12"/>
  <c r="T675" i="12" s="1"/>
  <c r="N675" i="12"/>
  <c r="U675" i="12" s="1"/>
  <c r="M676" i="12"/>
  <c r="T676" i="12" s="1"/>
  <c r="N676" i="12"/>
  <c r="U676" i="12" s="1"/>
  <c r="M677" i="12"/>
  <c r="T677" i="12" s="1"/>
  <c r="N677" i="12"/>
  <c r="U677" i="12" s="1"/>
  <c r="M678" i="12"/>
  <c r="T678" i="12" s="1"/>
  <c r="N678" i="12"/>
  <c r="U678" i="12" s="1"/>
  <c r="M679" i="12"/>
  <c r="T679" i="12" s="1"/>
  <c r="N679" i="12"/>
  <c r="U679" i="12" s="1"/>
  <c r="M680" i="12"/>
  <c r="T680" i="12" s="1"/>
  <c r="N680" i="12"/>
  <c r="U680" i="12" s="1"/>
  <c r="M681" i="12"/>
  <c r="T681" i="12" s="1"/>
  <c r="N681" i="12"/>
  <c r="U681" i="12" s="1"/>
  <c r="M682" i="12"/>
  <c r="T682" i="12" s="1"/>
  <c r="N682" i="12"/>
  <c r="U682" i="12" s="1"/>
  <c r="M683" i="12"/>
  <c r="T683" i="12" s="1"/>
  <c r="N683" i="12"/>
  <c r="U683" i="12" s="1"/>
  <c r="M684" i="12"/>
  <c r="T684" i="12" s="1"/>
  <c r="N684" i="12"/>
  <c r="U684" i="12" s="1"/>
  <c r="M685" i="12"/>
  <c r="T685" i="12" s="1"/>
  <c r="N685" i="12"/>
  <c r="U685" i="12" s="1"/>
  <c r="M686" i="12"/>
  <c r="T686" i="12" s="1"/>
  <c r="N686" i="12"/>
  <c r="U686" i="12" s="1"/>
  <c r="M687" i="12"/>
  <c r="T687" i="12" s="1"/>
  <c r="N687" i="12"/>
  <c r="U687" i="12" s="1"/>
  <c r="M688" i="12"/>
  <c r="T688" i="12" s="1"/>
  <c r="N688" i="12"/>
  <c r="U688" i="12" s="1"/>
  <c r="M689" i="12"/>
  <c r="T689" i="12" s="1"/>
  <c r="N689" i="12"/>
  <c r="U689" i="12" s="1"/>
  <c r="M690" i="12"/>
  <c r="T690" i="12" s="1"/>
  <c r="N690" i="12"/>
  <c r="M691" i="12"/>
  <c r="T691" i="12" s="1"/>
  <c r="N691" i="12"/>
  <c r="U691" i="12" s="1"/>
  <c r="M692" i="12"/>
  <c r="T692" i="12" s="1"/>
  <c r="N692" i="12"/>
  <c r="U692" i="12" s="1"/>
  <c r="M693" i="12"/>
  <c r="T693" i="12" s="1"/>
  <c r="N693" i="12"/>
  <c r="M694" i="12"/>
  <c r="T694" i="12" s="1"/>
  <c r="N694" i="12"/>
  <c r="U694" i="12" s="1"/>
  <c r="U693" i="12" s="1"/>
  <c r="M695" i="12"/>
  <c r="T695" i="12" s="1"/>
  <c r="N695" i="12"/>
  <c r="M696" i="12"/>
  <c r="T696" i="12" s="1"/>
  <c r="N696" i="12"/>
  <c r="U696" i="12" s="1"/>
  <c r="M697" i="12"/>
  <c r="T697" i="12" s="1"/>
  <c r="N697" i="12"/>
  <c r="U697" i="12" s="1"/>
  <c r="M698" i="12"/>
  <c r="T698" i="12" s="1"/>
  <c r="N698" i="12"/>
  <c r="U698" i="12" s="1"/>
  <c r="M699" i="12"/>
  <c r="T699" i="12" s="1"/>
  <c r="N699" i="12"/>
  <c r="M700" i="12"/>
  <c r="T700" i="12" s="1"/>
  <c r="N700" i="12"/>
  <c r="U700" i="12" s="1"/>
  <c r="U699" i="12" s="1"/>
  <c r="M702" i="12"/>
  <c r="T702" i="12" s="1"/>
  <c r="N702" i="12"/>
  <c r="U702" i="12" s="1"/>
  <c r="M703" i="12"/>
  <c r="T703" i="12" s="1"/>
  <c r="N703" i="12"/>
  <c r="M704" i="12"/>
  <c r="T704" i="12" s="1"/>
  <c r="N704" i="12"/>
  <c r="U704" i="12" s="1"/>
  <c r="M705" i="12"/>
  <c r="T705" i="12" s="1"/>
  <c r="N705" i="12"/>
  <c r="U705" i="12" s="1"/>
  <c r="M706" i="12"/>
  <c r="T706" i="12" s="1"/>
  <c r="N706" i="12"/>
  <c r="U706" i="12" s="1"/>
  <c r="M707" i="12"/>
  <c r="T707" i="12" s="1"/>
  <c r="N707" i="12"/>
  <c r="U707" i="12" s="1"/>
  <c r="M708" i="12"/>
  <c r="T708" i="12" s="1"/>
  <c r="N708" i="12"/>
  <c r="U708" i="12" s="1"/>
  <c r="M709" i="12"/>
  <c r="T709" i="12" s="1"/>
  <c r="N709" i="12"/>
  <c r="U709" i="12" s="1"/>
  <c r="M710" i="12"/>
  <c r="T710" i="12" s="1"/>
  <c r="N710" i="12"/>
  <c r="U710" i="12" s="1"/>
  <c r="M711" i="12"/>
  <c r="T711" i="12" s="1"/>
  <c r="N711" i="12"/>
  <c r="U711" i="12" s="1"/>
  <c r="M712" i="12"/>
  <c r="T712" i="12" s="1"/>
  <c r="N712" i="12"/>
  <c r="U712" i="12" s="1"/>
  <c r="M713" i="12"/>
  <c r="T713" i="12" s="1"/>
  <c r="N713" i="12"/>
  <c r="U713" i="12" s="1"/>
  <c r="M714" i="12"/>
  <c r="T714" i="12" s="1"/>
  <c r="N714" i="12"/>
  <c r="U714" i="12" s="1"/>
  <c r="M715" i="12"/>
  <c r="T715" i="12" s="1"/>
  <c r="N715" i="12"/>
  <c r="U715" i="12" s="1"/>
  <c r="M716" i="12"/>
  <c r="T716" i="12" s="1"/>
  <c r="N716" i="12"/>
  <c r="U716" i="12" s="1"/>
  <c r="M717" i="12"/>
  <c r="T717" i="12" s="1"/>
  <c r="N717" i="12"/>
  <c r="U717" i="12" s="1"/>
  <c r="M718" i="12"/>
  <c r="T718" i="12" s="1"/>
  <c r="N718" i="12"/>
  <c r="U718" i="12" s="1"/>
  <c r="M719" i="12"/>
  <c r="T719" i="12" s="1"/>
  <c r="N719" i="12"/>
  <c r="U719" i="12" s="1"/>
  <c r="M720" i="12"/>
  <c r="T720" i="12" s="1"/>
  <c r="N720" i="12"/>
  <c r="M721" i="12"/>
  <c r="T721" i="12" s="1"/>
  <c r="N721" i="12"/>
  <c r="U721" i="12" s="1"/>
  <c r="M722" i="12"/>
  <c r="T722" i="12" s="1"/>
  <c r="N722" i="12"/>
  <c r="U722" i="12" s="1"/>
  <c r="M723" i="12"/>
  <c r="T723" i="12" s="1"/>
  <c r="N723" i="12"/>
  <c r="U723" i="12" s="1"/>
  <c r="M724" i="12"/>
  <c r="T724" i="12" s="1"/>
  <c r="N724" i="12"/>
  <c r="U724" i="12" s="1"/>
  <c r="M725" i="12"/>
  <c r="T725" i="12" s="1"/>
  <c r="N725" i="12"/>
  <c r="U725" i="12" s="1"/>
  <c r="M726" i="12"/>
  <c r="T726" i="12" s="1"/>
  <c r="N726" i="12"/>
  <c r="U726" i="12" s="1"/>
  <c r="M727" i="12"/>
  <c r="T727" i="12" s="1"/>
  <c r="N727" i="12"/>
  <c r="U727" i="12" s="1"/>
  <c r="M728" i="12"/>
  <c r="T728" i="12" s="1"/>
  <c r="N728" i="12"/>
  <c r="U728" i="12" s="1"/>
  <c r="M729" i="12"/>
  <c r="T729" i="12" s="1"/>
  <c r="N729" i="12"/>
  <c r="U729" i="12" s="1"/>
  <c r="M730" i="12"/>
  <c r="T730" i="12" s="1"/>
  <c r="N730" i="12"/>
  <c r="U730" i="12" s="1"/>
  <c r="M731" i="12"/>
  <c r="T731" i="12" s="1"/>
  <c r="N731" i="12"/>
  <c r="U731" i="12" s="1"/>
  <c r="M732" i="12"/>
  <c r="T732" i="12" s="1"/>
  <c r="N732" i="12"/>
  <c r="U732" i="12" s="1"/>
  <c r="M733" i="12"/>
  <c r="T733" i="12" s="1"/>
  <c r="N733" i="12"/>
  <c r="U733" i="12" s="1"/>
  <c r="M734" i="12"/>
  <c r="T734" i="12" s="1"/>
  <c r="N734" i="12"/>
  <c r="U734" i="12" s="1"/>
  <c r="M735" i="12"/>
  <c r="T735" i="12" s="1"/>
  <c r="N735" i="12"/>
  <c r="U735" i="12" s="1"/>
  <c r="M736" i="12"/>
  <c r="T736" i="12" s="1"/>
  <c r="N736" i="12"/>
  <c r="U736" i="12" s="1"/>
  <c r="M737" i="12"/>
  <c r="T737" i="12" s="1"/>
  <c r="N737" i="12"/>
  <c r="M738" i="12"/>
  <c r="T738" i="12" s="1"/>
  <c r="N738" i="12"/>
  <c r="U738" i="12" s="1"/>
  <c r="M739" i="12"/>
  <c r="T739" i="12" s="1"/>
  <c r="N739" i="12"/>
  <c r="U739" i="12" s="1"/>
  <c r="M740" i="12"/>
  <c r="T740" i="12" s="1"/>
  <c r="N740" i="12"/>
  <c r="U740" i="12" s="1"/>
  <c r="M741" i="12"/>
  <c r="T741" i="12" s="1"/>
  <c r="N741" i="12"/>
  <c r="U741" i="12" s="1"/>
  <c r="M742" i="12"/>
  <c r="T742" i="12" s="1"/>
  <c r="N742" i="12"/>
  <c r="M743" i="12"/>
  <c r="T743" i="12" s="1"/>
  <c r="N743" i="12"/>
  <c r="U743" i="12" s="1"/>
  <c r="M744" i="12"/>
  <c r="T744" i="12" s="1"/>
  <c r="N744" i="12"/>
  <c r="U744" i="12" s="1"/>
  <c r="M745" i="12"/>
  <c r="T745" i="12" s="1"/>
  <c r="N745" i="12"/>
  <c r="M746" i="12"/>
  <c r="T746" i="12" s="1"/>
  <c r="N746" i="12"/>
  <c r="U746" i="12" s="1"/>
  <c r="M747" i="12"/>
  <c r="T747" i="12" s="1"/>
  <c r="N747" i="12"/>
  <c r="U747" i="12" s="1"/>
  <c r="M748" i="12"/>
  <c r="T748" i="12" s="1"/>
  <c r="N748" i="12"/>
  <c r="U748" i="12" s="1"/>
  <c r="M749" i="12"/>
  <c r="T749" i="12" s="1"/>
  <c r="N749" i="12"/>
  <c r="U749" i="12" s="1"/>
  <c r="M750" i="12"/>
  <c r="T750" i="12" s="1"/>
  <c r="N750" i="12"/>
  <c r="M751" i="12"/>
  <c r="T751" i="12" s="1"/>
  <c r="N751" i="12"/>
  <c r="U751" i="12" s="1"/>
  <c r="M752" i="12"/>
  <c r="T752" i="12" s="1"/>
  <c r="N752" i="12"/>
  <c r="U752" i="12" s="1"/>
  <c r="M753" i="12"/>
  <c r="T753" i="12" s="1"/>
  <c r="N753" i="12"/>
  <c r="U753" i="12" s="1"/>
  <c r="M754" i="12"/>
  <c r="T754" i="12" s="1"/>
  <c r="N754" i="12"/>
  <c r="U754" i="12" s="1"/>
  <c r="M755" i="12"/>
  <c r="T755" i="12" s="1"/>
  <c r="N755" i="12"/>
  <c r="M756" i="12"/>
  <c r="T756" i="12" s="1"/>
  <c r="N756" i="12"/>
  <c r="U756" i="12" s="1"/>
  <c r="M757" i="12"/>
  <c r="T757" i="12" s="1"/>
  <c r="N757" i="12"/>
  <c r="U757" i="12" s="1"/>
  <c r="M758" i="12"/>
  <c r="T758" i="12" s="1"/>
  <c r="N758" i="12"/>
  <c r="M759" i="12"/>
  <c r="T759" i="12" s="1"/>
  <c r="N759" i="12"/>
  <c r="U759" i="12" s="1"/>
  <c r="M760" i="12"/>
  <c r="T760" i="12" s="1"/>
  <c r="N760" i="12"/>
  <c r="U760" i="12" s="1"/>
  <c r="M761" i="12"/>
  <c r="T761" i="12" s="1"/>
  <c r="N761" i="12"/>
  <c r="M762" i="12"/>
  <c r="T762" i="12" s="1"/>
  <c r="N762" i="12"/>
  <c r="U762" i="12" s="1"/>
  <c r="M763" i="12"/>
  <c r="T763" i="12" s="1"/>
  <c r="N763" i="12"/>
  <c r="U763" i="12" s="1"/>
  <c r="M764" i="12"/>
  <c r="T764" i="12" s="1"/>
  <c r="N764" i="12"/>
  <c r="U764" i="12" s="1"/>
  <c r="M765" i="12"/>
  <c r="T765" i="12" s="1"/>
  <c r="N765" i="12"/>
  <c r="U765" i="12" s="1"/>
  <c r="M766" i="12"/>
  <c r="T766" i="12" s="1"/>
  <c r="N766" i="12"/>
  <c r="M767" i="12"/>
  <c r="T767" i="12" s="1"/>
  <c r="N767" i="12"/>
  <c r="U767" i="12" s="1"/>
  <c r="M768" i="12"/>
  <c r="T768" i="12" s="1"/>
  <c r="N768" i="12"/>
  <c r="U768" i="12" s="1"/>
  <c r="M769" i="12"/>
  <c r="T769" i="12" s="1"/>
  <c r="N769" i="12"/>
  <c r="U769" i="12" s="1"/>
  <c r="M770" i="12"/>
  <c r="T770" i="12" s="1"/>
  <c r="N770" i="12"/>
  <c r="U770" i="12" s="1"/>
  <c r="M771" i="12"/>
  <c r="T771" i="12" s="1"/>
  <c r="N771" i="12"/>
  <c r="U771" i="12" s="1"/>
  <c r="M772" i="12"/>
  <c r="T772" i="12" s="1"/>
  <c r="N772" i="12"/>
  <c r="M773" i="12"/>
  <c r="T773" i="12" s="1"/>
  <c r="N773" i="12"/>
  <c r="U773" i="12" s="1"/>
  <c r="M774" i="12"/>
  <c r="T774" i="12" s="1"/>
  <c r="N774" i="12"/>
  <c r="U774" i="12" s="1"/>
  <c r="M775" i="12"/>
  <c r="T775" i="12" s="1"/>
  <c r="N775" i="12"/>
  <c r="U775" i="12" s="1"/>
  <c r="M776" i="12"/>
  <c r="T776" i="12" s="1"/>
  <c r="N776" i="12"/>
  <c r="U776" i="12" s="1"/>
  <c r="M777" i="12"/>
  <c r="T777" i="12" s="1"/>
  <c r="N777" i="12"/>
  <c r="M778" i="12"/>
  <c r="T778" i="12" s="1"/>
  <c r="N778" i="12"/>
  <c r="U778" i="12" s="1"/>
  <c r="M779" i="12"/>
  <c r="T779" i="12" s="1"/>
  <c r="N779" i="12"/>
  <c r="U779" i="12" s="1"/>
  <c r="M780" i="12"/>
  <c r="T780" i="12" s="1"/>
  <c r="N780" i="12"/>
  <c r="M781" i="12"/>
  <c r="T781" i="12" s="1"/>
  <c r="N781" i="12"/>
  <c r="U781" i="12" s="1"/>
  <c r="M782" i="12"/>
  <c r="T782" i="12" s="1"/>
  <c r="N782" i="12"/>
  <c r="U782" i="12" s="1"/>
  <c r="M783" i="12"/>
  <c r="T783" i="12" s="1"/>
  <c r="N783" i="12"/>
  <c r="M784" i="12"/>
  <c r="T784" i="12" s="1"/>
  <c r="N784" i="12"/>
  <c r="U784" i="12" s="1"/>
  <c r="M785" i="12"/>
  <c r="T785" i="12" s="1"/>
  <c r="N785" i="12"/>
  <c r="U785" i="12" s="1"/>
  <c r="M786" i="12"/>
  <c r="T786" i="12" s="1"/>
  <c r="N786" i="12"/>
  <c r="U786" i="12" s="1"/>
  <c r="M787" i="12"/>
  <c r="T787" i="12" s="1"/>
  <c r="N787" i="12"/>
  <c r="U787" i="12" s="1"/>
  <c r="M788" i="12"/>
  <c r="T788" i="12" s="1"/>
  <c r="N788" i="12"/>
  <c r="M789" i="12"/>
  <c r="T789" i="12" s="1"/>
  <c r="N789" i="12"/>
  <c r="U789" i="12" s="1"/>
  <c r="M790" i="12"/>
  <c r="T790" i="12" s="1"/>
  <c r="N790" i="12"/>
  <c r="U790" i="12" s="1"/>
  <c r="M791" i="12"/>
  <c r="T791" i="12" s="1"/>
  <c r="N791" i="12"/>
  <c r="U791" i="12" s="1"/>
  <c r="M792" i="12"/>
  <c r="T792" i="12" s="1"/>
  <c r="N792" i="12"/>
  <c r="U792" i="12" s="1"/>
  <c r="M793" i="12"/>
  <c r="T793" i="12" s="1"/>
  <c r="N793" i="12"/>
  <c r="U793" i="12" s="1"/>
  <c r="M794" i="12"/>
  <c r="T794" i="12" s="1"/>
  <c r="N794" i="12"/>
  <c r="U794" i="12" s="1"/>
  <c r="M795" i="12"/>
  <c r="T795" i="12" s="1"/>
  <c r="N795" i="12"/>
  <c r="U795" i="12" s="1"/>
  <c r="M796" i="12"/>
  <c r="T796" i="12" s="1"/>
  <c r="N796" i="12"/>
  <c r="U796" i="12" s="1"/>
  <c r="M797" i="12"/>
  <c r="T797" i="12" s="1"/>
  <c r="N797" i="12"/>
  <c r="U797" i="12" s="1"/>
  <c r="M798" i="12"/>
  <c r="T798" i="12" s="1"/>
  <c r="N798" i="12"/>
  <c r="M799" i="12"/>
  <c r="T799" i="12" s="1"/>
  <c r="N799" i="12"/>
  <c r="U799" i="12" s="1"/>
  <c r="M800" i="12"/>
  <c r="T800" i="12" s="1"/>
  <c r="N800" i="12"/>
  <c r="U800" i="12" s="1"/>
  <c r="M801" i="12"/>
  <c r="T801" i="12" s="1"/>
  <c r="N801" i="12"/>
  <c r="U801" i="12" s="1"/>
  <c r="M802" i="12"/>
  <c r="T802" i="12" s="1"/>
  <c r="N802" i="12"/>
  <c r="U802" i="12" s="1"/>
  <c r="M803" i="12"/>
  <c r="T803" i="12" s="1"/>
  <c r="N803" i="12"/>
  <c r="U803" i="12" s="1"/>
  <c r="M804" i="12"/>
  <c r="T804" i="12" s="1"/>
  <c r="N804" i="12"/>
  <c r="U804" i="12" s="1"/>
  <c r="M805" i="12"/>
  <c r="T805" i="12" s="1"/>
  <c r="N805" i="12"/>
  <c r="U805" i="12" s="1"/>
  <c r="M806" i="12"/>
  <c r="T806" i="12" s="1"/>
  <c r="N806" i="12"/>
  <c r="U806" i="12" s="1"/>
  <c r="M807" i="12"/>
  <c r="T807" i="12" s="1"/>
  <c r="N807" i="12"/>
  <c r="U807" i="12" s="1"/>
  <c r="M808" i="12"/>
  <c r="T808" i="12" s="1"/>
  <c r="N808" i="12"/>
  <c r="U808" i="12" s="1"/>
  <c r="M809" i="12"/>
  <c r="T809" i="12" s="1"/>
  <c r="N809" i="12"/>
  <c r="U809" i="12" s="1"/>
  <c r="M810" i="12"/>
  <c r="T810" i="12" s="1"/>
  <c r="N810" i="12"/>
  <c r="U810" i="12" s="1"/>
  <c r="M811" i="12"/>
  <c r="T811" i="12" s="1"/>
  <c r="N811" i="12"/>
  <c r="U811" i="12" s="1"/>
  <c r="M812" i="12"/>
  <c r="T812" i="12" s="1"/>
  <c r="N812" i="12"/>
  <c r="U812" i="12" s="1"/>
  <c r="M813" i="12"/>
  <c r="T813" i="12" s="1"/>
  <c r="N813" i="12"/>
  <c r="U813" i="12" s="1"/>
  <c r="M814" i="12"/>
  <c r="T814" i="12" s="1"/>
  <c r="N814" i="12"/>
  <c r="U814" i="12" s="1"/>
  <c r="M815" i="12"/>
  <c r="T815" i="12" s="1"/>
  <c r="N815" i="12"/>
  <c r="U815" i="12" s="1"/>
  <c r="M816" i="12"/>
  <c r="T816" i="12" s="1"/>
  <c r="N816" i="12"/>
  <c r="U816" i="12" s="1"/>
  <c r="M817" i="12"/>
  <c r="T817" i="12" s="1"/>
  <c r="N817" i="12"/>
  <c r="M818" i="12"/>
  <c r="T818" i="12" s="1"/>
  <c r="N818" i="12"/>
  <c r="U818" i="12" s="1"/>
  <c r="M819" i="12"/>
  <c r="T819" i="12" s="1"/>
  <c r="N819" i="12"/>
  <c r="U819" i="12" s="1"/>
  <c r="M820" i="12"/>
  <c r="T820" i="12" s="1"/>
  <c r="N820" i="12"/>
  <c r="U820" i="12" s="1"/>
  <c r="M821" i="12"/>
  <c r="T821" i="12" s="1"/>
  <c r="M822" i="12"/>
  <c r="T822" i="12" s="1"/>
  <c r="N822" i="12"/>
  <c r="U822" i="12" s="1"/>
  <c r="M823" i="12"/>
  <c r="T823" i="12" s="1"/>
  <c r="N823" i="12"/>
  <c r="U823" i="12" s="1"/>
  <c r="M824" i="12"/>
  <c r="T824" i="12" s="1"/>
  <c r="N824" i="12"/>
  <c r="U824" i="12" s="1"/>
  <c r="M825" i="12"/>
  <c r="T825" i="12" s="1"/>
  <c r="N825" i="12"/>
  <c r="U825" i="12" s="1"/>
  <c r="M826" i="12"/>
  <c r="T826" i="12" s="1"/>
  <c r="N826" i="12"/>
  <c r="U826" i="12" s="1"/>
  <c r="M827" i="12"/>
  <c r="T827" i="12" s="1"/>
  <c r="N827" i="12"/>
  <c r="M828" i="12"/>
  <c r="T828" i="12" s="1"/>
  <c r="N828" i="12"/>
  <c r="M829" i="12"/>
  <c r="T829" i="12" s="1"/>
  <c r="N829" i="12"/>
  <c r="U829" i="12" s="1"/>
  <c r="U828" i="12" s="1"/>
  <c r="M830" i="12"/>
  <c r="T830" i="12" s="1"/>
  <c r="N830" i="12"/>
  <c r="M831" i="12"/>
  <c r="T831" i="12" s="1"/>
  <c r="N831" i="12"/>
  <c r="U831" i="12" s="1"/>
  <c r="U830" i="12" s="1"/>
  <c r="M832" i="12"/>
  <c r="T832" i="12" s="1"/>
  <c r="N832" i="12"/>
  <c r="M833" i="12"/>
  <c r="T833" i="12" s="1"/>
  <c r="N833" i="12"/>
  <c r="U833" i="12" s="1"/>
  <c r="M834" i="12"/>
  <c r="T834" i="12" s="1"/>
  <c r="N834" i="12"/>
  <c r="U834" i="12" s="1"/>
  <c r="M835" i="12"/>
  <c r="T835" i="12" s="1"/>
  <c r="N835" i="12"/>
  <c r="U835" i="12" s="1"/>
  <c r="M836" i="12"/>
  <c r="T836" i="12" s="1"/>
  <c r="N836" i="12"/>
  <c r="U836" i="12" s="1"/>
  <c r="M837" i="12"/>
  <c r="T837" i="12" s="1"/>
  <c r="N837" i="12"/>
  <c r="U837" i="12" s="1"/>
  <c r="M838" i="12"/>
  <c r="T838" i="12" s="1"/>
  <c r="N838" i="12"/>
  <c r="U838" i="12" s="1"/>
  <c r="M839" i="12"/>
  <c r="T839" i="12" s="1"/>
  <c r="N839" i="12"/>
  <c r="U839" i="12" s="1"/>
  <c r="M840" i="12"/>
  <c r="T840" i="12" s="1"/>
  <c r="N840" i="12"/>
  <c r="U840" i="12" s="1"/>
  <c r="M841" i="12"/>
  <c r="T841" i="12" s="1"/>
  <c r="N841" i="12"/>
  <c r="M842" i="12"/>
  <c r="T842" i="12" s="1"/>
  <c r="N842" i="12"/>
  <c r="U842" i="12" s="1"/>
  <c r="U841" i="12" s="1"/>
  <c r="M843" i="12"/>
  <c r="T843" i="12" s="1"/>
  <c r="N843" i="12"/>
  <c r="M844" i="12"/>
  <c r="T844" i="12" s="1"/>
  <c r="N844" i="12"/>
  <c r="U844" i="12" s="1"/>
  <c r="U843" i="12" s="1"/>
  <c r="M845" i="12"/>
  <c r="T845" i="12" s="1"/>
  <c r="N845" i="12"/>
  <c r="M846" i="12"/>
  <c r="T846" i="12" s="1"/>
  <c r="N846" i="12"/>
  <c r="U846" i="12" s="1"/>
  <c r="U845" i="12" s="1"/>
  <c r="M847" i="12"/>
  <c r="T847" i="12" s="1"/>
  <c r="N847" i="12"/>
  <c r="M848" i="12"/>
  <c r="T848" i="12" s="1"/>
  <c r="N848" i="12"/>
  <c r="U848" i="12" s="1"/>
  <c r="M849" i="12"/>
  <c r="T849" i="12" s="1"/>
  <c r="N849" i="12"/>
  <c r="U849" i="12" s="1"/>
  <c r="M850" i="12"/>
  <c r="T850" i="12" s="1"/>
  <c r="N850" i="12"/>
  <c r="M851" i="12"/>
  <c r="T851" i="12" s="1"/>
  <c r="N851" i="12"/>
  <c r="U851" i="12" s="1"/>
  <c r="M852" i="12"/>
  <c r="T852" i="12" s="1"/>
  <c r="N852" i="12"/>
  <c r="U852" i="12" s="1"/>
  <c r="M853" i="12"/>
  <c r="T853" i="12" s="1"/>
  <c r="N853" i="12"/>
  <c r="U853" i="12" s="1"/>
  <c r="M854" i="12"/>
  <c r="T854" i="12" s="1"/>
  <c r="N854" i="12"/>
  <c r="U854" i="12" s="1"/>
  <c r="M855" i="12"/>
  <c r="T855" i="12" s="1"/>
  <c r="N855" i="12"/>
  <c r="U855" i="12" s="1"/>
  <c r="M856" i="12"/>
  <c r="T856" i="12" s="1"/>
  <c r="N856" i="12"/>
  <c r="U856" i="12" s="1"/>
  <c r="M857" i="12"/>
  <c r="T857" i="12" s="1"/>
  <c r="N857" i="12"/>
  <c r="U857" i="12" s="1"/>
  <c r="M858" i="12"/>
  <c r="T858" i="12" s="1"/>
  <c r="N858" i="12"/>
  <c r="U858" i="12" s="1"/>
  <c r="M859" i="12"/>
  <c r="T859" i="12" s="1"/>
  <c r="N859" i="12"/>
  <c r="U859" i="12" s="1"/>
  <c r="M860" i="12"/>
  <c r="T860" i="12" s="1"/>
  <c r="N860" i="12"/>
  <c r="U860" i="12" s="1"/>
  <c r="M861" i="12"/>
  <c r="T861" i="12" s="1"/>
  <c r="N861" i="12"/>
  <c r="U861" i="12" s="1"/>
  <c r="M862" i="12"/>
  <c r="T862" i="12" s="1"/>
  <c r="N862" i="12"/>
  <c r="U862" i="12" s="1"/>
  <c r="M863" i="12"/>
  <c r="T863" i="12" s="1"/>
  <c r="N863" i="12"/>
  <c r="U863" i="12" s="1"/>
  <c r="M864" i="12"/>
  <c r="T864" i="12" s="1"/>
  <c r="N864" i="12"/>
  <c r="U864" i="12" s="1"/>
  <c r="M865" i="12"/>
  <c r="T865" i="12" s="1"/>
  <c r="N865" i="12"/>
  <c r="U865" i="12" s="1"/>
  <c r="M866" i="12"/>
  <c r="T866" i="12" s="1"/>
  <c r="N866" i="12"/>
  <c r="U866" i="12" s="1"/>
  <c r="M867" i="12"/>
  <c r="T867" i="12" s="1"/>
  <c r="N867" i="12"/>
  <c r="U867" i="12" s="1"/>
  <c r="M868" i="12"/>
  <c r="T868" i="12" s="1"/>
  <c r="N868" i="12"/>
  <c r="U868" i="12" s="1"/>
  <c r="M869" i="12"/>
  <c r="T869" i="12" s="1"/>
  <c r="N869" i="12"/>
  <c r="U869" i="12" s="1"/>
  <c r="M870" i="12"/>
  <c r="T870" i="12" s="1"/>
  <c r="N870" i="12"/>
  <c r="U870" i="12" s="1"/>
  <c r="M871" i="12"/>
  <c r="T871" i="12" s="1"/>
  <c r="N871" i="12"/>
  <c r="U871" i="12" s="1"/>
  <c r="M872" i="12"/>
  <c r="T872" i="12" s="1"/>
  <c r="N872" i="12"/>
  <c r="U872" i="12" s="1"/>
  <c r="M873" i="12"/>
  <c r="T873" i="12" s="1"/>
  <c r="N873" i="12"/>
  <c r="U873" i="12" s="1"/>
  <c r="M874" i="12"/>
  <c r="T874" i="12" s="1"/>
  <c r="N874" i="12"/>
  <c r="U874" i="12" s="1"/>
  <c r="M875" i="12"/>
  <c r="T875" i="12" s="1"/>
  <c r="N875" i="12"/>
  <c r="U875" i="12" s="1"/>
  <c r="M876" i="12"/>
  <c r="T876" i="12" s="1"/>
  <c r="N876" i="12"/>
  <c r="U876" i="12" s="1"/>
  <c r="M877" i="12"/>
  <c r="T877" i="12" s="1"/>
  <c r="N877" i="12"/>
  <c r="U877" i="12" s="1"/>
  <c r="M878" i="12"/>
  <c r="T878" i="12" s="1"/>
  <c r="N878" i="12"/>
  <c r="U878" i="12" s="1"/>
  <c r="M879" i="12"/>
  <c r="T879" i="12" s="1"/>
  <c r="N879" i="12"/>
  <c r="U879" i="12" s="1"/>
  <c r="M880" i="12"/>
  <c r="T880" i="12" s="1"/>
  <c r="N880" i="12"/>
  <c r="U880" i="12" s="1"/>
  <c r="M881" i="12"/>
  <c r="T881" i="12" s="1"/>
  <c r="N881" i="12"/>
  <c r="U881" i="12" s="1"/>
  <c r="M882" i="12"/>
  <c r="T882" i="12" s="1"/>
  <c r="N882" i="12"/>
  <c r="U882" i="12" s="1"/>
  <c r="M883" i="12"/>
  <c r="T883" i="12" s="1"/>
  <c r="N883" i="12"/>
  <c r="U883" i="12" s="1"/>
  <c r="M884" i="12"/>
  <c r="T884" i="12" s="1"/>
  <c r="N884" i="12"/>
  <c r="U884" i="12" s="1"/>
  <c r="M885" i="12"/>
  <c r="T885" i="12" s="1"/>
  <c r="N885" i="12"/>
  <c r="U885" i="12" s="1"/>
  <c r="M886" i="12"/>
  <c r="T886" i="12" s="1"/>
  <c r="N886" i="12"/>
  <c r="U886" i="12" s="1"/>
  <c r="M887" i="12"/>
  <c r="T887" i="12" s="1"/>
  <c r="N887" i="12"/>
  <c r="U887" i="12" s="1"/>
  <c r="M888" i="12"/>
  <c r="T888" i="12" s="1"/>
  <c r="N888" i="12"/>
  <c r="U888" i="12" s="1"/>
  <c r="M889" i="12"/>
  <c r="T889" i="12" s="1"/>
  <c r="N889" i="12"/>
  <c r="U889" i="12" s="1"/>
  <c r="M890" i="12"/>
  <c r="T890" i="12" s="1"/>
  <c r="N890" i="12"/>
  <c r="U890" i="12" s="1"/>
  <c r="M891" i="12"/>
  <c r="T891" i="12" s="1"/>
  <c r="N891" i="12"/>
  <c r="U891" i="12" s="1"/>
  <c r="M892" i="12"/>
  <c r="T892" i="12" s="1"/>
  <c r="N892" i="12"/>
  <c r="U892" i="12" s="1"/>
  <c r="M893" i="12"/>
  <c r="T893" i="12" s="1"/>
  <c r="N893" i="12"/>
  <c r="U893" i="12" s="1"/>
  <c r="M894" i="12"/>
  <c r="T894" i="12" s="1"/>
  <c r="N894" i="12"/>
  <c r="U894" i="12" s="1"/>
  <c r="M895" i="12"/>
  <c r="T895" i="12" s="1"/>
  <c r="N895" i="12"/>
  <c r="U895" i="12" s="1"/>
  <c r="M896" i="12"/>
  <c r="T896" i="12" s="1"/>
  <c r="N896" i="12"/>
  <c r="U896" i="12" s="1"/>
  <c r="M897" i="12"/>
  <c r="T897" i="12" s="1"/>
  <c r="N897" i="12"/>
  <c r="U897" i="12" s="1"/>
  <c r="M898" i="12"/>
  <c r="T898" i="12" s="1"/>
  <c r="N898" i="12"/>
  <c r="U898" i="12" s="1"/>
  <c r="M899" i="12"/>
  <c r="T899" i="12" s="1"/>
  <c r="N899" i="12"/>
  <c r="U899" i="12" s="1"/>
  <c r="M900" i="12"/>
  <c r="T900" i="12" s="1"/>
  <c r="N900" i="12"/>
  <c r="U900" i="12" s="1"/>
  <c r="M901" i="12"/>
  <c r="T901" i="12" s="1"/>
  <c r="N901" i="12"/>
  <c r="U901" i="12" s="1"/>
  <c r="M902" i="12"/>
  <c r="T902" i="12" s="1"/>
  <c r="N902" i="12"/>
  <c r="U902" i="12" s="1"/>
  <c r="M903" i="12"/>
  <c r="T903" i="12" s="1"/>
  <c r="N903" i="12"/>
  <c r="U903" i="12" s="1"/>
  <c r="M904" i="12"/>
  <c r="T904" i="12" s="1"/>
  <c r="N904" i="12"/>
  <c r="U904" i="12" s="1"/>
  <c r="M905" i="12"/>
  <c r="T905" i="12" s="1"/>
  <c r="N905" i="12"/>
  <c r="U905" i="12" s="1"/>
  <c r="M906" i="12"/>
  <c r="T906" i="12" s="1"/>
  <c r="N906" i="12"/>
  <c r="U906" i="12" s="1"/>
  <c r="M907" i="12"/>
  <c r="T907" i="12" s="1"/>
  <c r="N907" i="12"/>
  <c r="U907" i="12" s="1"/>
  <c r="M908" i="12"/>
  <c r="T908" i="12" s="1"/>
  <c r="N908" i="12"/>
  <c r="M909" i="12"/>
  <c r="T909" i="12" s="1"/>
  <c r="N909" i="12"/>
  <c r="U909" i="12" s="1"/>
  <c r="M910" i="12"/>
  <c r="T910" i="12" s="1"/>
  <c r="N910" i="12"/>
  <c r="U910" i="12" s="1"/>
  <c r="M911" i="12"/>
  <c r="T911" i="12" s="1"/>
  <c r="N911" i="12"/>
  <c r="U911" i="12" s="1"/>
  <c r="M912" i="12"/>
  <c r="T912" i="12" s="1"/>
  <c r="N912" i="12"/>
  <c r="U912" i="12" s="1"/>
  <c r="M913" i="12"/>
  <c r="T913" i="12" s="1"/>
  <c r="N913" i="12"/>
  <c r="U913" i="12" s="1"/>
  <c r="M914" i="12"/>
  <c r="T914" i="12" s="1"/>
  <c r="N914" i="12"/>
  <c r="U914" i="12" s="1"/>
  <c r="M915" i="12"/>
  <c r="T915" i="12" s="1"/>
  <c r="N915" i="12"/>
  <c r="U915" i="12" s="1"/>
  <c r="M916" i="12"/>
  <c r="T916" i="12" s="1"/>
  <c r="N916" i="12"/>
  <c r="U916" i="12" s="1"/>
  <c r="M917" i="12"/>
  <c r="T917" i="12" s="1"/>
  <c r="N917" i="12"/>
  <c r="U917" i="12" s="1"/>
  <c r="M918" i="12"/>
  <c r="T918" i="12" s="1"/>
  <c r="N918" i="12"/>
  <c r="U918" i="12" s="1"/>
  <c r="M919" i="12"/>
  <c r="T919" i="12" s="1"/>
  <c r="N919" i="12"/>
  <c r="U919" i="12" s="1"/>
  <c r="M920" i="12"/>
  <c r="T920" i="12" s="1"/>
  <c r="N920" i="12"/>
  <c r="U920" i="12" s="1"/>
  <c r="M921" i="12"/>
  <c r="T921" i="12" s="1"/>
  <c r="N921" i="12"/>
  <c r="U921" i="12" s="1"/>
  <c r="M922" i="12"/>
  <c r="T922" i="12" s="1"/>
  <c r="N922" i="12"/>
  <c r="U922" i="12" s="1"/>
  <c r="M923" i="12"/>
  <c r="T923" i="12" s="1"/>
  <c r="N923" i="12"/>
  <c r="U923" i="12" s="1"/>
  <c r="M924" i="12"/>
  <c r="T924" i="12" s="1"/>
  <c r="N924" i="12"/>
  <c r="U924" i="12" s="1"/>
  <c r="M925" i="12"/>
  <c r="T925" i="12" s="1"/>
  <c r="N925" i="12"/>
  <c r="U925" i="12" s="1"/>
  <c r="M926" i="12"/>
  <c r="T926" i="12" s="1"/>
  <c r="N926" i="12"/>
  <c r="U926" i="12" s="1"/>
  <c r="M927" i="12"/>
  <c r="T927" i="12" s="1"/>
  <c r="N927" i="12"/>
  <c r="U927" i="12" s="1"/>
  <c r="M928" i="12"/>
  <c r="T928" i="12" s="1"/>
  <c r="N928" i="12"/>
  <c r="U928" i="12" s="1"/>
  <c r="M929" i="12"/>
  <c r="T929" i="12" s="1"/>
  <c r="N929" i="12"/>
  <c r="M930" i="12"/>
  <c r="T930" i="12" s="1"/>
  <c r="N930" i="12"/>
  <c r="U930" i="12" s="1"/>
  <c r="M931" i="12"/>
  <c r="T931" i="12" s="1"/>
  <c r="N931" i="12"/>
  <c r="U931" i="12" s="1"/>
  <c r="M932" i="12"/>
  <c r="T932" i="12" s="1"/>
  <c r="N932" i="12"/>
  <c r="M933" i="12"/>
  <c r="T933" i="12" s="1"/>
  <c r="N933" i="12"/>
  <c r="U933" i="12" s="1"/>
  <c r="M934" i="12"/>
  <c r="T934" i="12" s="1"/>
  <c r="N934" i="12"/>
  <c r="U934" i="12" s="1"/>
  <c r="M935" i="12"/>
  <c r="T935" i="12" s="1"/>
  <c r="N935" i="12"/>
  <c r="M936" i="12"/>
  <c r="T936" i="12" s="1"/>
  <c r="N936" i="12"/>
  <c r="U936" i="12" s="1"/>
  <c r="M937" i="12"/>
  <c r="T937" i="12" s="1"/>
  <c r="N937" i="12"/>
  <c r="U937" i="12" s="1"/>
  <c r="M938" i="12"/>
  <c r="T938" i="12" s="1"/>
  <c r="N938" i="12"/>
  <c r="U938" i="12" s="1"/>
  <c r="M939" i="12"/>
  <c r="T939" i="12" s="1"/>
  <c r="N939" i="12"/>
  <c r="M940" i="12"/>
  <c r="T940" i="12" s="1"/>
  <c r="N940" i="12"/>
  <c r="U940" i="12" s="1"/>
  <c r="U939" i="12" s="1"/>
  <c r="M942" i="12"/>
  <c r="T942" i="12" s="1"/>
  <c r="N942" i="12"/>
  <c r="U942" i="12" s="1"/>
  <c r="M943" i="12"/>
  <c r="T943" i="12" s="1"/>
  <c r="N943" i="12"/>
  <c r="M944" i="12"/>
  <c r="T944" i="12" s="1"/>
  <c r="N944" i="12"/>
  <c r="U944" i="12" s="1"/>
  <c r="M945" i="12"/>
  <c r="T945" i="12" s="1"/>
  <c r="N945" i="12"/>
  <c r="U945" i="12" s="1"/>
  <c r="M946" i="12"/>
  <c r="T946" i="12" s="1"/>
  <c r="N946" i="12"/>
  <c r="U946" i="12" s="1"/>
  <c r="M947" i="12"/>
  <c r="T947" i="12" s="1"/>
  <c r="N947" i="12"/>
  <c r="U947" i="12" s="1"/>
  <c r="M948" i="12"/>
  <c r="T948" i="12" s="1"/>
  <c r="N948" i="12"/>
  <c r="U948" i="12" s="1"/>
  <c r="M949" i="12"/>
  <c r="T949" i="12" s="1"/>
  <c r="N949" i="12"/>
  <c r="M950" i="12"/>
  <c r="T950" i="12" s="1"/>
  <c r="N950" i="12"/>
  <c r="U950" i="12" s="1"/>
  <c r="M951" i="12"/>
  <c r="T951" i="12" s="1"/>
  <c r="N951" i="12"/>
  <c r="U951" i="12" s="1"/>
  <c r="M952" i="12"/>
  <c r="T952" i="12" s="1"/>
  <c r="N952" i="12"/>
  <c r="U952" i="12" s="1"/>
  <c r="M953" i="12"/>
  <c r="T953" i="12" s="1"/>
  <c r="N953" i="12"/>
  <c r="U953" i="12" s="1"/>
  <c r="M954" i="12"/>
  <c r="T954" i="12" s="1"/>
  <c r="N954" i="12"/>
  <c r="U954" i="12" s="1"/>
  <c r="M955" i="12"/>
  <c r="T955" i="12" s="1"/>
  <c r="N955" i="12"/>
  <c r="M956" i="12"/>
  <c r="T956" i="12" s="1"/>
  <c r="N956" i="12"/>
  <c r="U956" i="12" s="1"/>
  <c r="U955" i="12" s="1"/>
  <c r="M957" i="12"/>
  <c r="T957" i="12" s="1"/>
  <c r="N957" i="12"/>
  <c r="M958" i="12"/>
  <c r="T958" i="12" s="1"/>
  <c r="N958" i="12"/>
  <c r="U958" i="12" s="1"/>
  <c r="M959" i="12"/>
  <c r="T959" i="12" s="1"/>
  <c r="N959" i="12"/>
  <c r="U959" i="12" s="1"/>
  <c r="M960" i="12"/>
  <c r="T960" i="12" s="1"/>
  <c r="N960" i="12"/>
  <c r="U960" i="12" s="1"/>
  <c r="M961" i="12"/>
  <c r="T961" i="12" s="1"/>
  <c r="N961" i="12"/>
  <c r="M962" i="12"/>
  <c r="T962" i="12" s="1"/>
  <c r="N962" i="12"/>
  <c r="U962" i="12" s="1"/>
  <c r="M963" i="12"/>
  <c r="T963" i="12" s="1"/>
  <c r="N963" i="12"/>
  <c r="U963" i="12" s="1"/>
  <c r="M964" i="12"/>
  <c r="T964" i="12" s="1"/>
  <c r="N964" i="12"/>
  <c r="U964" i="12" s="1"/>
  <c r="M965" i="12"/>
  <c r="T965" i="12" s="1"/>
  <c r="N965" i="12"/>
  <c r="U965" i="12" s="1"/>
  <c r="M966" i="12"/>
  <c r="T966" i="12" s="1"/>
  <c r="N966" i="12"/>
  <c r="U966" i="12" s="1"/>
  <c r="M967" i="12"/>
  <c r="T967" i="12" s="1"/>
  <c r="N967" i="12"/>
  <c r="U967" i="12" s="1"/>
  <c r="M968" i="12"/>
  <c r="T968" i="12" s="1"/>
  <c r="N968" i="12"/>
  <c r="M969" i="12"/>
  <c r="T969" i="12" s="1"/>
  <c r="N969" i="12"/>
  <c r="U969" i="12" s="1"/>
  <c r="M970" i="12"/>
  <c r="T970" i="12" s="1"/>
  <c r="N970" i="12"/>
  <c r="U970" i="12" s="1"/>
  <c r="M971" i="12"/>
  <c r="T971" i="12" s="1"/>
  <c r="N971" i="12"/>
  <c r="U971" i="12" s="1"/>
  <c r="M973" i="12"/>
  <c r="T973" i="12" s="1"/>
  <c r="N973" i="12"/>
  <c r="U973" i="12" s="1"/>
  <c r="M974" i="12"/>
  <c r="T974" i="12" s="1"/>
  <c r="N974" i="12"/>
  <c r="M975" i="12"/>
  <c r="T975" i="12" s="1"/>
  <c r="M976" i="12"/>
  <c r="T976" i="12" s="1"/>
  <c r="N976" i="12"/>
  <c r="U976" i="12" s="1"/>
  <c r="M977" i="12"/>
  <c r="T977" i="12" s="1"/>
  <c r="N977" i="12"/>
  <c r="U977" i="12" s="1"/>
  <c r="M978" i="12"/>
  <c r="T978" i="12" s="1"/>
  <c r="N978" i="12"/>
  <c r="U978" i="12" s="1"/>
  <c r="M979" i="12"/>
  <c r="T979" i="12" s="1"/>
  <c r="N979" i="12"/>
  <c r="U979" i="12" s="1"/>
  <c r="M980" i="12"/>
  <c r="T980" i="12" s="1"/>
  <c r="N980" i="12"/>
  <c r="U980" i="12" s="1"/>
  <c r="M981" i="12"/>
  <c r="T981" i="12" s="1"/>
  <c r="N981" i="12"/>
  <c r="U981" i="12" s="1"/>
  <c r="M982" i="12"/>
  <c r="T982" i="12" s="1"/>
  <c r="N982" i="12"/>
  <c r="U982" i="12" s="1"/>
  <c r="M983" i="12"/>
  <c r="T983" i="12" s="1"/>
  <c r="N983" i="12"/>
  <c r="U983" i="12" s="1"/>
  <c r="M984" i="12"/>
  <c r="T984" i="12" s="1"/>
  <c r="N984" i="12"/>
  <c r="U984" i="12" s="1"/>
  <c r="M985" i="12"/>
  <c r="T985" i="12" s="1"/>
  <c r="N985" i="12"/>
  <c r="U985" i="12" s="1"/>
  <c r="M986" i="12"/>
  <c r="T986" i="12" s="1"/>
  <c r="N986" i="12"/>
  <c r="U986" i="12" s="1"/>
  <c r="M987" i="12"/>
  <c r="T987" i="12" s="1"/>
  <c r="N987" i="12"/>
  <c r="U987" i="12" s="1"/>
  <c r="M988" i="12"/>
  <c r="T988" i="12" s="1"/>
  <c r="N988" i="12"/>
  <c r="U988" i="12" s="1"/>
  <c r="M989" i="12"/>
  <c r="T989" i="12" s="1"/>
  <c r="N989" i="12"/>
  <c r="U989" i="12" s="1"/>
  <c r="M990" i="12"/>
  <c r="T990" i="12" s="1"/>
  <c r="N990" i="12"/>
  <c r="U990" i="12" s="1"/>
  <c r="M991" i="12"/>
  <c r="T991" i="12" s="1"/>
  <c r="N991" i="12"/>
  <c r="U991" i="12" s="1"/>
  <c r="M992" i="12"/>
  <c r="T992" i="12" s="1"/>
  <c r="N992" i="12"/>
  <c r="U992" i="12" s="1"/>
  <c r="M993" i="12"/>
  <c r="T993" i="12" s="1"/>
  <c r="N993" i="12"/>
  <c r="U993" i="12" s="1"/>
  <c r="M994" i="12"/>
  <c r="T994" i="12" s="1"/>
  <c r="N994" i="12"/>
  <c r="U994" i="12" s="1"/>
  <c r="M995" i="12"/>
  <c r="N995" i="12"/>
  <c r="M996" i="12"/>
  <c r="T996" i="12" s="1"/>
  <c r="N996" i="12"/>
  <c r="U996" i="12" s="1"/>
  <c r="M997" i="12"/>
  <c r="T997" i="12" s="1"/>
  <c r="N997" i="12"/>
  <c r="U997" i="12" s="1"/>
  <c r="M998" i="12"/>
  <c r="T998" i="12" s="1"/>
  <c r="N998" i="12"/>
  <c r="M999" i="12"/>
  <c r="T999" i="12" s="1"/>
  <c r="N999" i="12"/>
  <c r="U999" i="12" s="1"/>
  <c r="M1000" i="12"/>
  <c r="T1000" i="12" s="1"/>
  <c r="M1001" i="12"/>
  <c r="T1001" i="12" s="1"/>
  <c r="N1001" i="12"/>
  <c r="U1001" i="12" s="1"/>
  <c r="M1002" i="12"/>
  <c r="T1002" i="12" s="1"/>
  <c r="N1002" i="12"/>
  <c r="U1002" i="12" s="1"/>
  <c r="M1003" i="12"/>
  <c r="T1003" i="12" s="1"/>
  <c r="N1003" i="12"/>
  <c r="U1003" i="12" s="1"/>
  <c r="M1004" i="12"/>
  <c r="T1004" i="12" s="1"/>
  <c r="N1004" i="12"/>
  <c r="U1004" i="12" s="1"/>
  <c r="M1005" i="12"/>
  <c r="T1005" i="12" s="1"/>
  <c r="N1005" i="12"/>
  <c r="U1005" i="12" s="1"/>
  <c r="M1006" i="12"/>
  <c r="T1006" i="12" s="1"/>
  <c r="N1006" i="12"/>
  <c r="U1006" i="12" s="1"/>
  <c r="M1007" i="12"/>
  <c r="T1007" i="12" s="1"/>
  <c r="N1007" i="12"/>
  <c r="U1007" i="12" s="1"/>
  <c r="M1008" i="12"/>
  <c r="T1008" i="12" s="1"/>
  <c r="N1008" i="12"/>
  <c r="U1008" i="12" s="1"/>
  <c r="M1009" i="12"/>
  <c r="T1009" i="12" s="1"/>
  <c r="N1009" i="12"/>
  <c r="U1009" i="12" s="1"/>
  <c r="M1010" i="12"/>
  <c r="T1010" i="12" s="1"/>
  <c r="N1010" i="12"/>
  <c r="U1010" i="12" s="1"/>
  <c r="M1011" i="12"/>
  <c r="T1011" i="12" s="1"/>
  <c r="N1011" i="12"/>
  <c r="U1011" i="12" s="1"/>
  <c r="M1012" i="12"/>
  <c r="T1012" i="12" s="1"/>
  <c r="N1012" i="12"/>
  <c r="U1012" i="12" s="1"/>
  <c r="M1013" i="12"/>
  <c r="T1013" i="12" s="1"/>
  <c r="N1013" i="12"/>
  <c r="U1013" i="12" s="1"/>
  <c r="M1014" i="12"/>
  <c r="T1014" i="12" s="1"/>
  <c r="N1014" i="12"/>
  <c r="U1014" i="12" s="1"/>
  <c r="M1015" i="12"/>
  <c r="T1015" i="12" s="1"/>
  <c r="N1015" i="12"/>
  <c r="U1015" i="12" s="1"/>
  <c r="M1016" i="12"/>
  <c r="T1016" i="12" s="1"/>
  <c r="N1016" i="12"/>
  <c r="U1016" i="12" s="1"/>
  <c r="M1017" i="12"/>
  <c r="N1017" i="12"/>
  <c r="M1018" i="12"/>
  <c r="T1018" i="12" s="1"/>
  <c r="N1018" i="12"/>
  <c r="M1019" i="12"/>
  <c r="T1019" i="12" s="1"/>
  <c r="M1020" i="12"/>
  <c r="T1020" i="12" s="1"/>
  <c r="N1020" i="12"/>
  <c r="U1020" i="12" s="1"/>
  <c r="M1021" i="12"/>
  <c r="T1021" i="12" s="1"/>
  <c r="N1021" i="12"/>
  <c r="U1021" i="12" s="1"/>
  <c r="M1022" i="12"/>
  <c r="T1022" i="12" s="1"/>
  <c r="N1022" i="12"/>
  <c r="U1022" i="12" s="1"/>
  <c r="M1023" i="12"/>
  <c r="T1023" i="12" s="1"/>
  <c r="N1023" i="12"/>
  <c r="U1023" i="12" s="1"/>
  <c r="M1024" i="12"/>
  <c r="T1024" i="12" s="1"/>
  <c r="N1024" i="12"/>
  <c r="U1024" i="12" s="1"/>
  <c r="M1025" i="12"/>
  <c r="T1025" i="12" s="1"/>
  <c r="N1025" i="12"/>
  <c r="U1025" i="12" s="1"/>
  <c r="M1026" i="12"/>
  <c r="T1026" i="12" s="1"/>
  <c r="N1026" i="12"/>
  <c r="M1027" i="12"/>
  <c r="T1027" i="12" s="1"/>
  <c r="N1027" i="12"/>
  <c r="U1027" i="12" s="1"/>
  <c r="U1026" i="12" s="1"/>
  <c r="M1028" i="12"/>
  <c r="T1028" i="12" s="1"/>
  <c r="N1028" i="12"/>
  <c r="M1029" i="12"/>
  <c r="T1029" i="12" s="1"/>
  <c r="N1029" i="12"/>
  <c r="U1029" i="12" s="1"/>
  <c r="U1028" i="12" s="1"/>
  <c r="M1030" i="12"/>
  <c r="T1030" i="12" s="1"/>
  <c r="N1030" i="12"/>
  <c r="M1031" i="12"/>
  <c r="T1031" i="12" s="1"/>
  <c r="N1031" i="12"/>
  <c r="U1031" i="12" s="1"/>
  <c r="M1032" i="12"/>
  <c r="T1032" i="12" s="1"/>
  <c r="N1032" i="12"/>
  <c r="U1032" i="12" s="1"/>
  <c r="M1033" i="12"/>
  <c r="T1033" i="12" s="1"/>
  <c r="N1033" i="12"/>
  <c r="M1034" i="12"/>
  <c r="T1034" i="12" s="1"/>
  <c r="N1034" i="12"/>
  <c r="U1034" i="12" s="1"/>
  <c r="M1035" i="12"/>
  <c r="T1035" i="12" s="1"/>
  <c r="N1035" i="12"/>
  <c r="U1035" i="12" s="1"/>
  <c r="M1036" i="12"/>
  <c r="T1036" i="12" s="1"/>
  <c r="N1036" i="12"/>
  <c r="U1036" i="12" s="1"/>
  <c r="M1037" i="12"/>
  <c r="T1037" i="12" s="1"/>
  <c r="N1037" i="12"/>
  <c r="U1037" i="12" s="1"/>
  <c r="M1038" i="12"/>
  <c r="T1038" i="12" s="1"/>
  <c r="N1038" i="12"/>
  <c r="U1038" i="12" s="1"/>
  <c r="M1039" i="12"/>
  <c r="T1039" i="12" s="1"/>
  <c r="N1039" i="12"/>
  <c r="U1039" i="12" s="1"/>
  <c r="M1040" i="12"/>
  <c r="T1040" i="12" s="1"/>
  <c r="N1040" i="12"/>
  <c r="U1040" i="12" s="1"/>
  <c r="M1041" i="12"/>
  <c r="T1041" i="12" s="1"/>
  <c r="N1041" i="12"/>
  <c r="U1041" i="12" s="1"/>
  <c r="M1042" i="12"/>
  <c r="T1042" i="12" s="1"/>
  <c r="N1042" i="12"/>
  <c r="U1042" i="12" s="1"/>
  <c r="M1043" i="12"/>
  <c r="T1043" i="12" s="1"/>
  <c r="N1043" i="12"/>
  <c r="U1043" i="12" s="1"/>
  <c r="M1044" i="12"/>
  <c r="T1044" i="12" s="1"/>
  <c r="N1044" i="12"/>
  <c r="U1044" i="12" s="1"/>
  <c r="M1045" i="12"/>
  <c r="T1045" i="12" s="1"/>
  <c r="N1045" i="12"/>
  <c r="U1045" i="12" s="1"/>
  <c r="M1046" i="12"/>
  <c r="T1046" i="12" s="1"/>
  <c r="N1046" i="12"/>
  <c r="U1046" i="12" s="1"/>
  <c r="M1047" i="12"/>
  <c r="T1047" i="12" s="1"/>
  <c r="N1047" i="12"/>
  <c r="U1047" i="12" s="1"/>
  <c r="M1048" i="12"/>
  <c r="T1048" i="12" s="1"/>
  <c r="N1048" i="12"/>
  <c r="U1048" i="12" s="1"/>
  <c r="M1049" i="12"/>
  <c r="T1049" i="12" s="1"/>
  <c r="N1049" i="12"/>
  <c r="U1049" i="12" s="1"/>
  <c r="M1050" i="12"/>
  <c r="T1050" i="12" s="1"/>
  <c r="N1050" i="12"/>
  <c r="M1051" i="12"/>
  <c r="T1051" i="12" s="1"/>
  <c r="M1052" i="12"/>
  <c r="T1052" i="12" s="1"/>
  <c r="N1052" i="12"/>
  <c r="U1052" i="12" s="1"/>
  <c r="M1053" i="12"/>
  <c r="T1053" i="12" s="1"/>
  <c r="N1053" i="12"/>
  <c r="U1053" i="12" s="1"/>
  <c r="M1054" i="12"/>
  <c r="T1054" i="12" s="1"/>
  <c r="N1054" i="12"/>
  <c r="M1055" i="12"/>
  <c r="T1055" i="12" s="1"/>
  <c r="M1056" i="12"/>
  <c r="T1056" i="12" s="1"/>
  <c r="N1056" i="12"/>
  <c r="U1056" i="12" s="1"/>
  <c r="M1057" i="12"/>
  <c r="T1057" i="12" s="1"/>
  <c r="N1057" i="12"/>
  <c r="U1057" i="12" s="1"/>
  <c r="M1058" i="12"/>
  <c r="T1058" i="12" s="1"/>
  <c r="N1058" i="12"/>
  <c r="U1058" i="12" s="1"/>
  <c r="M1059" i="12"/>
  <c r="T1059" i="12" s="1"/>
  <c r="N1059" i="12"/>
  <c r="U1059" i="12" s="1"/>
  <c r="M1060" i="12"/>
  <c r="T1060" i="12" s="1"/>
  <c r="N1060" i="12"/>
  <c r="U1060" i="12" s="1"/>
  <c r="M1061" i="12"/>
  <c r="T1061" i="12" s="1"/>
  <c r="N1061" i="12"/>
  <c r="U1061" i="12" s="1"/>
  <c r="M1062" i="12"/>
  <c r="T1062" i="12" s="1"/>
  <c r="N1062" i="12"/>
  <c r="U1062" i="12" s="1"/>
  <c r="M1063" i="12"/>
  <c r="T1063" i="12" s="1"/>
  <c r="N1063" i="12"/>
  <c r="U1063" i="12" s="1"/>
  <c r="M1064" i="12"/>
  <c r="T1064" i="12" s="1"/>
  <c r="N1064" i="12"/>
  <c r="U1064" i="12" s="1"/>
  <c r="M1065" i="12"/>
  <c r="T1065" i="12" s="1"/>
  <c r="N1065" i="12"/>
  <c r="U1065" i="12" s="1"/>
  <c r="M1066" i="12"/>
  <c r="T1066" i="12" s="1"/>
  <c r="N1066" i="12"/>
  <c r="U1066" i="12" s="1"/>
  <c r="M1067" i="12"/>
  <c r="T1067" i="12" s="1"/>
  <c r="N1067" i="12"/>
  <c r="U1067" i="12" s="1"/>
  <c r="M1068" i="12"/>
  <c r="T1068" i="12" s="1"/>
  <c r="N1068" i="12"/>
  <c r="U1068" i="12" s="1"/>
  <c r="M1069" i="12"/>
  <c r="T1069" i="12" s="1"/>
  <c r="N1069" i="12"/>
  <c r="U1069" i="12" s="1"/>
  <c r="M1070" i="12"/>
  <c r="T1070" i="12" s="1"/>
  <c r="N1070" i="12"/>
  <c r="U1070" i="12" s="1"/>
  <c r="M1071" i="12"/>
  <c r="T1071" i="12" s="1"/>
  <c r="N1071" i="12"/>
  <c r="U1071" i="12" s="1"/>
  <c r="M1072" i="12"/>
  <c r="T1072" i="12" s="1"/>
  <c r="N1072" i="12"/>
  <c r="U1072" i="12" s="1"/>
  <c r="M1073" i="12"/>
  <c r="T1073" i="12" s="1"/>
  <c r="N1073" i="12"/>
  <c r="U1073" i="12" s="1"/>
  <c r="M1074" i="12"/>
  <c r="T1074" i="12" s="1"/>
  <c r="N1074" i="12"/>
  <c r="M1075" i="12"/>
  <c r="T1075" i="12" s="1"/>
  <c r="N1075" i="12"/>
  <c r="U1075" i="12" s="1"/>
  <c r="M1076" i="12"/>
  <c r="T1076" i="12" s="1"/>
  <c r="N1076" i="12"/>
  <c r="U1076" i="12" s="1"/>
  <c r="M1077" i="12"/>
  <c r="T1077" i="12" s="1"/>
  <c r="N1077" i="12"/>
  <c r="U1077" i="12" s="1"/>
  <c r="M1078" i="12"/>
  <c r="T1078" i="12" s="1"/>
  <c r="N1078" i="12"/>
  <c r="U1078" i="12" s="1"/>
  <c r="M1079" i="12"/>
  <c r="T1079" i="12" s="1"/>
  <c r="N1079" i="12"/>
  <c r="U1079" i="12" s="1"/>
  <c r="M1080" i="12"/>
  <c r="T1080" i="12" s="1"/>
  <c r="N1080" i="12"/>
  <c r="M1082" i="12"/>
  <c r="T1082" i="12" s="1"/>
  <c r="M1083" i="12"/>
  <c r="T1083" i="12" s="1"/>
  <c r="N1083" i="12"/>
  <c r="U1083" i="12" s="1"/>
  <c r="M1084" i="12"/>
  <c r="T1084" i="12" s="1"/>
  <c r="N1084" i="12"/>
  <c r="U1084" i="12" s="1"/>
  <c r="M1085" i="12"/>
  <c r="T1085" i="12" s="1"/>
  <c r="N1085" i="12"/>
  <c r="U1085" i="12" s="1"/>
  <c r="M1086" i="12"/>
  <c r="T1086" i="12" s="1"/>
  <c r="N1086" i="12"/>
  <c r="U1086" i="12" s="1"/>
  <c r="M1087" i="12"/>
  <c r="N1087" i="12"/>
  <c r="M1088" i="12"/>
  <c r="T1088" i="12" s="1"/>
  <c r="N1088" i="12"/>
  <c r="M1089" i="12"/>
  <c r="N1089" i="12"/>
  <c r="M1090" i="12"/>
  <c r="N1090" i="12"/>
  <c r="M1091" i="12"/>
  <c r="T1091" i="12" s="1"/>
  <c r="N1091" i="12"/>
  <c r="M1092" i="12"/>
  <c r="T1092" i="12" s="1"/>
  <c r="N1092" i="12"/>
  <c r="U1092" i="12" s="1"/>
  <c r="M1093" i="12"/>
  <c r="T1093" i="12" s="1"/>
  <c r="M1094" i="12"/>
  <c r="T1094" i="12" s="1"/>
  <c r="N1094" i="12"/>
  <c r="U1094" i="12" s="1"/>
  <c r="M1095" i="12"/>
  <c r="T1095" i="12" s="1"/>
  <c r="N1095" i="12"/>
  <c r="U1095" i="12" s="1"/>
  <c r="M1096" i="12"/>
  <c r="T1096" i="12" s="1"/>
  <c r="N1096" i="12"/>
  <c r="U1096" i="12" s="1"/>
  <c r="M1097" i="12"/>
  <c r="T1097" i="12" s="1"/>
  <c r="N1097" i="12"/>
  <c r="U1097" i="12" s="1"/>
  <c r="M1098" i="12"/>
  <c r="T1098" i="12" s="1"/>
  <c r="N1098" i="12"/>
  <c r="U1098" i="12" s="1"/>
  <c r="M1099" i="12"/>
  <c r="T1099" i="12" s="1"/>
  <c r="N1099" i="12"/>
  <c r="U1099" i="12" s="1"/>
  <c r="M1100" i="12"/>
  <c r="T1100" i="12" s="1"/>
  <c r="N1100" i="12"/>
  <c r="U1100" i="12" s="1"/>
  <c r="M1102" i="12"/>
  <c r="T1102" i="12" s="1"/>
  <c r="N1102" i="12"/>
  <c r="M1103" i="12"/>
  <c r="T1103" i="12" s="1"/>
  <c r="N1103" i="12"/>
  <c r="U1103" i="12" s="1"/>
  <c r="M1104" i="12"/>
  <c r="T1104" i="12" s="1"/>
  <c r="N1104" i="12"/>
  <c r="U1104" i="12" s="1"/>
  <c r="M1105" i="12"/>
  <c r="T1105" i="12" s="1"/>
  <c r="M1106" i="12"/>
  <c r="T1106" i="12" s="1"/>
  <c r="N1106" i="12"/>
  <c r="U1106" i="12" s="1"/>
  <c r="M1107" i="12"/>
  <c r="T1107" i="12" s="1"/>
  <c r="N1107" i="12"/>
  <c r="U1107" i="12" s="1"/>
  <c r="M1108" i="12"/>
  <c r="T1108" i="12" s="1"/>
  <c r="M1109" i="12"/>
  <c r="N1109" i="12"/>
  <c r="M1110" i="12"/>
  <c r="N1110" i="12"/>
  <c r="M1111" i="12"/>
  <c r="N1111" i="12"/>
  <c r="M1112" i="12"/>
  <c r="N1112" i="12"/>
  <c r="M1113" i="12"/>
  <c r="N1113" i="12"/>
  <c r="M1114" i="12"/>
  <c r="T1114" i="12" s="1"/>
  <c r="M1115" i="12"/>
  <c r="T1115" i="12" s="1"/>
  <c r="M1116" i="12"/>
  <c r="T1116" i="12" s="1"/>
  <c r="N1116" i="12"/>
  <c r="U1116" i="12" s="1"/>
  <c r="M1117" i="12"/>
  <c r="N1117" i="12"/>
  <c r="M1118" i="12"/>
  <c r="N1118" i="12"/>
  <c r="M1119" i="12"/>
  <c r="T1119" i="12" s="1"/>
  <c r="N1119" i="12"/>
  <c r="M1120" i="12"/>
  <c r="T1120" i="12" s="1"/>
  <c r="N1120" i="12"/>
  <c r="U1120" i="12" s="1"/>
  <c r="M1121" i="12"/>
  <c r="T1121" i="12" s="1"/>
  <c r="N1121" i="12"/>
  <c r="U1121" i="12" s="1"/>
  <c r="M1122" i="12"/>
  <c r="T1122" i="12" s="1"/>
  <c r="M1123" i="12"/>
  <c r="T1123" i="12" s="1"/>
  <c r="N1123" i="12"/>
  <c r="U1123" i="12" s="1"/>
  <c r="M1124" i="12"/>
  <c r="N1124" i="12"/>
  <c r="M1125" i="12"/>
  <c r="T1125" i="12" s="1"/>
  <c r="N1125" i="12"/>
  <c r="M1126" i="12"/>
  <c r="T1126" i="12" s="1"/>
  <c r="N1126" i="12"/>
  <c r="U1126" i="12" s="1"/>
  <c r="U1125" i="12" s="1"/>
  <c r="M1127" i="12"/>
  <c r="T1127" i="12" s="1"/>
  <c r="M1128" i="12"/>
  <c r="T1128" i="12" s="1"/>
  <c r="N1128" i="12"/>
  <c r="U1128" i="12" s="1"/>
  <c r="M1129" i="12"/>
  <c r="T1129" i="12" s="1"/>
  <c r="N1129" i="12"/>
  <c r="U1129" i="12" s="1"/>
  <c r="M1130" i="12"/>
  <c r="T1130" i="12" s="1"/>
  <c r="N1130" i="12"/>
  <c r="U1130" i="12" s="1"/>
  <c r="M1131" i="12"/>
  <c r="T1131" i="12" s="1"/>
  <c r="N1131" i="12"/>
  <c r="U1131" i="12" s="1"/>
  <c r="M1132" i="12"/>
  <c r="T1132" i="12" s="1"/>
  <c r="N1132" i="12"/>
  <c r="U1132" i="12" s="1"/>
  <c r="M1133" i="12"/>
  <c r="T1133" i="12" s="1"/>
  <c r="M1134" i="12"/>
  <c r="T1134" i="12" s="1"/>
  <c r="M1135" i="12"/>
  <c r="T1135" i="12" s="1"/>
  <c r="N1135" i="12"/>
  <c r="U1135" i="12" s="1"/>
  <c r="M1136" i="12"/>
  <c r="T1136" i="12" s="1"/>
  <c r="N1136" i="12"/>
  <c r="U1136" i="12" s="1"/>
  <c r="M1137" i="12"/>
  <c r="T1137" i="12" s="1"/>
  <c r="N1137" i="12"/>
  <c r="M1138" i="12"/>
  <c r="T1138" i="12" s="1"/>
  <c r="N1138" i="12"/>
  <c r="U1138" i="12" s="1"/>
  <c r="M1139" i="12"/>
  <c r="T1139" i="12" s="1"/>
  <c r="N1139" i="12"/>
  <c r="U1139" i="12" s="1"/>
  <c r="M1140" i="12"/>
  <c r="T1140" i="12" s="1"/>
  <c r="N1140" i="12"/>
  <c r="U1140" i="12" s="1"/>
  <c r="M1141" i="12"/>
  <c r="T1141" i="12" s="1"/>
  <c r="N1141" i="12"/>
  <c r="U1141" i="12" s="1"/>
  <c r="M1142" i="12"/>
  <c r="T1142" i="12" s="1"/>
  <c r="N1142" i="12"/>
  <c r="U1142" i="12" s="1"/>
  <c r="M1143" i="12"/>
  <c r="T1143" i="12" s="1"/>
  <c r="N1143" i="12"/>
  <c r="U1143" i="12" s="1"/>
  <c r="M1144" i="12"/>
  <c r="T1144" i="12" s="1"/>
  <c r="N1144" i="12"/>
  <c r="U1144" i="12" s="1"/>
  <c r="M1145" i="12"/>
  <c r="T1145" i="12" s="1"/>
  <c r="N1145" i="12"/>
  <c r="U1145" i="12" s="1"/>
  <c r="M1146" i="12"/>
  <c r="T1146" i="12" s="1"/>
  <c r="N1146" i="12"/>
  <c r="U1146" i="12" s="1"/>
  <c r="M1147" i="12"/>
  <c r="T1147" i="12" s="1"/>
  <c r="N1147" i="12"/>
  <c r="U1147" i="12" s="1"/>
  <c r="M1148" i="12"/>
  <c r="T1148" i="12" s="1"/>
  <c r="N1148" i="12"/>
  <c r="U1148" i="12" s="1"/>
  <c r="M1149" i="12"/>
  <c r="T1149" i="12" s="1"/>
  <c r="N1149" i="12"/>
  <c r="M1150" i="12"/>
  <c r="T1150" i="12" s="1"/>
  <c r="N1150" i="12"/>
  <c r="U1150" i="12" s="1"/>
  <c r="M1151" i="12"/>
  <c r="T1151" i="12" s="1"/>
  <c r="N1151" i="12"/>
  <c r="U1151" i="12" s="1"/>
  <c r="M1152" i="12"/>
  <c r="T1152" i="12" s="1"/>
  <c r="N1152" i="12"/>
  <c r="U1152" i="12" s="1"/>
  <c r="M1153" i="12"/>
  <c r="T1153" i="12" s="1"/>
  <c r="N1153" i="12"/>
  <c r="U1153" i="12" s="1"/>
  <c r="M1154" i="12"/>
  <c r="T1154" i="12" s="1"/>
  <c r="N1154" i="12"/>
  <c r="U1154" i="12" s="1"/>
  <c r="M1155" i="12"/>
  <c r="T1155" i="12" s="1"/>
  <c r="N1155" i="12"/>
  <c r="U1155" i="12" s="1"/>
  <c r="M1156" i="12"/>
  <c r="T1156" i="12" s="1"/>
  <c r="M1157" i="12"/>
  <c r="T1157" i="12" s="1"/>
  <c r="N1157" i="12"/>
  <c r="U1157" i="12" s="1"/>
  <c r="M1158" i="12"/>
  <c r="T1158" i="12" s="1"/>
  <c r="N1158" i="12"/>
  <c r="U1158" i="12" s="1"/>
  <c r="M1159" i="12"/>
  <c r="T1159" i="12" s="1"/>
  <c r="N1159" i="12"/>
  <c r="U1159" i="12" s="1"/>
  <c r="M1160" i="12"/>
  <c r="T1160" i="12" s="1"/>
  <c r="N1160" i="12"/>
  <c r="U1160" i="12" s="1"/>
  <c r="M1161" i="12"/>
  <c r="T1161" i="12" s="1"/>
  <c r="N1161" i="12"/>
  <c r="U1161" i="12" s="1"/>
  <c r="M1162" i="12"/>
  <c r="T1162" i="12" s="1"/>
  <c r="N1162" i="12"/>
  <c r="U1162" i="12" s="1"/>
  <c r="M1163" i="12"/>
  <c r="T1163" i="12" s="1"/>
  <c r="N1163" i="12"/>
  <c r="U1163" i="12" s="1"/>
  <c r="M1164" i="12"/>
  <c r="T1164" i="12" s="1"/>
  <c r="N1164" i="12"/>
  <c r="U1164" i="12" s="1"/>
  <c r="M1165" i="12"/>
  <c r="T1165" i="12" s="1"/>
  <c r="N1165" i="12"/>
  <c r="U1165" i="12" s="1"/>
  <c r="M1166" i="12"/>
  <c r="T1166" i="12" s="1"/>
  <c r="N1166" i="12"/>
  <c r="U1166" i="12" s="1"/>
  <c r="M1167" i="12"/>
  <c r="N1167" i="12"/>
  <c r="M1168" i="12"/>
  <c r="T1168" i="12" s="1"/>
  <c r="N1168" i="12"/>
  <c r="M1169" i="12"/>
  <c r="T1169" i="12" s="1"/>
  <c r="N1169" i="12"/>
  <c r="U1169" i="12" s="1"/>
  <c r="M1170" i="12"/>
  <c r="T1170" i="12" s="1"/>
  <c r="N1170" i="12"/>
  <c r="U1170" i="12" s="1"/>
  <c r="M1171" i="12"/>
  <c r="T1171" i="12" s="1"/>
  <c r="N1171" i="12"/>
  <c r="U1171" i="12" s="1"/>
  <c r="M1172" i="12"/>
  <c r="T1172" i="12" s="1"/>
  <c r="N1172" i="12"/>
  <c r="U1172" i="12" s="1"/>
  <c r="M1173" i="12"/>
  <c r="T1173" i="12" s="1"/>
  <c r="M1174" i="12"/>
  <c r="T1174" i="12" s="1"/>
  <c r="N1174" i="12"/>
  <c r="U1174" i="12" s="1"/>
  <c r="M1175" i="12"/>
  <c r="T1175" i="12" s="1"/>
  <c r="N1175" i="12"/>
  <c r="U1175" i="12" s="1"/>
  <c r="M1176" i="12"/>
  <c r="T1176" i="12" s="1"/>
  <c r="N1176" i="12"/>
  <c r="U1176" i="12" s="1"/>
  <c r="M1177" i="12"/>
  <c r="T1177" i="12" s="1"/>
  <c r="N1177" i="12"/>
  <c r="U1177" i="12" s="1"/>
  <c r="M1178" i="12"/>
  <c r="T1178" i="12" s="1"/>
  <c r="N1178" i="12"/>
  <c r="U1178" i="12" s="1"/>
  <c r="M1179" i="12"/>
  <c r="T1179" i="12" s="1"/>
  <c r="N1179" i="12"/>
  <c r="U1179" i="12" s="1"/>
  <c r="M1180" i="12"/>
  <c r="N1180" i="12"/>
  <c r="M1181" i="12"/>
  <c r="T1181" i="12" s="1"/>
  <c r="N1181" i="12"/>
  <c r="M1182" i="12"/>
  <c r="T1182" i="12" s="1"/>
  <c r="N1182" i="12"/>
  <c r="U1182" i="12" s="1"/>
  <c r="M1183" i="12"/>
  <c r="T1183" i="12" s="1"/>
  <c r="N1183" i="12"/>
  <c r="U1183" i="12" s="1"/>
  <c r="M1184" i="12"/>
  <c r="T1184" i="12" s="1"/>
  <c r="M1185" i="12"/>
  <c r="N1185" i="12"/>
  <c r="M1186" i="12"/>
  <c r="T1186" i="12" s="1"/>
  <c r="N1186" i="12"/>
  <c r="U1186" i="12" s="1"/>
  <c r="M1187" i="12"/>
  <c r="T1187" i="12" s="1"/>
  <c r="N1187" i="12"/>
  <c r="U1187" i="12" s="1"/>
  <c r="M1188" i="12"/>
  <c r="N1188" i="12"/>
  <c r="M1189" i="12"/>
  <c r="T1189" i="12" s="1"/>
  <c r="N1189" i="12"/>
  <c r="M1190" i="12"/>
  <c r="T1190" i="12" s="1"/>
  <c r="N1190" i="12"/>
  <c r="U1190" i="12" s="1"/>
  <c r="M1191" i="12"/>
  <c r="T1191" i="12" s="1"/>
  <c r="N1191" i="12"/>
  <c r="U1191" i="12" s="1"/>
  <c r="M1192" i="12"/>
  <c r="T1192" i="12" s="1"/>
  <c r="N1192" i="12"/>
  <c r="U1192" i="12" s="1"/>
  <c r="M1193" i="12"/>
  <c r="T1193" i="12" s="1"/>
  <c r="N1193" i="12"/>
  <c r="U1193" i="12" s="1"/>
  <c r="M1194" i="12"/>
  <c r="T1194" i="12" s="1"/>
  <c r="N1194" i="12"/>
  <c r="U1194" i="12" s="1"/>
  <c r="M1195" i="12"/>
  <c r="T1195" i="12" s="1"/>
  <c r="N1195" i="12"/>
  <c r="U1195" i="12" s="1"/>
  <c r="M1196" i="12"/>
  <c r="T1196" i="12" s="1"/>
  <c r="N1196" i="12"/>
  <c r="U1196" i="12" s="1"/>
  <c r="M1197" i="12"/>
  <c r="T1197" i="12" s="1"/>
  <c r="N1197" i="12"/>
  <c r="U1197" i="12" s="1"/>
  <c r="M1198" i="12"/>
  <c r="T1198" i="12" s="1"/>
  <c r="N1198" i="12"/>
  <c r="U1198" i="12" s="1"/>
  <c r="M1199" i="12"/>
  <c r="T1199" i="12" s="1"/>
  <c r="N1199" i="12"/>
  <c r="U1199" i="12" s="1"/>
  <c r="M1200" i="12"/>
  <c r="T1200" i="12" s="1"/>
  <c r="N1200" i="12"/>
  <c r="U1200" i="12" s="1"/>
  <c r="M1201" i="12"/>
  <c r="T1201" i="12" s="1"/>
  <c r="N1201" i="12"/>
  <c r="U1201" i="12" s="1"/>
  <c r="M1202" i="12"/>
  <c r="T1202" i="12" s="1"/>
  <c r="N1202" i="12"/>
  <c r="M1203" i="12"/>
  <c r="T1203" i="12" s="1"/>
  <c r="N1203" i="12"/>
  <c r="U1203" i="12" s="1"/>
  <c r="M1204" i="12"/>
  <c r="T1204" i="12" s="1"/>
  <c r="N1204" i="12"/>
  <c r="U1204" i="12" s="1"/>
  <c r="M1205" i="12"/>
  <c r="T1205" i="12" s="1"/>
  <c r="N1205" i="12"/>
  <c r="U1205" i="12" s="1"/>
  <c r="M1206" i="12"/>
  <c r="T1206" i="12" s="1"/>
  <c r="N1206" i="12"/>
  <c r="U1206" i="12" s="1"/>
  <c r="M1207" i="12"/>
  <c r="T1207" i="12" s="1"/>
  <c r="N1207" i="12"/>
  <c r="U1207" i="12" s="1"/>
  <c r="M1208" i="12"/>
  <c r="T1208" i="12" s="1"/>
  <c r="N1208" i="12"/>
  <c r="U1208" i="12" s="1"/>
  <c r="M1209" i="12"/>
  <c r="T1209" i="12" s="1"/>
  <c r="N1209" i="12"/>
  <c r="U1209" i="12" s="1"/>
  <c r="M1210" i="12"/>
  <c r="T1210" i="12" s="1"/>
  <c r="N1210" i="12"/>
  <c r="U1210" i="12" s="1"/>
  <c r="M1211" i="12"/>
  <c r="T1211" i="12" s="1"/>
  <c r="N1211" i="12"/>
  <c r="U1211" i="12" s="1"/>
  <c r="M1212" i="12"/>
  <c r="T1212" i="12" s="1"/>
  <c r="N1212" i="12"/>
  <c r="U1212" i="12" s="1"/>
  <c r="M1213" i="12"/>
  <c r="T1213" i="12" s="1"/>
  <c r="N1213" i="12"/>
  <c r="U1213" i="12" s="1"/>
  <c r="M1214" i="12"/>
  <c r="T1214" i="12" s="1"/>
  <c r="N1214" i="12"/>
  <c r="M1215" i="12"/>
  <c r="T1215" i="12" s="1"/>
  <c r="M1216" i="12"/>
  <c r="T1216" i="12" s="1"/>
  <c r="N1216" i="12"/>
  <c r="U1216" i="12" s="1"/>
  <c r="M1217" i="12"/>
  <c r="T1217" i="12" s="1"/>
  <c r="N1217" i="12"/>
  <c r="U1217" i="12" s="1"/>
  <c r="M1218" i="12"/>
  <c r="T1218" i="12" s="1"/>
  <c r="N1218" i="12"/>
  <c r="U1218" i="12" s="1"/>
  <c r="M1219" i="12"/>
  <c r="T1219" i="12" s="1"/>
  <c r="N1219" i="12"/>
  <c r="U1219" i="12" s="1"/>
  <c r="M1220" i="12"/>
  <c r="T1220" i="12" s="1"/>
  <c r="N1220" i="12"/>
  <c r="U1220" i="12" s="1"/>
  <c r="M1221" i="12"/>
  <c r="T1221" i="12" s="1"/>
  <c r="N1221" i="12"/>
  <c r="M1222" i="12"/>
  <c r="T1222" i="12" s="1"/>
  <c r="N1222" i="12"/>
  <c r="M1223" i="12"/>
  <c r="T1223" i="12" s="1"/>
  <c r="N1223" i="12"/>
  <c r="U1223" i="12" s="1"/>
  <c r="M1224" i="12"/>
  <c r="T1224" i="12" s="1"/>
  <c r="N1224" i="12"/>
  <c r="U1224" i="12" s="1"/>
  <c r="M1225" i="12"/>
  <c r="T1225" i="12" s="1"/>
  <c r="N1225" i="12"/>
  <c r="U1225" i="12" s="1"/>
  <c r="M1226" i="12"/>
  <c r="T1226" i="12" s="1"/>
  <c r="N1226" i="12"/>
  <c r="U1226" i="12" s="1"/>
  <c r="M1227" i="12"/>
  <c r="T1227" i="12" s="1"/>
  <c r="N1227" i="12"/>
  <c r="U1227" i="12" s="1"/>
  <c r="C23" i="17" s="1"/>
  <c r="M1228" i="12"/>
  <c r="T1228" i="12" s="1"/>
  <c r="N1228" i="12"/>
  <c r="M1229" i="12"/>
  <c r="T1229" i="12" s="1"/>
  <c r="N1229" i="12"/>
  <c r="U1229" i="12" s="1"/>
  <c r="M1230" i="12"/>
  <c r="T1230" i="12" s="1"/>
  <c r="N1230" i="12"/>
  <c r="U1230" i="12" s="1"/>
  <c r="M1231" i="12"/>
  <c r="T1231" i="12" s="1"/>
  <c r="N1231" i="12"/>
  <c r="U1231" i="12" s="1"/>
  <c r="M1232" i="12"/>
  <c r="T1232" i="12" s="1"/>
  <c r="N1232" i="12"/>
  <c r="U1232" i="12" s="1"/>
  <c r="M1233" i="12"/>
  <c r="T1233" i="12" s="1"/>
  <c r="N1233" i="12"/>
  <c r="U1233" i="12" s="1"/>
  <c r="M1234" i="12"/>
  <c r="T1234" i="12" s="1"/>
  <c r="N1234" i="12"/>
  <c r="U1234" i="12" s="1"/>
  <c r="M1235" i="12"/>
  <c r="T1235" i="12" s="1"/>
  <c r="N1235" i="12"/>
  <c r="U1235" i="12" s="1"/>
  <c r="M1236" i="12"/>
  <c r="T1236" i="12" s="1"/>
  <c r="N1236" i="12"/>
  <c r="U1236" i="12" s="1"/>
  <c r="M1237" i="12"/>
  <c r="T1237" i="12" s="1"/>
  <c r="N1237" i="12"/>
  <c r="U1237" i="12" s="1"/>
  <c r="M1238" i="12"/>
  <c r="T1238" i="12" s="1"/>
  <c r="N1238" i="12"/>
  <c r="U1238" i="12" s="1"/>
  <c r="M1239" i="12"/>
  <c r="T1239" i="12" s="1"/>
  <c r="N1239" i="12"/>
  <c r="U1239" i="12" s="1"/>
  <c r="M1240" i="12"/>
  <c r="T1240" i="12" s="1"/>
  <c r="N1240" i="12"/>
  <c r="U1240" i="12" s="1"/>
  <c r="M1241" i="12"/>
  <c r="T1241" i="12" s="1"/>
  <c r="N1241" i="12"/>
  <c r="U1241" i="12" s="1"/>
  <c r="M1242" i="12"/>
  <c r="T1242" i="12" s="1"/>
  <c r="N1242" i="12"/>
  <c r="U1242" i="12" s="1"/>
  <c r="M1243" i="12"/>
  <c r="T1243" i="12" s="1"/>
  <c r="N1243" i="12"/>
  <c r="U1243" i="12" s="1"/>
  <c r="M1244" i="12"/>
  <c r="T1244" i="12" s="1"/>
  <c r="N1244" i="12"/>
  <c r="U1244" i="12" s="1"/>
  <c r="M1245" i="12"/>
  <c r="T1245" i="12" s="1"/>
  <c r="N1245" i="12"/>
  <c r="U1245" i="12" s="1"/>
  <c r="M1246" i="12"/>
  <c r="T1246" i="12" s="1"/>
  <c r="N1246" i="12"/>
  <c r="U1246" i="12" s="1"/>
  <c r="M1247" i="12"/>
  <c r="T1247" i="12" s="1"/>
  <c r="N1247" i="12"/>
  <c r="U1247" i="12" s="1"/>
  <c r="M1248" i="12"/>
  <c r="T1248" i="12" s="1"/>
  <c r="N1248" i="12"/>
  <c r="U1248" i="12" s="1"/>
  <c r="M1249" i="12"/>
  <c r="T1249" i="12" s="1"/>
  <c r="N1249" i="12"/>
  <c r="M1250" i="12"/>
  <c r="T1250" i="12" s="1"/>
  <c r="M1251" i="12"/>
  <c r="T1251" i="12" s="1"/>
  <c r="N1251" i="12"/>
  <c r="U1251" i="12" s="1"/>
  <c r="M1252" i="12"/>
  <c r="T1252" i="12" s="1"/>
  <c r="N1252" i="12"/>
  <c r="U1252" i="12" s="1"/>
  <c r="M1253" i="12"/>
  <c r="T1253" i="12" s="1"/>
  <c r="N1253" i="12"/>
  <c r="U1253" i="12" s="1"/>
  <c r="M1254" i="12"/>
  <c r="T1254" i="12" s="1"/>
  <c r="N1254" i="12"/>
  <c r="U1254" i="12" s="1"/>
  <c r="M1255" i="12"/>
  <c r="T1255" i="12" s="1"/>
  <c r="N1255" i="12"/>
  <c r="U1255" i="12" s="1"/>
  <c r="M1256" i="12"/>
  <c r="N1256" i="12"/>
  <c r="M1257" i="12"/>
  <c r="T1257" i="12" s="1"/>
  <c r="N1257" i="12"/>
  <c r="M1258" i="12"/>
  <c r="T1258" i="12" s="1"/>
  <c r="N1258" i="12"/>
  <c r="U1258" i="12" s="1"/>
  <c r="M1259" i="12"/>
  <c r="T1259" i="12" s="1"/>
  <c r="N1259" i="12"/>
  <c r="U1259" i="12" s="1"/>
  <c r="M1260" i="12"/>
  <c r="T1260" i="12" s="1"/>
  <c r="N1260" i="12"/>
  <c r="M1261" i="12"/>
  <c r="T1261" i="12" s="1"/>
  <c r="M1263" i="12"/>
  <c r="T1263" i="12" s="1"/>
  <c r="N1263" i="12"/>
  <c r="M1264" i="12"/>
  <c r="T1264" i="12" s="1"/>
  <c r="N1264" i="12"/>
  <c r="U1264" i="12" s="1"/>
  <c r="U1263" i="12" s="1"/>
  <c r="M1266" i="12"/>
  <c r="T1266" i="12" s="1"/>
  <c r="N1266" i="12"/>
  <c r="M1267" i="12"/>
  <c r="T1267" i="12" s="1"/>
  <c r="N1267" i="12"/>
  <c r="U1267" i="12" s="1"/>
  <c r="M1268" i="12"/>
  <c r="T1268" i="12" s="1"/>
  <c r="N1268" i="12"/>
  <c r="U1268" i="12" s="1"/>
  <c r="M1269" i="12"/>
  <c r="T1269" i="12" s="1"/>
  <c r="N1269" i="12"/>
  <c r="U1269" i="12" s="1"/>
  <c r="M1270" i="12"/>
  <c r="T1270" i="12" s="1"/>
  <c r="N1270" i="12"/>
  <c r="M1271" i="12"/>
  <c r="T1271" i="12" s="1"/>
  <c r="N1271" i="12"/>
  <c r="U1271" i="12" s="1"/>
  <c r="M1272" i="12"/>
  <c r="T1272" i="12" s="1"/>
  <c r="N1272" i="12"/>
  <c r="U1272" i="12" s="1"/>
  <c r="M1273" i="12"/>
  <c r="T1273" i="12" s="1"/>
  <c r="N1273" i="12"/>
  <c r="U1273" i="12" s="1"/>
  <c r="M1274" i="12"/>
  <c r="T1274" i="12" s="1"/>
  <c r="N1274" i="12"/>
  <c r="U1274" i="12" s="1"/>
  <c r="M1275" i="12"/>
  <c r="T1275" i="12" s="1"/>
  <c r="N1275" i="12"/>
  <c r="M1276" i="12"/>
  <c r="T1276" i="12" s="1"/>
  <c r="N1276" i="12"/>
  <c r="U1276" i="12" s="1"/>
  <c r="M1277" i="12"/>
  <c r="T1277" i="12" s="1"/>
  <c r="N1277" i="12"/>
  <c r="U1277" i="12" s="1"/>
  <c r="M1278" i="12"/>
  <c r="T1278" i="12" s="1"/>
  <c r="N1278" i="12"/>
  <c r="U1278" i="12" s="1"/>
  <c r="M1279" i="12"/>
  <c r="T1279" i="12" s="1"/>
  <c r="N1279" i="12"/>
  <c r="U1279" i="12" s="1"/>
  <c r="M1280" i="12"/>
  <c r="T1280" i="12" s="1"/>
  <c r="N1280" i="12"/>
  <c r="U1280" i="12" s="1"/>
  <c r="M1281" i="12"/>
  <c r="T1281" i="12" s="1"/>
  <c r="N1281" i="12"/>
  <c r="U1281" i="12" s="1"/>
  <c r="M1282" i="12"/>
  <c r="T1282" i="12" s="1"/>
  <c r="N1282" i="12"/>
  <c r="U1282" i="12" s="1"/>
  <c r="M1283" i="12"/>
  <c r="T1283" i="12" s="1"/>
  <c r="N1283" i="12"/>
  <c r="U1283" i="12" s="1"/>
  <c r="M1284" i="12"/>
  <c r="T1284" i="12" s="1"/>
  <c r="M1285" i="12"/>
  <c r="T1285" i="12" s="1"/>
  <c r="N1285" i="12"/>
  <c r="U1285" i="12" s="1"/>
  <c r="M1286" i="12"/>
  <c r="T1286" i="12" s="1"/>
  <c r="N1286" i="12"/>
  <c r="U1286" i="12" s="1"/>
  <c r="M1287" i="12"/>
  <c r="T1287" i="12" s="1"/>
  <c r="N1287" i="12"/>
  <c r="U1287" i="12" s="1"/>
  <c r="M1288" i="12"/>
  <c r="T1288" i="12" s="1"/>
  <c r="N1288" i="12"/>
  <c r="U1288" i="12" s="1"/>
  <c r="M1289" i="12"/>
  <c r="T1289" i="12" s="1"/>
  <c r="N1289" i="12"/>
  <c r="U1289" i="12" s="1"/>
  <c r="M1290" i="12"/>
  <c r="T1290" i="12" s="1"/>
  <c r="N1290" i="12"/>
  <c r="U1290" i="12" s="1"/>
  <c r="M1291" i="12"/>
  <c r="T1291" i="12" s="1"/>
  <c r="N1291" i="12"/>
  <c r="U1291" i="12" s="1"/>
  <c r="M1292" i="12"/>
  <c r="T1292" i="12" s="1"/>
  <c r="N1292" i="12"/>
  <c r="U1292" i="12" s="1"/>
  <c r="M1293" i="12"/>
  <c r="T1293" i="12" s="1"/>
  <c r="N1293" i="12"/>
  <c r="U1293" i="12" s="1"/>
  <c r="M1295" i="12"/>
  <c r="T1295" i="12" s="1"/>
  <c r="N1295" i="12"/>
  <c r="U1295" i="12" s="1"/>
  <c r="M1296" i="12"/>
  <c r="T1296" i="12" s="1"/>
  <c r="M1297" i="12"/>
  <c r="T1297" i="12" s="1"/>
  <c r="N1297" i="12"/>
  <c r="U1297" i="12" s="1"/>
  <c r="M1298" i="12"/>
  <c r="T1298" i="12" s="1"/>
  <c r="N1298" i="12"/>
  <c r="U1298" i="12" s="1"/>
  <c r="M1299" i="12"/>
  <c r="T1299" i="12" s="1"/>
  <c r="N1299" i="12"/>
  <c r="U1299" i="12" s="1"/>
  <c r="M1300" i="12"/>
  <c r="T1300" i="12" s="1"/>
  <c r="N1300" i="12"/>
  <c r="U1300" i="12" s="1"/>
  <c r="M1301" i="12"/>
  <c r="T1301" i="12" s="1"/>
  <c r="N1301" i="12"/>
  <c r="U1301" i="12" s="1"/>
  <c r="M1302" i="12"/>
  <c r="T1302" i="12" s="1"/>
  <c r="N1302" i="12"/>
  <c r="U1302" i="12" s="1"/>
  <c r="M1303" i="12"/>
  <c r="T1303" i="12" s="1"/>
  <c r="N1303" i="12"/>
  <c r="U1303" i="12" s="1"/>
  <c r="M1304" i="12"/>
  <c r="T1304" i="12" s="1"/>
  <c r="N1304" i="12"/>
  <c r="U1304" i="12" s="1"/>
  <c r="M1305" i="12"/>
  <c r="T1305" i="12" s="1"/>
  <c r="N1305" i="12"/>
  <c r="U1305" i="12" s="1"/>
  <c r="M1306" i="12"/>
  <c r="T1306" i="12" s="1"/>
  <c r="N1306" i="12"/>
  <c r="U1306" i="12" s="1"/>
  <c r="M1307" i="12"/>
  <c r="T1307" i="12" s="1"/>
  <c r="N1307" i="12"/>
  <c r="U1307" i="12" s="1"/>
  <c r="M1308" i="12"/>
  <c r="T1308" i="12" s="1"/>
  <c r="N1308" i="12"/>
  <c r="U1308" i="12" s="1"/>
  <c r="M1309" i="12"/>
  <c r="T1309" i="12" s="1"/>
  <c r="N1309" i="12"/>
  <c r="U1309" i="12" s="1"/>
  <c r="M1310" i="12"/>
  <c r="T1310" i="12" s="1"/>
  <c r="M1311" i="12"/>
  <c r="T1311" i="12" s="1"/>
  <c r="N1311" i="12"/>
  <c r="U1311" i="12" s="1"/>
  <c r="M1312" i="12"/>
  <c r="T1312" i="12" s="1"/>
  <c r="N1312" i="12"/>
  <c r="U1312" i="12" s="1"/>
  <c r="M1313" i="12"/>
  <c r="T1313" i="12" s="1"/>
  <c r="N1313" i="12"/>
  <c r="U1313" i="12" s="1"/>
  <c r="M1314" i="12"/>
  <c r="T1314" i="12" s="1"/>
  <c r="N1314" i="12"/>
  <c r="U1314" i="12" s="1"/>
  <c r="M1315" i="12"/>
  <c r="T1315" i="12" s="1"/>
  <c r="M1316" i="12"/>
  <c r="T1316" i="12" s="1"/>
  <c r="N1316" i="12"/>
  <c r="U1316" i="12" s="1"/>
  <c r="M1325" i="12"/>
  <c r="T1325" i="12" s="1"/>
  <c r="N1325" i="12"/>
  <c r="U1325" i="12" s="1"/>
  <c r="M1326" i="12"/>
  <c r="T1326" i="12" s="1"/>
  <c r="N1326" i="12"/>
  <c r="U1326" i="12" s="1"/>
  <c r="M1327" i="12"/>
  <c r="N1327" i="12"/>
  <c r="M1328" i="12"/>
  <c r="N1328" i="12"/>
  <c r="M1329" i="12"/>
  <c r="N1329" i="12"/>
  <c r="M1330" i="12"/>
  <c r="N1330" i="12"/>
  <c r="M1331" i="12"/>
  <c r="N1331" i="12"/>
  <c r="M1332" i="12"/>
  <c r="N1332" i="12"/>
  <c r="M1333" i="12"/>
  <c r="T1333" i="12" s="1"/>
  <c r="N1333" i="12"/>
  <c r="M1334" i="12"/>
  <c r="T1334" i="12" s="1"/>
  <c r="N1334" i="12"/>
  <c r="U1334" i="12" s="1"/>
  <c r="U1333" i="12" s="1"/>
  <c r="M1335" i="12"/>
  <c r="T1335" i="12" s="1"/>
  <c r="N1335" i="12"/>
  <c r="M1336" i="12"/>
  <c r="T1336" i="12" s="1"/>
  <c r="N1336" i="12"/>
  <c r="U1336" i="12" s="1"/>
  <c r="M1337" i="12"/>
  <c r="T1337" i="12" s="1"/>
  <c r="N1337" i="12"/>
  <c r="U1337" i="12" s="1"/>
  <c r="M1338" i="12"/>
  <c r="T1338" i="12" s="1"/>
  <c r="N1338" i="12"/>
  <c r="U1338" i="12" s="1"/>
  <c r="M1339" i="12"/>
  <c r="T1339" i="12" s="1"/>
  <c r="N1339" i="12"/>
  <c r="U1339" i="12" s="1"/>
  <c r="M1340" i="12"/>
  <c r="T1340" i="12" s="1"/>
  <c r="M1341" i="12"/>
  <c r="T1341" i="12" s="1"/>
  <c r="N1341" i="12"/>
  <c r="U1341" i="12" s="1"/>
  <c r="M1342" i="12"/>
  <c r="T1342" i="12" s="1"/>
  <c r="N1342" i="12"/>
  <c r="U1342" i="12" s="1"/>
  <c r="M1343" i="12"/>
  <c r="T1343" i="12" s="1"/>
  <c r="N1343" i="12"/>
  <c r="U1343" i="12" s="1"/>
  <c r="M1344" i="12"/>
  <c r="T1344" i="12" s="1"/>
  <c r="N1344" i="12"/>
  <c r="U1344" i="12" s="1"/>
  <c r="M1345" i="12"/>
  <c r="T1345" i="12" s="1"/>
  <c r="N1345" i="12"/>
  <c r="U1345" i="12" s="1"/>
  <c r="M1346" i="12"/>
  <c r="T1346" i="12" s="1"/>
  <c r="N1346" i="12"/>
  <c r="U1346" i="12" s="1"/>
  <c r="M1347" i="12"/>
  <c r="T1347" i="12" s="1"/>
  <c r="N1347" i="12"/>
  <c r="M1348" i="12"/>
  <c r="T1348" i="12" s="1"/>
  <c r="M1349" i="12"/>
  <c r="T1349" i="12" s="1"/>
  <c r="M1350" i="12"/>
  <c r="T1350" i="12" s="1"/>
  <c r="N1350" i="12"/>
  <c r="M1351" i="12"/>
  <c r="T1351" i="12" s="1"/>
  <c r="M1352" i="12"/>
  <c r="T1352" i="12" s="1"/>
  <c r="N1352" i="12"/>
  <c r="U1352" i="12" s="1"/>
  <c r="M1353" i="12"/>
  <c r="T1353" i="12" s="1"/>
  <c r="N1353" i="12"/>
  <c r="U1353" i="12" s="1"/>
  <c r="M1354" i="12"/>
  <c r="T1354" i="12" s="1"/>
  <c r="N1354" i="12"/>
  <c r="U1354" i="12" s="1"/>
  <c r="M1355" i="12"/>
  <c r="T1355" i="12" s="1"/>
  <c r="M1356" i="12"/>
  <c r="T1356" i="12" s="1"/>
  <c r="N1356" i="12"/>
  <c r="U1356" i="12" s="1"/>
  <c r="M1357" i="12"/>
  <c r="T1357" i="12" s="1"/>
  <c r="N1357" i="12"/>
  <c r="U1357" i="12" s="1"/>
  <c r="M1358" i="12"/>
  <c r="T1358" i="12" s="1"/>
  <c r="M1359" i="12"/>
  <c r="T1359" i="12" s="1"/>
  <c r="N1359" i="12"/>
  <c r="U1359" i="12" s="1"/>
  <c r="M1360" i="12"/>
  <c r="T1360" i="12" s="1"/>
  <c r="M1361" i="12"/>
  <c r="T1361" i="12" s="1"/>
  <c r="N1361" i="12"/>
  <c r="U1361" i="12" s="1"/>
  <c r="M1362" i="12"/>
  <c r="T1362" i="12" s="1"/>
  <c r="N1362" i="12"/>
  <c r="U1362" i="12" s="1"/>
  <c r="M1363" i="12"/>
  <c r="T1363" i="12" s="1"/>
  <c r="N1363" i="12"/>
  <c r="U1363" i="12" s="1"/>
  <c r="M1364" i="12"/>
  <c r="T1364" i="12" s="1"/>
  <c r="N1364" i="12"/>
  <c r="U1364" i="12" s="1"/>
  <c r="M1365" i="12"/>
  <c r="T1365" i="12" s="1"/>
  <c r="N1365" i="12"/>
  <c r="U1365" i="12" s="1"/>
  <c r="M1366" i="12"/>
  <c r="T1366" i="12" s="1"/>
  <c r="N1366" i="12"/>
  <c r="U1366" i="12" s="1"/>
  <c r="M1367" i="12"/>
  <c r="T1367" i="12" s="1"/>
  <c r="N1367" i="12"/>
  <c r="U1367" i="12" s="1"/>
  <c r="M1368" i="12"/>
  <c r="T1368" i="12" s="1"/>
  <c r="N1368" i="12"/>
  <c r="U1368" i="12" s="1"/>
  <c r="M1369" i="12"/>
  <c r="T1369" i="12" s="1"/>
  <c r="N1369" i="12"/>
  <c r="U1369" i="12" s="1"/>
  <c r="M1370" i="12"/>
  <c r="T1370" i="12" s="1"/>
  <c r="N1370" i="12"/>
  <c r="U1370" i="12" s="1"/>
  <c r="M1371" i="12"/>
  <c r="T1371" i="12" s="1"/>
  <c r="N1371" i="12"/>
  <c r="U1371" i="12" s="1"/>
  <c r="M1372" i="12"/>
  <c r="T1372" i="12" s="1"/>
  <c r="N1372" i="12"/>
  <c r="U1372" i="12" s="1"/>
  <c r="M1373" i="12"/>
  <c r="T1373" i="12" s="1"/>
  <c r="N1373" i="12"/>
  <c r="M1374" i="12"/>
  <c r="T1374" i="12" s="1"/>
  <c r="N1374" i="12"/>
  <c r="U1374" i="12" s="1"/>
  <c r="M1375" i="12"/>
  <c r="T1375" i="12" s="1"/>
  <c r="N1375" i="12"/>
  <c r="U1375" i="12" s="1"/>
  <c r="M1376" i="12"/>
  <c r="T1376" i="12" s="1"/>
  <c r="N1376" i="12"/>
  <c r="M1377" i="12"/>
  <c r="T1377" i="12" s="1"/>
  <c r="N1377" i="12"/>
  <c r="U1377" i="12" s="1"/>
  <c r="M1378" i="12"/>
  <c r="T1378" i="12" s="1"/>
  <c r="N1378" i="12"/>
  <c r="U1378" i="12" s="1"/>
  <c r="M1379" i="12"/>
  <c r="T1379" i="12" s="1"/>
  <c r="N1379" i="12"/>
  <c r="M1380" i="12"/>
  <c r="T1380" i="12" s="1"/>
  <c r="N1380" i="12"/>
  <c r="U1380" i="12" s="1"/>
  <c r="U1379" i="12" s="1"/>
  <c r="M1381" i="12"/>
  <c r="T1381" i="12" s="1"/>
  <c r="N1381" i="12"/>
  <c r="M1382" i="12"/>
  <c r="T1382" i="12" s="1"/>
  <c r="N1382" i="12"/>
  <c r="U1382" i="12" s="1"/>
  <c r="U1381" i="12" s="1"/>
  <c r="M1383" i="12"/>
  <c r="T1383" i="12" s="1"/>
  <c r="N1383" i="12"/>
  <c r="M1384" i="12"/>
  <c r="T1384" i="12" s="1"/>
  <c r="N1384" i="12"/>
  <c r="U1384" i="12" s="1"/>
  <c r="M1385" i="12"/>
  <c r="T1385" i="12" s="1"/>
  <c r="N1385" i="12"/>
  <c r="U1385" i="12" s="1"/>
  <c r="M1386" i="12"/>
  <c r="T1386" i="12" s="1"/>
  <c r="N1386" i="12"/>
  <c r="U1386" i="12" s="1"/>
  <c r="M1387" i="12"/>
  <c r="T1387" i="12" s="1"/>
  <c r="N1387" i="12"/>
  <c r="U1387" i="12" s="1"/>
  <c r="M1388" i="12"/>
  <c r="T1388" i="12" s="1"/>
  <c r="N1388" i="12"/>
  <c r="U1388" i="12" s="1"/>
  <c r="M1389" i="12"/>
  <c r="T1389" i="12" s="1"/>
  <c r="N1389" i="12"/>
  <c r="U1389" i="12" s="1"/>
  <c r="M1390" i="12"/>
  <c r="T1390" i="12" s="1"/>
  <c r="N1390" i="12"/>
  <c r="U1390" i="12" s="1"/>
  <c r="M1391" i="12"/>
  <c r="T1391" i="12" s="1"/>
  <c r="M1392" i="12"/>
  <c r="T1392" i="12" s="1"/>
  <c r="N1392" i="12"/>
  <c r="U1392" i="12" s="1"/>
  <c r="M1393" i="12"/>
  <c r="T1393" i="12" s="1"/>
  <c r="N1393" i="12"/>
  <c r="U1393" i="12" s="1"/>
  <c r="M1394" i="12"/>
  <c r="T1394" i="12" s="1"/>
  <c r="N1394" i="12"/>
  <c r="U1394" i="12" s="1"/>
  <c r="M1395" i="12"/>
  <c r="T1395" i="12" s="1"/>
  <c r="N1395" i="12"/>
  <c r="U1395" i="12" s="1"/>
  <c r="M1396" i="12"/>
  <c r="T1396" i="12" s="1"/>
  <c r="N1396" i="12"/>
  <c r="M1397" i="12"/>
  <c r="T1397" i="12" s="1"/>
  <c r="N1397" i="12"/>
  <c r="U1397" i="12" s="1"/>
  <c r="M1398" i="12"/>
  <c r="T1398" i="12" s="1"/>
  <c r="N1398" i="12"/>
  <c r="M1399" i="12"/>
  <c r="T1399" i="12" s="1"/>
  <c r="N1399" i="12"/>
  <c r="U1399" i="12" s="1"/>
  <c r="U1398" i="12" s="1"/>
  <c r="M1400" i="12"/>
  <c r="T1400" i="12" s="1"/>
  <c r="N1400" i="12"/>
  <c r="M1401" i="12"/>
  <c r="T1401" i="12" s="1"/>
  <c r="N1401" i="12"/>
  <c r="U1401" i="12" s="1"/>
  <c r="U1400" i="12" s="1"/>
  <c r="M1402" i="12"/>
  <c r="T1402" i="12" s="1"/>
  <c r="N1402" i="12"/>
  <c r="M1403" i="12"/>
  <c r="T1403" i="12" s="1"/>
  <c r="N1403" i="12"/>
  <c r="U1403" i="12" s="1"/>
  <c r="M1404" i="12"/>
  <c r="T1404" i="12" s="1"/>
  <c r="N1404" i="12"/>
  <c r="U1404" i="12" s="1"/>
  <c r="M1405" i="12"/>
  <c r="T1405" i="12" s="1"/>
  <c r="N1405" i="12"/>
  <c r="U1405" i="12" s="1"/>
  <c r="M1406" i="12"/>
  <c r="T1406" i="12" s="1"/>
  <c r="N1406" i="12"/>
  <c r="U1406" i="12" s="1"/>
  <c r="M1407" i="12"/>
  <c r="T1407" i="12" s="1"/>
  <c r="N1407" i="12"/>
  <c r="U1407" i="12" s="1"/>
  <c r="M1408" i="12"/>
  <c r="T1408" i="12" s="1"/>
  <c r="N1408" i="12"/>
  <c r="U1408" i="12" s="1"/>
  <c r="M1409" i="12"/>
  <c r="T1409" i="12" s="1"/>
  <c r="N1409" i="12"/>
  <c r="U1409" i="12" s="1"/>
  <c r="M1410" i="12"/>
  <c r="T1410" i="12" s="1"/>
  <c r="N1410" i="12"/>
  <c r="U1410" i="12" s="1"/>
  <c r="M1411" i="12"/>
  <c r="T1411" i="12" s="1"/>
  <c r="N1411" i="12"/>
  <c r="U1411" i="12" s="1"/>
  <c r="M1412" i="12"/>
  <c r="T1412" i="12" s="1"/>
  <c r="N1412" i="12"/>
  <c r="U1412" i="12" s="1"/>
  <c r="M1413" i="12"/>
  <c r="T1413" i="12" s="1"/>
  <c r="N1413" i="12"/>
  <c r="U1413" i="12" s="1"/>
  <c r="M1414" i="12"/>
  <c r="T1414" i="12" s="1"/>
  <c r="N1414" i="12"/>
  <c r="U1414" i="12" s="1"/>
  <c r="M1415" i="12"/>
  <c r="T1415" i="12" s="1"/>
  <c r="N1415" i="12"/>
  <c r="U1415" i="12" s="1"/>
  <c r="M1416" i="12"/>
  <c r="T1416" i="12" s="1"/>
  <c r="N1416" i="12"/>
  <c r="U1416" i="12" s="1"/>
  <c r="M1417" i="12"/>
  <c r="T1417" i="12" s="1"/>
  <c r="N1417" i="12"/>
  <c r="U1417" i="12" s="1"/>
  <c r="M1418" i="12"/>
  <c r="T1418" i="12" s="1"/>
  <c r="N1418" i="12"/>
  <c r="U1418" i="12" s="1"/>
  <c r="M1419" i="12"/>
  <c r="T1419" i="12" s="1"/>
  <c r="N1419" i="12"/>
  <c r="U1419" i="12" s="1"/>
  <c r="M1420" i="12"/>
  <c r="T1420" i="12" s="1"/>
  <c r="N1420" i="12"/>
  <c r="U1420" i="12" s="1"/>
  <c r="M1421" i="12"/>
  <c r="T1421" i="12" s="1"/>
  <c r="N1421" i="12"/>
  <c r="U1421" i="12" s="1"/>
  <c r="M1422" i="12"/>
  <c r="T1422" i="12" s="1"/>
  <c r="N1422" i="12"/>
  <c r="U1422" i="12" s="1"/>
  <c r="M1423" i="12"/>
  <c r="T1423" i="12" s="1"/>
  <c r="N1423" i="12"/>
  <c r="U1423" i="12" s="1"/>
  <c r="M1424" i="12"/>
  <c r="T1424" i="12" s="1"/>
  <c r="N1424" i="12"/>
  <c r="U1424" i="12" s="1"/>
  <c r="M1425" i="12"/>
  <c r="T1425" i="12" s="1"/>
  <c r="N1425" i="12"/>
  <c r="U1425" i="12" s="1"/>
  <c r="M1426" i="12"/>
  <c r="T1426" i="12" s="1"/>
  <c r="N1426" i="12"/>
  <c r="U1426" i="12" s="1"/>
  <c r="M1427" i="12"/>
  <c r="T1427" i="12" s="1"/>
  <c r="N1427" i="12"/>
  <c r="U1427" i="12" s="1"/>
  <c r="M1428" i="12"/>
  <c r="T1428" i="12" s="1"/>
  <c r="N1428" i="12"/>
  <c r="U1428" i="12" s="1"/>
  <c r="M1429" i="12"/>
  <c r="T1429" i="12" s="1"/>
  <c r="N1429" i="12"/>
  <c r="U1429" i="12" s="1"/>
  <c r="M1430" i="12"/>
  <c r="T1430" i="12" s="1"/>
  <c r="N1430" i="12"/>
  <c r="U1430" i="12" s="1"/>
  <c r="M1431" i="12"/>
  <c r="T1431" i="12" s="1"/>
  <c r="N1431" i="12"/>
  <c r="U1431" i="12" s="1"/>
  <c r="M1432" i="12"/>
  <c r="T1432" i="12" s="1"/>
  <c r="N1432" i="12"/>
  <c r="U1432" i="12" s="1"/>
  <c r="M1433" i="12"/>
  <c r="T1433" i="12" s="1"/>
  <c r="N1433" i="12"/>
  <c r="U1433" i="12" s="1"/>
  <c r="M1434" i="12"/>
  <c r="T1434" i="12" s="1"/>
  <c r="N1434" i="12"/>
  <c r="U1434" i="12" s="1"/>
  <c r="M1435" i="12"/>
  <c r="T1435" i="12" s="1"/>
  <c r="N1435" i="12"/>
  <c r="U1435" i="12" s="1"/>
  <c r="M1436" i="12"/>
  <c r="T1436" i="12" s="1"/>
  <c r="N1436" i="12"/>
  <c r="U1436" i="12" s="1"/>
  <c r="M1437" i="12"/>
  <c r="T1437" i="12" s="1"/>
  <c r="N1437" i="12"/>
  <c r="U1437" i="12" s="1"/>
  <c r="M1438" i="12"/>
  <c r="T1438" i="12" s="1"/>
  <c r="N1438" i="12"/>
  <c r="U1438" i="12" s="1"/>
  <c r="M1439" i="12"/>
  <c r="T1439" i="12" s="1"/>
  <c r="M1440" i="12"/>
  <c r="T1440" i="12" s="1"/>
  <c r="N1440" i="12"/>
  <c r="U1440" i="12" s="1"/>
  <c r="M1441" i="12"/>
  <c r="T1441" i="12" s="1"/>
  <c r="N1441" i="12"/>
  <c r="U1441" i="12" s="1"/>
  <c r="M1442" i="12"/>
  <c r="T1442" i="12" s="1"/>
  <c r="N1442" i="12"/>
  <c r="U1442" i="12" s="1"/>
  <c r="M1443" i="12"/>
  <c r="T1443" i="12" s="1"/>
  <c r="N1443" i="12"/>
  <c r="U1443" i="12" s="1"/>
  <c r="M1444" i="12"/>
  <c r="T1444" i="12" s="1"/>
  <c r="N1444" i="12"/>
  <c r="U1444" i="12" s="1"/>
  <c r="M1445" i="12"/>
  <c r="T1445" i="12" s="1"/>
  <c r="N1445" i="12"/>
  <c r="U1445" i="12" s="1"/>
  <c r="M1446" i="12"/>
  <c r="T1446" i="12" s="1"/>
  <c r="N1446" i="12"/>
  <c r="U1446" i="12" s="1"/>
  <c r="M1447" i="12"/>
  <c r="T1447" i="12" s="1"/>
  <c r="N1447" i="12"/>
  <c r="U1447" i="12" s="1"/>
  <c r="M1448" i="12"/>
  <c r="T1448" i="12" s="1"/>
  <c r="N1448" i="12"/>
  <c r="U1448" i="12" s="1"/>
  <c r="M1449" i="12"/>
  <c r="T1449" i="12" s="1"/>
  <c r="N1449" i="12"/>
  <c r="U1449" i="12" s="1"/>
  <c r="M1450" i="12"/>
  <c r="T1450" i="12" s="1"/>
  <c r="N1450" i="12"/>
  <c r="U1450" i="12" s="1"/>
  <c r="M1451" i="12"/>
  <c r="T1451" i="12" s="1"/>
  <c r="N1451" i="12"/>
  <c r="U1451" i="12" s="1"/>
  <c r="M1452" i="12"/>
  <c r="T1452" i="12" s="1"/>
  <c r="N1452" i="12"/>
  <c r="U1452" i="12" s="1"/>
  <c r="M1453" i="12"/>
  <c r="T1453" i="12" s="1"/>
  <c r="N1453" i="12"/>
  <c r="U1453" i="12" s="1"/>
  <c r="M1454" i="12"/>
  <c r="T1454" i="12" s="1"/>
  <c r="N1454" i="12"/>
  <c r="U1454" i="12" s="1"/>
  <c r="M1455" i="12"/>
  <c r="T1455" i="12" s="1"/>
  <c r="N1455" i="12"/>
  <c r="U1455" i="12" s="1"/>
  <c r="M1456" i="12"/>
  <c r="T1456" i="12" s="1"/>
  <c r="N1456" i="12"/>
  <c r="U1456" i="12" s="1"/>
  <c r="M1457" i="12"/>
  <c r="T1457" i="12" s="1"/>
  <c r="N1457" i="12"/>
  <c r="U1457" i="12" s="1"/>
  <c r="M1458" i="12"/>
  <c r="T1458" i="12" s="1"/>
  <c r="N1458" i="12"/>
  <c r="U1458" i="12" s="1"/>
  <c r="M1459" i="12"/>
  <c r="T1459" i="12" s="1"/>
  <c r="N1459" i="12"/>
  <c r="U1459" i="12" s="1"/>
  <c r="M1460" i="12"/>
  <c r="T1460" i="12" s="1"/>
  <c r="N1460" i="12"/>
  <c r="U1460" i="12" s="1"/>
  <c r="M1461" i="12"/>
  <c r="T1461" i="12" s="1"/>
  <c r="N1461" i="12"/>
  <c r="U1461" i="12" s="1"/>
  <c r="M1462" i="12"/>
  <c r="T1462" i="12" s="1"/>
  <c r="N1462" i="12"/>
  <c r="U1462" i="12" s="1"/>
  <c r="M1463" i="12"/>
  <c r="T1463" i="12" s="1"/>
  <c r="N1463" i="12"/>
  <c r="U1463" i="12" s="1"/>
  <c r="M1464" i="12"/>
  <c r="T1464" i="12" s="1"/>
  <c r="N1464" i="12"/>
  <c r="U1464" i="12" s="1"/>
  <c r="M1465" i="12"/>
  <c r="T1465" i="12" s="1"/>
  <c r="M1466" i="12"/>
  <c r="T1466" i="12" s="1"/>
  <c r="N1466" i="12"/>
  <c r="U1466" i="12" s="1"/>
  <c r="M1467" i="12"/>
  <c r="T1467" i="12" s="1"/>
  <c r="N1467" i="12"/>
  <c r="U1467" i="12" s="1"/>
  <c r="M1468" i="12"/>
  <c r="T1468" i="12" s="1"/>
  <c r="N1468" i="12"/>
  <c r="U1468" i="12" s="1"/>
  <c r="M1469" i="12"/>
  <c r="T1469" i="12" s="1"/>
  <c r="N1469" i="12"/>
  <c r="U1469" i="12" s="1"/>
  <c r="M1470" i="12"/>
  <c r="T1470" i="12" s="1"/>
  <c r="N1470" i="12"/>
  <c r="U1470" i="12" s="1"/>
  <c r="M1471" i="12"/>
  <c r="T1471" i="12" s="1"/>
  <c r="N1471" i="12"/>
  <c r="U1471" i="12" s="1"/>
  <c r="M1472" i="12"/>
  <c r="T1472" i="12" s="1"/>
  <c r="N1472" i="12"/>
  <c r="U1472" i="12" s="1"/>
  <c r="M1473" i="12"/>
  <c r="T1473" i="12" s="1"/>
  <c r="N1473" i="12"/>
  <c r="U1473" i="12" s="1"/>
  <c r="M1474" i="12"/>
  <c r="T1474" i="12" s="1"/>
  <c r="N1474" i="12"/>
  <c r="U1474" i="12" s="1"/>
  <c r="M1475" i="12"/>
  <c r="T1475" i="12" s="1"/>
  <c r="M1476" i="12"/>
  <c r="T1476" i="12" s="1"/>
  <c r="N1476" i="12"/>
  <c r="U1476" i="12" s="1"/>
  <c r="M1477" i="12"/>
  <c r="T1477" i="12" s="1"/>
  <c r="N1477" i="12"/>
  <c r="U1477" i="12" s="1"/>
  <c r="M1478" i="12"/>
  <c r="T1478" i="12" s="1"/>
  <c r="N1478" i="12"/>
  <c r="U1478" i="12" s="1"/>
  <c r="M1479" i="12"/>
  <c r="T1479" i="12" s="1"/>
  <c r="N1479" i="12"/>
  <c r="U1479" i="12" s="1"/>
  <c r="M1480" i="12"/>
  <c r="T1480" i="12" s="1"/>
  <c r="N1480" i="12"/>
  <c r="U1480" i="12" s="1"/>
  <c r="M1481" i="12"/>
  <c r="T1481" i="12" s="1"/>
  <c r="N1481" i="12"/>
  <c r="U1481" i="12" s="1"/>
  <c r="M1482" i="12"/>
  <c r="T1482" i="12" s="1"/>
  <c r="N1482" i="12"/>
  <c r="U1482" i="12" s="1"/>
  <c r="M1483" i="12"/>
  <c r="T1483" i="12" s="1"/>
  <c r="N1483" i="12"/>
  <c r="U1483" i="12" s="1"/>
  <c r="M1484" i="12"/>
  <c r="T1484" i="12" s="1"/>
  <c r="N1484" i="12"/>
  <c r="U1484" i="12" s="1"/>
  <c r="M1485" i="12"/>
  <c r="T1485" i="12" s="1"/>
  <c r="N1485" i="12"/>
  <c r="U1485" i="12" s="1"/>
  <c r="M1486" i="12"/>
  <c r="T1486" i="12" s="1"/>
  <c r="N1486" i="12"/>
  <c r="U1486" i="12" s="1"/>
  <c r="M1487" i="12"/>
  <c r="T1487" i="12" s="1"/>
  <c r="N1487" i="12"/>
  <c r="U1487" i="12" s="1"/>
  <c r="M1488" i="12"/>
  <c r="T1488" i="12" s="1"/>
  <c r="N1488" i="12"/>
  <c r="U1488" i="12" s="1"/>
  <c r="M1489" i="12"/>
  <c r="T1489" i="12" s="1"/>
  <c r="M1490" i="12"/>
  <c r="N1490" i="12"/>
  <c r="M1491" i="12"/>
  <c r="N1491" i="12"/>
  <c r="M1492" i="12"/>
  <c r="N1492" i="12"/>
  <c r="M1493" i="12"/>
  <c r="N1493" i="12"/>
  <c r="M1494" i="12"/>
  <c r="N1494" i="12"/>
  <c r="M1495" i="12"/>
  <c r="N1495" i="12"/>
  <c r="M1496" i="12"/>
  <c r="N1496" i="12"/>
  <c r="M1497" i="12"/>
  <c r="T1497" i="12" s="1"/>
  <c r="N1497" i="12"/>
  <c r="M1498" i="12"/>
  <c r="T1498" i="12" s="1"/>
  <c r="N1498" i="12"/>
  <c r="U1498" i="12" s="1"/>
  <c r="M1499" i="12"/>
  <c r="T1499" i="12" s="1"/>
  <c r="N1499" i="12"/>
  <c r="U1499" i="12" s="1"/>
  <c r="M1500" i="12"/>
  <c r="T1500" i="12" s="1"/>
  <c r="N1500" i="12"/>
  <c r="U1500" i="12" s="1"/>
  <c r="M1501" i="12"/>
  <c r="T1501" i="12" s="1"/>
  <c r="N1501" i="12"/>
  <c r="U1501" i="12" s="1"/>
  <c r="M1502" i="12"/>
  <c r="T1502" i="12" s="1"/>
  <c r="N1502" i="12"/>
  <c r="U1502" i="12" s="1"/>
  <c r="M1503" i="12"/>
  <c r="T1503" i="12" s="1"/>
  <c r="N1503" i="12"/>
  <c r="U1503" i="12" s="1"/>
  <c r="M1504" i="12"/>
  <c r="T1504" i="12" s="1"/>
  <c r="N1504" i="12"/>
  <c r="U1504" i="12" s="1"/>
  <c r="M1505" i="12"/>
  <c r="T1505" i="12" s="1"/>
  <c r="N1505" i="12"/>
  <c r="U1505" i="12" s="1"/>
  <c r="M1506" i="12"/>
  <c r="T1506" i="12" s="1"/>
  <c r="N1506" i="12"/>
  <c r="U1506" i="12" s="1"/>
  <c r="M1507" i="12"/>
  <c r="T1507" i="12" s="1"/>
  <c r="N1507" i="12"/>
  <c r="U1507" i="12" s="1"/>
  <c r="M1508" i="12"/>
  <c r="T1508" i="12" s="1"/>
  <c r="N1508" i="12"/>
  <c r="U1508" i="12" s="1"/>
  <c r="M1509" i="12"/>
  <c r="T1509" i="12" s="1"/>
  <c r="N1509" i="12"/>
  <c r="U1509" i="12" s="1"/>
  <c r="M1510" i="12"/>
  <c r="T1510" i="12" s="1"/>
  <c r="N1510" i="12"/>
  <c r="U1510" i="12" s="1"/>
  <c r="M1511" i="12"/>
  <c r="T1511" i="12" s="1"/>
  <c r="N1511" i="12"/>
  <c r="U1511" i="12" s="1"/>
  <c r="M1512" i="12"/>
  <c r="T1512" i="12" s="1"/>
  <c r="M1513" i="12"/>
  <c r="T1513" i="12" s="1"/>
  <c r="N1513" i="12"/>
  <c r="U1513" i="12" s="1"/>
  <c r="M1514" i="12"/>
  <c r="T1514" i="12" s="1"/>
  <c r="N1514" i="12"/>
  <c r="U1514" i="12" s="1"/>
  <c r="M1515" i="12"/>
  <c r="T1515" i="12" s="1"/>
  <c r="N1515" i="12"/>
  <c r="U1515" i="12" s="1"/>
  <c r="M1516" i="12"/>
  <c r="T1516" i="12" s="1"/>
  <c r="N1516" i="12"/>
  <c r="U1516" i="12" s="1"/>
  <c r="M1517" i="12"/>
  <c r="T1517" i="12" s="1"/>
  <c r="N1517" i="12"/>
  <c r="U1517" i="12" s="1"/>
  <c r="M1518" i="12"/>
  <c r="T1518" i="12" s="1"/>
  <c r="N1518" i="12"/>
  <c r="U1518" i="12" s="1"/>
  <c r="M1519" i="12"/>
  <c r="T1519" i="12" s="1"/>
  <c r="N1519" i="12"/>
  <c r="U1519" i="12" s="1"/>
  <c r="M1520" i="12"/>
  <c r="T1520" i="12" s="1"/>
  <c r="N1520" i="12"/>
  <c r="U1520" i="12" s="1"/>
  <c r="M1521" i="12"/>
  <c r="T1521" i="12" s="1"/>
  <c r="N1521" i="12"/>
  <c r="U1521" i="12" s="1"/>
  <c r="M1522" i="12"/>
  <c r="T1522" i="12" s="1"/>
  <c r="N1522" i="12"/>
  <c r="U1522" i="12" s="1"/>
  <c r="M1523" i="12"/>
  <c r="T1523" i="12" s="1"/>
  <c r="N1523" i="12"/>
  <c r="U1523" i="12" s="1"/>
  <c r="M1524" i="12"/>
  <c r="T1524" i="12" s="1"/>
  <c r="N1524" i="12"/>
  <c r="U1524" i="12" s="1"/>
  <c r="M1525" i="12"/>
  <c r="T1525" i="12" s="1"/>
  <c r="N1525" i="12"/>
  <c r="U1525" i="12" s="1"/>
  <c r="M1526" i="12"/>
  <c r="T1526" i="12" s="1"/>
  <c r="N1526" i="12"/>
  <c r="U1526" i="12" s="1"/>
  <c r="M1527" i="12"/>
  <c r="T1527" i="12" s="1"/>
  <c r="N1527" i="12"/>
  <c r="U1527" i="12" s="1"/>
  <c r="M1528" i="12"/>
  <c r="T1528" i="12" s="1"/>
  <c r="N1528" i="12"/>
  <c r="M1529" i="12"/>
  <c r="T1529" i="12" s="1"/>
  <c r="N1529" i="12"/>
  <c r="U1529" i="12" s="1"/>
  <c r="M1530" i="12"/>
  <c r="T1530" i="12" s="1"/>
  <c r="N1530" i="12"/>
  <c r="U1530" i="12" s="1"/>
  <c r="M1531" i="12"/>
  <c r="T1531" i="12" s="1"/>
  <c r="N1531" i="12"/>
  <c r="M1532" i="12"/>
  <c r="T1532" i="12" s="1"/>
  <c r="N1532" i="12"/>
  <c r="U1532" i="12" s="1"/>
  <c r="M1533" i="12"/>
  <c r="T1533" i="12" s="1"/>
  <c r="N1533" i="12"/>
  <c r="U1533" i="12" s="1"/>
  <c r="M1534" i="12"/>
  <c r="T1534" i="12" s="1"/>
  <c r="N1534" i="12"/>
  <c r="U1534" i="12" s="1"/>
  <c r="M1535" i="12"/>
  <c r="T1535" i="12" s="1"/>
  <c r="M1536" i="12"/>
  <c r="T1536" i="12" s="1"/>
  <c r="N1536" i="12"/>
  <c r="M1537" i="12"/>
  <c r="T1537" i="12" s="1"/>
  <c r="N1537" i="12"/>
  <c r="M1538" i="12"/>
  <c r="T1538" i="12" s="1"/>
  <c r="N1538" i="12"/>
  <c r="U1538" i="12" s="1"/>
  <c r="M1539" i="12"/>
  <c r="T1539" i="12" s="1"/>
  <c r="N1539" i="12"/>
  <c r="U1539" i="12" s="1"/>
  <c r="M1540" i="12"/>
  <c r="T1540" i="12" s="1"/>
  <c r="N1540" i="12"/>
  <c r="U1540" i="12" s="1"/>
  <c r="M1541" i="12"/>
  <c r="T1541" i="12" s="1"/>
  <c r="N1541" i="12"/>
  <c r="M1542" i="12"/>
  <c r="T1542" i="12" s="1"/>
  <c r="N1542" i="12"/>
  <c r="U1542" i="12" s="1"/>
  <c r="M1543" i="12"/>
  <c r="T1543" i="12" s="1"/>
  <c r="N1543" i="12"/>
  <c r="U1543" i="12" s="1"/>
  <c r="M1544" i="12"/>
  <c r="T1544" i="12" s="1"/>
  <c r="N1544" i="12"/>
  <c r="M1545" i="12"/>
  <c r="T1545" i="12" s="1"/>
  <c r="N1545" i="12"/>
  <c r="U1545" i="12" s="1"/>
  <c r="U1544" i="12" s="1"/>
  <c r="M1546" i="12"/>
  <c r="T1546" i="12" s="1"/>
  <c r="N1546" i="12"/>
  <c r="M1547" i="12"/>
  <c r="T1547" i="12" s="1"/>
  <c r="N1547" i="12"/>
  <c r="U1547" i="12" s="1"/>
  <c r="U1546" i="12" s="1"/>
  <c r="M1548" i="12"/>
  <c r="T1548" i="12" s="1"/>
  <c r="N1548" i="12"/>
  <c r="M1549" i="12"/>
  <c r="T1549" i="12" s="1"/>
  <c r="N1549" i="12"/>
  <c r="U1549" i="12" s="1"/>
  <c r="U1548" i="12" s="1"/>
  <c r="N3" i="12"/>
  <c r="U3" i="12" s="1"/>
  <c r="M3" i="12"/>
  <c r="K1358" i="12"/>
  <c r="N1358" i="12" s="1"/>
  <c r="U1358" i="12" s="1"/>
  <c r="K1133" i="12"/>
  <c r="N1133" i="12" s="1"/>
  <c r="U1133" i="12" s="1"/>
  <c r="K1055" i="12"/>
  <c r="N1055" i="12" s="1"/>
  <c r="K1134" i="12"/>
  <c r="N1134" i="12" s="1"/>
  <c r="U1134" i="12" s="1"/>
  <c r="K477" i="12"/>
  <c r="N477" i="12" s="1"/>
  <c r="U477" i="12" s="1"/>
  <c r="K1360" i="12"/>
  <c r="N1360" i="12" s="1"/>
  <c r="K1355" i="12"/>
  <c r="N1355" i="12" s="1"/>
  <c r="U1355" i="12" s="1"/>
  <c r="N1310" i="12"/>
  <c r="U1310" i="12" s="1"/>
  <c r="K1082" i="12"/>
  <c r="N1082" i="12" s="1"/>
  <c r="U1082" i="12" s="1"/>
  <c r="K475" i="12"/>
  <c r="H1535" i="12"/>
  <c r="K1535" i="12" s="1"/>
  <c r="N1535" i="12" s="1"/>
  <c r="U1535" i="12" s="1"/>
  <c r="H1512" i="12"/>
  <c r="K1512" i="12" s="1"/>
  <c r="N1512" i="12" s="1"/>
  <c r="U1512" i="12" s="1"/>
  <c r="H1439" i="12"/>
  <c r="K1439" i="12" s="1"/>
  <c r="N1439" i="12" s="1"/>
  <c r="U1439" i="12" s="1"/>
  <c r="H1465" i="12"/>
  <c r="K1465" i="12" s="1"/>
  <c r="N1465" i="12" s="1"/>
  <c r="U1465" i="12" s="1"/>
  <c r="H1475" i="12"/>
  <c r="K1475" i="12" s="1"/>
  <c r="N1475" i="12" s="1"/>
  <c r="U1475" i="12" s="1"/>
  <c r="H1489" i="12"/>
  <c r="K1489" i="12" s="1"/>
  <c r="N1489" i="12" s="1"/>
  <c r="U1489" i="12" s="1"/>
  <c r="H1391" i="12"/>
  <c r="K1391" i="12" s="1"/>
  <c r="N1391" i="12" s="1"/>
  <c r="U1391" i="12" s="1"/>
  <c r="H1349" i="12"/>
  <c r="K1349" i="12" s="1"/>
  <c r="K1348" i="12" s="1"/>
  <c r="N1348" i="12" s="1"/>
  <c r="H1340" i="12"/>
  <c r="K1340" i="12" s="1"/>
  <c r="N1340" i="12" s="1"/>
  <c r="U1340" i="12" s="1"/>
  <c r="H1315" i="12"/>
  <c r="K1315" i="12" s="1"/>
  <c r="N1315" i="12" s="1"/>
  <c r="U1315" i="12" s="1"/>
  <c r="H1284" i="12"/>
  <c r="K1284" i="12" s="1"/>
  <c r="N1284" i="12" s="1"/>
  <c r="U1284" i="12" s="1"/>
  <c r="H1261" i="12"/>
  <c r="K1261" i="12" s="1"/>
  <c r="N1261" i="12" s="1"/>
  <c r="U1261" i="12" s="1"/>
  <c r="H1250" i="12"/>
  <c r="K1250" i="12" s="1"/>
  <c r="N1250" i="12" s="1"/>
  <c r="U1250" i="12" s="1"/>
  <c r="H1215" i="12"/>
  <c r="K1215" i="12" s="1"/>
  <c r="N1215" i="12" s="1"/>
  <c r="U1215" i="12" s="1"/>
  <c r="H1184" i="12"/>
  <c r="K1184" i="12" s="1"/>
  <c r="N1184" i="12" s="1"/>
  <c r="U1184" i="12" s="1"/>
  <c r="H1173" i="12"/>
  <c r="K1173" i="12" s="1"/>
  <c r="N1173" i="12" s="1"/>
  <c r="U1173" i="12" s="1"/>
  <c r="H1156" i="12"/>
  <c r="K1156" i="12" s="1"/>
  <c r="N1156" i="12" s="1"/>
  <c r="U1156" i="12" s="1"/>
  <c r="H1122" i="12"/>
  <c r="K1122" i="12" s="1"/>
  <c r="N1122" i="12" s="1"/>
  <c r="U1122" i="12" s="1"/>
  <c r="H1115" i="12"/>
  <c r="K1115" i="12" s="1"/>
  <c r="H1108" i="12"/>
  <c r="K1108" i="12" s="1"/>
  <c r="N1108" i="12" s="1"/>
  <c r="U1108" i="12" s="1"/>
  <c r="H1105" i="12"/>
  <c r="K1105" i="12" s="1"/>
  <c r="N1105" i="12" s="1"/>
  <c r="U1105" i="12" s="1"/>
  <c r="H1093" i="12"/>
  <c r="K1093" i="12" s="1"/>
  <c r="N1093" i="12" s="1"/>
  <c r="U1093" i="12" s="1"/>
  <c r="H1051" i="12"/>
  <c r="K1051" i="12" s="1"/>
  <c r="N1051" i="12" s="1"/>
  <c r="U1051" i="12" s="1"/>
  <c r="H1019" i="12"/>
  <c r="K1019" i="12" s="1"/>
  <c r="N1019" i="12" s="1"/>
  <c r="U1019" i="12" s="1"/>
  <c r="H1000" i="12"/>
  <c r="K1000" i="12" s="1"/>
  <c r="N1000" i="12" s="1"/>
  <c r="U1000" i="12" s="1"/>
  <c r="H975" i="12"/>
  <c r="K975" i="12" s="1"/>
  <c r="N975" i="12" s="1"/>
  <c r="U975" i="12" s="1"/>
  <c r="H821" i="12"/>
  <c r="K821" i="12" s="1"/>
  <c r="N821" i="12" s="1"/>
  <c r="U821" i="12" s="1"/>
  <c r="H588" i="12"/>
  <c r="K588" i="12" s="1"/>
  <c r="N588" i="12" s="1"/>
  <c r="U588" i="12" s="1"/>
  <c r="H1355" i="12"/>
  <c r="H476" i="12"/>
  <c r="H475" i="12"/>
  <c r="H474" i="12" s="1"/>
  <c r="B9" i="17" l="1"/>
  <c r="B4" i="17"/>
  <c r="B10" i="17"/>
  <c r="U543" i="12"/>
  <c r="U758" i="12"/>
  <c r="U780" i="12"/>
  <c r="U695" i="12"/>
  <c r="U613" i="12"/>
  <c r="U598" i="12"/>
  <c r="U294" i="12"/>
  <c r="U153" i="12"/>
  <c r="U40" i="12"/>
  <c r="U742" i="12"/>
  <c r="U1102" i="12"/>
  <c r="U766" i="12"/>
  <c r="U750" i="12"/>
  <c r="U690" i="12"/>
  <c r="N475" i="12"/>
  <c r="U475" i="12" s="1"/>
  <c r="K474" i="12"/>
  <c r="N474" i="12" s="1"/>
  <c r="U783" i="12"/>
  <c r="U671" i="12"/>
  <c r="U519" i="12"/>
  <c r="U1373" i="12"/>
  <c r="K1127" i="12"/>
  <c r="N1127" i="12" s="1"/>
  <c r="U935" i="12"/>
  <c r="U173" i="12"/>
  <c r="U170" i="12"/>
  <c r="U31" i="12"/>
  <c r="U1149" i="12"/>
  <c r="U125" i="12"/>
  <c r="U476" i="12"/>
  <c r="U496" i="12"/>
  <c r="U1497" i="12"/>
  <c r="N1115" i="12"/>
  <c r="U1115" i="12" s="1"/>
  <c r="U1114" i="12" s="1"/>
  <c r="K1114" i="12"/>
  <c r="N1114" i="12" s="1"/>
  <c r="U1050" i="12"/>
  <c r="U1257" i="12"/>
  <c r="U1137" i="12"/>
  <c r="U188" i="12"/>
  <c r="U330" i="12"/>
  <c r="U466" i="12"/>
  <c r="U1266" i="12"/>
  <c r="U1541" i="12"/>
  <c r="U1275" i="12"/>
  <c r="U817" i="12"/>
  <c r="U1030" i="12"/>
  <c r="K476" i="12"/>
  <c r="U1528" i="12"/>
  <c r="U1376" i="12"/>
  <c r="N1349" i="12"/>
  <c r="U1349" i="12" s="1"/>
  <c r="U1348" i="12" s="1"/>
  <c r="U584" i="12"/>
  <c r="U524" i="12"/>
  <c r="U617" i="12"/>
  <c r="U957" i="12"/>
  <c r="U720" i="12"/>
  <c r="U363" i="12"/>
  <c r="U250" i="12"/>
  <c r="U1402" i="12"/>
  <c r="U1351" i="12"/>
  <c r="U832" i="12"/>
  <c r="K1296" i="12"/>
  <c r="N1296" i="12" s="1"/>
  <c r="U1537" i="12"/>
  <c r="U303" i="12"/>
  <c r="U1228" i="12"/>
  <c r="U236" i="12"/>
  <c r="U49" i="12"/>
  <c r="U1202" i="12"/>
  <c r="U1127" i="12"/>
  <c r="U777" i="12"/>
  <c r="U761" i="12"/>
  <c r="U745" i="12"/>
  <c r="U737" i="12"/>
  <c r="U974" i="12"/>
  <c r="U1018" i="12"/>
  <c r="U1249" i="12"/>
  <c r="U1189" i="12"/>
  <c r="U1055" i="12"/>
  <c r="U1270" i="12"/>
  <c r="U557" i="12"/>
  <c r="U1531" i="12"/>
  <c r="U270" i="12"/>
  <c r="U297" i="12"/>
  <c r="U309" i="12"/>
  <c r="U961" i="12"/>
  <c r="U4" i="12"/>
  <c r="U20" i="12"/>
  <c r="D6" i="15"/>
  <c r="C5" i="17" s="1"/>
  <c r="D12" i="15"/>
  <c r="D26" i="15"/>
  <c r="D14" i="15"/>
  <c r="D23" i="15"/>
  <c r="D8" i="15"/>
  <c r="D11" i="15"/>
  <c r="B18" i="17"/>
  <c r="B11" i="17"/>
  <c r="B13" i="17" s="1"/>
  <c r="B24" i="17"/>
  <c r="B23" i="17"/>
  <c r="B6" i="17"/>
  <c r="C38" i="9"/>
  <c r="C13" i="15"/>
  <c r="B14" i="17" s="1"/>
  <c r="F12" i="17"/>
  <c r="H24" i="15"/>
  <c r="F24" i="15"/>
  <c r="E24" i="15"/>
  <c r="G24" i="15"/>
  <c r="D4" i="15"/>
  <c r="F4" i="15"/>
  <c r="F23" i="15"/>
  <c r="E26" i="15"/>
  <c r="E23" i="15"/>
  <c r="E4" i="15"/>
  <c r="F14" i="15"/>
  <c r="H25" i="15"/>
  <c r="H26" i="15"/>
  <c r="H23" i="15"/>
  <c r="H6" i="15"/>
  <c r="H10" i="15"/>
  <c r="I55" i="1" s="1"/>
  <c r="J55" i="1" s="1"/>
  <c r="H14" i="15"/>
  <c r="E14" i="15"/>
  <c r="G11" i="15"/>
  <c r="G6" i="15"/>
  <c r="D25" i="15"/>
  <c r="H8" i="15"/>
  <c r="E9" i="17"/>
  <c r="H11" i="15"/>
  <c r="F10" i="17"/>
  <c r="F8" i="15"/>
  <c r="F26" i="15"/>
  <c r="E12" i="15"/>
  <c r="D9" i="17" s="1"/>
  <c r="E6" i="15"/>
  <c r="F25" i="15"/>
  <c r="G23" i="15"/>
  <c r="H4" i="15"/>
  <c r="G4" i="15"/>
  <c r="D18" i="15"/>
  <c r="F10" i="15"/>
  <c r="G55" i="1" s="1"/>
  <c r="D21" i="15"/>
  <c r="G25" i="15"/>
  <c r="D10" i="15"/>
  <c r="E25" i="15"/>
  <c r="E8" i="15"/>
  <c r="E18" i="15"/>
  <c r="F21" i="15"/>
  <c r="F6" i="15"/>
  <c r="D5" i="15"/>
  <c r="E10" i="15"/>
  <c r="F55" i="1" s="1"/>
  <c r="J60" i="16"/>
  <c r="U1296" i="12"/>
  <c r="U1260" i="12"/>
  <c r="C28" i="17"/>
  <c r="C3" i="15"/>
  <c r="R60" i="16"/>
  <c r="U1091" i="12"/>
  <c r="W1088" i="12"/>
  <c r="Y1088" i="12"/>
  <c r="X1088" i="12"/>
  <c r="U341" i="12"/>
  <c r="U480" i="12"/>
  <c r="U547" i="12"/>
  <c r="U788" i="12"/>
  <c r="U847" i="12"/>
  <c r="U1181" i="12"/>
  <c r="U176" i="12"/>
  <c r="U1335" i="12"/>
  <c r="U111" i="12"/>
  <c r="U336" i="12"/>
  <c r="U438" i="12"/>
  <c r="U512" i="12"/>
  <c r="U533" i="12"/>
  <c r="U703" i="12"/>
  <c r="U755" i="12"/>
  <c r="U798" i="12"/>
  <c r="U929" i="12"/>
  <c r="U949" i="12"/>
  <c r="U1033" i="12"/>
  <c r="U1168" i="12"/>
  <c r="U850" i="12"/>
  <c r="U1080" i="12"/>
  <c r="U1214" i="12"/>
  <c r="U142" i="12"/>
  <c r="U164" i="12"/>
  <c r="U998" i="12"/>
  <c r="U52" i="12"/>
  <c r="U537" i="12"/>
  <c r="U567" i="12"/>
  <c r="U772" i="12"/>
  <c r="U908" i="12"/>
  <c r="U1119" i="12"/>
  <c r="U64" i="12"/>
  <c r="U314" i="12"/>
  <c r="U1222" i="12"/>
  <c r="U943" i="12"/>
  <c r="U1074" i="12"/>
  <c r="U1360" i="12"/>
  <c r="U46" i="12"/>
  <c r="U288" i="12"/>
  <c r="U355" i="12"/>
  <c r="U516" i="12"/>
  <c r="U552" i="12"/>
  <c r="U932" i="12"/>
  <c r="U968" i="12"/>
  <c r="U1383" i="12"/>
  <c r="D13" i="15" l="1"/>
  <c r="C14" i="17" s="1"/>
  <c r="K55" i="1"/>
  <c r="H12" i="17"/>
  <c r="C9" i="17"/>
  <c r="U474" i="12"/>
  <c r="C21" i="17"/>
  <c r="B21" i="17" s="1"/>
  <c r="N476" i="12"/>
  <c r="C22" i="17"/>
  <c r="B22" i="17" s="1"/>
  <c r="C12" i="17"/>
  <c r="E55" i="1"/>
  <c r="C4" i="17"/>
  <c r="B15" i="17"/>
  <c r="F13" i="17"/>
  <c r="G12" i="17"/>
  <c r="D12" i="17"/>
  <c r="G5" i="17"/>
  <c r="D5" i="17"/>
  <c r="E5" i="17"/>
  <c r="G4" i="17"/>
  <c r="G9" i="17"/>
  <c r="E12" i="17"/>
  <c r="F5" i="17"/>
  <c r="F9" i="17"/>
  <c r="C10" i="17"/>
  <c r="H3" i="15"/>
  <c r="G3" i="17" s="1"/>
  <c r="D3" i="15"/>
  <c r="C3" i="17" s="1"/>
  <c r="G10" i="17"/>
  <c r="D10" i="17"/>
  <c r="E10" i="17"/>
  <c r="B3" i="17"/>
  <c r="C27" i="15"/>
  <c r="L55" i="1" l="1"/>
  <c r="I12" i="17"/>
  <c r="C13" i="17"/>
  <c r="B29" i="17"/>
  <c r="C15" i="17"/>
  <c r="E13" i="17"/>
  <c r="G13" i="17"/>
  <c r="D13" i="17"/>
  <c r="D27" i="15"/>
  <c r="C29" i="17"/>
  <c r="M55" i="1" l="1"/>
  <c r="J12" i="17"/>
  <c r="E476" i="12"/>
  <c r="E475" i="12"/>
  <c r="E474" i="12" s="1"/>
  <c r="E1355" i="12"/>
  <c r="E1351" i="12" s="1"/>
  <c r="H1351" i="12" s="1"/>
  <c r="K1351" i="12" s="1"/>
  <c r="N1351" i="12" s="1"/>
  <c r="N55" i="1" l="1"/>
  <c r="K12" i="17"/>
  <c r="F34" i="2"/>
  <c r="O55" i="1" l="1"/>
  <c r="L12" i="17"/>
  <c r="BA49" i="1"/>
  <c r="BB49" i="1" s="1"/>
  <c r="BC49" i="1" s="1"/>
  <c r="BA58" i="1"/>
  <c r="BB58" i="1" s="1"/>
  <c r="AZ42" i="1"/>
  <c r="BA45" i="1"/>
  <c r="BB45" i="1" s="1"/>
  <c r="BC45" i="1" s="1"/>
  <c r="BA41" i="1"/>
  <c r="P55" i="1" l="1"/>
  <c r="M12" i="17"/>
  <c r="BA42" i="1"/>
  <c r="BA43" i="1" s="1"/>
  <c r="BB46" i="1"/>
  <c r="BB41" i="1"/>
  <c r="BC41" i="1" s="1"/>
  <c r="BA46" i="1"/>
  <c r="BC58" i="1"/>
  <c r="BC42" i="1" s="1"/>
  <c r="Q55" i="1" l="1"/>
  <c r="N12" i="17"/>
  <c r="BC46" i="1"/>
  <c r="BC47" i="1" s="1"/>
  <c r="BB47" i="1"/>
  <c r="BB42" i="1"/>
  <c r="BB43" i="1" s="1"/>
  <c r="F21" i="1"/>
  <c r="F29" i="1" s="1"/>
  <c r="G21" i="1"/>
  <c r="G29" i="1" s="1"/>
  <c r="H21" i="1"/>
  <c r="H29" i="1" s="1"/>
  <c r="I21" i="1"/>
  <c r="I29" i="1" s="1"/>
  <c r="J21" i="1"/>
  <c r="J29" i="1" s="1"/>
  <c r="K21" i="1"/>
  <c r="K29" i="1" s="1"/>
  <c r="L21" i="1"/>
  <c r="L29" i="1" s="1"/>
  <c r="M21" i="1"/>
  <c r="M29" i="1" s="1"/>
  <c r="N21" i="1"/>
  <c r="N29" i="1" s="1"/>
  <c r="O21" i="1"/>
  <c r="O29" i="1" s="1"/>
  <c r="P21" i="1"/>
  <c r="P29" i="1" s="1"/>
  <c r="Q21" i="1"/>
  <c r="Q29" i="1" s="1"/>
  <c r="R21" i="1"/>
  <c r="R29" i="1" s="1"/>
  <c r="S21" i="1"/>
  <c r="S29" i="1" s="1"/>
  <c r="T21" i="1"/>
  <c r="T29" i="1" s="1"/>
  <c r="U21" i="1"/>
  <c r="U29" i="1" s="1"/>
  <c r="V21" i="1"/>
  <c r="V29" i="1" s="1"/>
  <c r="W21" i="1"/>
  <c r="W29" i="1" s="1"/>
  <c r="X21" i="1"/>
  <c r="X29" i="1" s="1"/>
  <c r="Y21" i="1"/>
  <c r="Y29" i="1" s="1"/>
  <c r="Z21" i="1"/>
  <c r="Z29" i="1" s="1"/>
  <c r="AA21" i="1"/>
  <c r="AA29" i="1" s="1"/>
  <c r="AB21" i="1"/>
  <c r="AB29" i="1" s="1"/>
  <c r="AC21" i="1"/>
  <c r="AC29" i="1" s="1"/>
  <c r="AD21" i="1"/>
  <c r="AD29" i="1" s="1"/>
  <c r="AE21" i="1"/>
  <c r="AE29" i="1" s="1"/>
  <c r="AF21" i="1"/>
  <c r="AF29" i="1" s="1"/>
  <c r="AG21" i="1"/>
  <c r="AG29" i="1" s="1"/>
  <c r="AH21" i="1"/>
  <c r="AH29" i="1" s="1"/>
  <c r="AI21" i="1"/>
  <c r="AI29" i="1" s="1"/>
  <c r="AJ21" i="1"/>
  <c r="AJ29" i="1" s="1"/>
  <c r="AK21" i="1"/>
  <c r="AK29" i="1" s="1"/>
  <c r="AL21" i="1"/>
  <c r="AL29" i="1" s="1"/>
  <c r="AM21" i="1"/>
  <c r="AM29" i="1" s="1"/>
  <c r="AN21" i="1"/>
  <c r="AN29" i="1" s="1"/>
  <c r="AO21" i="1"/>
  <c r="AO29" i="1" s="1"/>
  <c r="AP21" i="1"/>
  <c r="AP29" i="1" s="1"/>
  <c r="AQ21" i="1"/>
  <c r="AQ29" i="1" s="1"/>
  <c r="AR21" i="1"/>
  <c r="AR29" i="1" s="1"/>
  <c r="AS21" i="1"/>
  <c r="AS29" i="1" s="1"/>
  <c r="AT21" i="1"/>
  <c r="AT29" i="1" s="1"/>
  <c r="AU21" i="1"/>
  <c r="AU29" i="1" s="1"/>
  <c r="AV21" i="1"/>
  <c r="AV29" i="1" s="1"/>
  <c r="AW21" i="1"/>
  <c r="AW29" i="1" s="1"/>
  <c r="AX21" i="1"/>
  <c r="AX29" i="1" s="1"/>
  <c r="AY21" i="1"/>
  <c r="AY29" i="1" s="1"/>
  <c r="AZ21" i="1"/>
  <c r="AZ29" i="1" s="1"/>
  <c r="BA21" i="1"/>
  <c r="BA29" i="1" s="1"/>
  <c r="BB21" i="1"/>
  <c r="BB29" i="1" s="1"/>
  <c r="BC21" i="1"/>
  <c r="BC29" i="1" s="1"/>
  <c r="E21" i="1"/>
  <c r="E29" i="1" s="1"/>
  <c r="F24" i="1"/>
  <c r="G24" i="1"/>
  <c r="E19" i="17" s="1"/>
  <c r="H24" i="1"/>
  <c r="F19" i="17" s="1"/>
  <c r="I24" i="1"/>
  <c r="G19" i="17" s="1"/>
  <c r="J24" i="1"/>
  <c r="H19" i="17" s="1"/>
  <c r="K24" i="1"/>
  <c r="I19" i="17" s="1"/>
  <c r="L24" i="1"/>
  <c r="J19" i="17" s="1"/>
  <c r="M24" i="1"/>
  <c r="N24" i="1"/>
  <c r="L19" i="17" s="1"/>
  <c r="O24" i="1"/>
  <c r="M19" i="17" s="1"/>
  <c r="P24" i="1"/>
  <c r="N19" i="17" s="1"/>
  <c r="Q24" i="1"/>
  <c r="O19" i="17" s="1"/>
  <c r="R24" i="1"/>
  <c r="P19" i="17" s="1"/>
  <c r="S24" i="1"/>
  <c r="Q19" i="17" s="1"/>
  <c r="T24" i="1"/>
  <c r="R19" i="17" s="1"/>
  <c r="U24" i="1"/>
  <c r="S19" i="17" s="1"/>
  <c r="V24" i="1"/>
  <c r="T19" i="17" s="1"/>
  <c r="W24" i="1"/>
  <c r="U19" i="17" s="1"/>
  <c r="X24" i="1"/>
  <c r="V19" i="17" s="1"/>
  <c r="Y24" i="1"/>
  <c r="W19" i="17" s="1"/>
  <c r="Z24" i="1"/>
  <c r="X19" i="17" s="1"/>
  <c r="AA24" i="1"/>
  <c r="Y19" i="17" s="1"/>
  <c r="AB24" i="1"/>
  <c r="Z19" i="17" s="1"/>
  <c r="AC24" i="1"/>
  <c r="AA19" i="17" s="1"/>
  <c r="AD24" i="1"/>
  <c r="AB19" i="17" s="1"/>
  <c r="AE24" i="1"/>
  <c r="AC19" i="17" s="1"/>
  <c r="AF24" i="1"/>
  <c r="AD19" i="17" s="1"/>
  <c r="AG24" i="1"/>
  <c r="AE19" i="17" s="1"/>
  <c r="AH24" i="1"/>
  <c r="AF19" i="17" s="1"/>
  <c r="AI24" i="1"/>
  <c r="AG19" i="17" s="1"/>
  <c r="AJ24" i="1"/>
  <c r="AH19" i="17" s="1"/>
  <c r="AK24" i="1"/>
  <c r="AI19" i="17" s="1"/>
  <c r="AL24" i="1"/>
  <c r="AJ19" i="17" s="1"/>
  <c r="AM24" i="1"/>
  <c r="AK19" i="17" s="1"/>
  <c r="AN24" i="1"/>
  <c r="AL19" i="17" s="1"/>
  <c r="AO24" i="1"/>
  <c r="AM19" i="17" s="1"/>
  <c r="AP24" i="1"/>
  <c r="AN19" i="17" s="1"/>
  <c r="AQ24" i="1"/>
  <c r="AO19" i="17" s="1"/>
  <c r="AR24" i="1"/>
  <c r="AP19" i="17" s="1"/>
  <c r="AS24" i="1"/>
  <c r="AQ19" i="17" s="1"/>
  <c r="AT24" i="1"/>
  <c r="AR19" i="17" s="1"/>
  <c r="AU24" i="1"/>
  <c r="AS19" i="17" s="1"/>
  <c r="AV24" i="1"/>
  <c r="AT19" i="17" s="1"/>
  <c r="AW24" i="1"/>
  <c r="AU19" i="17" s="1"/>
  <c r="AX24" i="1"/>
  <c r="AV19" i="17" s="1"/>
  <c r="AY24" i="1"/>
  <c r="AW19" i="17" s="1"/>
  <c r="AZ24" i="1"/>
  <c r="AX19" i="17" s="1"/>
  <c r="BA24" i="1"/>
  <c r="AY19" i="17" s="1"/>
  <c r="BB24" i="1"/>
  <c r="AZ19" i="17" s="1"/>
  <c r="BC24" i="1"/>
  <c r="BA19" i="17" s="1"/>
  <c r="E24" i="1"/>
  <c r="C19" i="17" s="1"/>
  <c r="R55" i="1" l="1"/>
  <c r="O12" i="17"/>
  <c r="AM27" i="1"/>
  <c r="AM30" i="1" s="1"/>
  <c r="B19" i="17"/>
  <c r="AP21" i="9"/>
  <c r="AO7" i="17"/>
  <c r="Z21" i="9"/>
  <c r="Y7" i="17"/>
  <c r="AW21" i="9"/>
  <c r="AV7" i="17"/>
  <c r="AG21" i="9"/>
  <c r="AF7" i="17"/>
  <c r="I21" i="9"/>
  <c r="H7" i="17"/>
  <c r="AV21" i="9"/>
  <c r="AU7" i="17"/>
  <c r="AF21" i="9"/>
  <c r="AE7" i="17"/>
  <c r="P21" i="9"/>
  <c r="O7" i="17"/>
  <c r="W27" i="1"/>
  <c r="W30" i="1" s="1"/>
  <c r="M27" i="1"/>
  <c r="M31" i="1" s="1"/>
  <c r="K19" i="17"/>
  <c r="D21" i="9"/>
  <c r="C7" i="17"/>
  <c r="AU21" i="9"/>
  <c r="AT7" i="17"/>
  <c r="AM21" i="9"/>
  <c r="AL7" i="17"/>
  <c r="AE21" i="9"/>
  <c r="AD7" i="17"/>
  <c r="W21" i="9"/>
  <c r="V7" i="17"/>
  <c r="O21" i="9"/>
  <c r="N7" i="17"/>
  <c r="G21" i="9"/>
  <c r="F7" i="17"/>
  <c r="O27" i="1"/>
  <c r="O31" i="1" s="1"/>
  <c r="BB21" i="9"/>
  <c r="BA7" i="17"/>
  <c r="AT21" i="9"/>
  <c r="AS7" i="17"/>
  <c r="AL21" i="9"/>
  <c r="AK7" i="17"/>
  <c r="AD21" i="9"/>
  <c r="AC7" i="17"/>
  <c r="V21" i="9"/>
  <c r="U7" i="17"/>
  <c r="N21" i="9"/>
  <c r="M7" i="17"/>
  <c r="F21" i="9"/>
  <c r="E7" i="17"/>
  <c r="G27" i="1"/>
  <c r="G30" i="1" s="1"/>
  <c r="F27" i="1"/>
  <c r="F31" i="1" s="1"/>
  <c r="E39" i="9" s="1"/>
  <c r="D19" i="17"/>
  <c r="X21" i="9"/>
  <c r="W7" i="17"/>
  <c r="M21" i="9"/>
  <c r="L7" i="17"/>
  <c r="E21" i="9"/>
  <c r="D7" i="17"/>
  <c r="AZ21" i="9"/>
  <c r="AY7" i="17"/>
  <c r="AR21" i="9"/>
  <c r="AQ7" i="17"/>
  <c r="AJ21" i="9"/>
  <c r="AI7" i="17"/>
  <c r="AB21" i="9"/>
  <c r="AA7" i="17"/>
  <c r="T21" i="9"/>
  <c r="S7" i="17"/>
  <c r="L21" i="9"/>
  <c r="K7" i="17"/>
  <c r="BC27" i="1"/>
  <c r="AX21" i="9"/>
  <c r="AW7" i="17"/>
  <c r="AH21" i="9"/>
  <c r="AG7" i="17"/>
  <c r="R21" i="9"/>
  <c r="Q7" i="17"/>
  <c r="J21" i="9"/>
  <c r="I7" i="17"/>
  <c r="AO21" i="9"/>
  <c r="AN7" i="17"/>
  <c r="Y21" i="9"/>
  <c r="X7" i="17"/>
  <c r="Q21" i="9"/>
  <c r="P7" i="17"/>
  <c r="AE27" i="1"/>
  <c r="AE31" i="1" s="1"/>
  <c r="AN21" i="9"/>
  <c r="AM7" i="17"/>
  <c r="H21" i="9"/>
  <c r="G7" i="17"/>
  <c r="BA21" i="9"/>
  <c r="AZ7" i="17"/>
  <c r="AS21" i="9"/>
  <c r="AR7" i="17"/>
  <c r="AK21" i="9"/>
  <c r="AJ7" i="17"/>
  <c r="AC21" i="9"/>
  <c r="AB7" i="17"/>
  <c r="U21" i="9"/>
  <c r="T7" i="17"/>
  <c r="AY21" i="9"/>
  <c r="AX7" i="17"/>
  <c r="AQ21" i="9"/>
  <c r="AP7" i="17"/>
  <c r="AI21" i="9"/>
  <c r="AH7" i="17"/>
  <c r="AA21" i="9"/>
  <c r="Z7" i="17"/>
  <c r="S21" i="9"/>
  <c r="R7" i="17"/>
  <c r="K21" i="9"/>
  <c r="J7" i="17"/>
  <c r="AU27" i="1"/>
  <c r="AU31" i="1" s="1"/>
  <c r="BB27" i="1"/>
  <c r="AT27" i="1"/>
  <c r="AL27" i="1"/>
  <c r="AD27" i="1"/>
  <c r="V27" i="1"/>
  <c r="N27" i="1"/>
  <c r="BA27" i="1"/>
  <c r="AS27" i="1"/>
  <c r="AK27" i="1"/>
  <c r="AC27" i="1"/>
  <c r="U27" i="1"/>
  <c r="AZ27" i="1"/>
  <c r="AR27" i="1"/>
  <c r="AJ27" i="1"/>
  <c r="AB27" i="1"/>
  <c r="T27" i="1"/>
  <c r="L27" i="1"/>
  <c r="AY27" i="1"/>
  <c r="AQ27" i="1"/>
  <c r="AI27" i="1"/>
  <c r="AA27" i="1"/>
  <c r="S27" i="1"/>
  <c r="K27" i="1"/>
  <c r="BC31" i="1"/>
  <c r="BC30" i="1"/>
  <c r="AX27" i="1"/>
  <c r="AP27" i="1"/>
  <c r="AH27" i="1"/>
  <c r="Z27" i="1"/>
  <c r="R27" i="1"/>
  <c r="J27" i="1"/>
  <c r="AU30" i="1"/>
  <c r="AW27" i="1"/>
  <c r="AO27" i="1"/>
  <c r="AG27" i="1"/>
  <c r="Y27" i="1"/>
  <c r="Q27" i="1"/>
  <c r="I27" i="1"/>
  <c r="E27" i="1"/>
  <c r="AV27" i="1"/>
  <c r="AN27" i="1"/>
  <c r="AF27" i="1"/>
  <c r="X27" i="1"/>
  <c r="P27" i="1"/>
  <c r="H27" i="1"/>
  <c r="BC43" i="1"/>
  <c r="R16" i="11"/>
  <c r="S16" i="11" s="1"/>
  <c r="T16" i="11" s="1"/>
  <c r="U16" i="11" s="1"/>
  <c r="V16" i="11" s="1"/>
  <c r="W16" i="11" s="1"/>
  <c r="X16" i="11" s="1"/>
  <c r="Y16" i="11" s="1"/>
  <c r="Z16" i="11" s="1"/>
  <c r="AA16" i="11" s="1"/>
  <c r="AB16" i="11" s="1"/>
  <c r="AC16" i="11" s="1"/>
  <c r="AD16" i="11" s="1"/>
  <c r="AE16" i="11" s="1"/>
  <c r="AF16" i="11" s="1"/>
  <c r="AG16" i="11" s="1"/>
  <c r="AH16" i="11" s="1"/>
  <c r="AI16" i="11" s="1"/>
  <c r="AJ16" i="11" s="1"/>
  <c r="AK16" i="11" s="1"/>
  <c r="AL16" i="11" s="1"/>
  <c r="AM16" i="11" s="1"/>
  <c r="AN16" i="11" s="1"/>
  <c r="AO16" i="11" s="1"/>
  <c r="AP16" i="11" s="1"/>
  <c r="AQ16" i="11" s="1"/>
  <c r="AR16" i="11" s="1"/>
  <c r="AS16" i="11" s="1"/>
  <c r="AT16" i="11" s="1"/>
  <c r="AU16" i="11" s="1"/>
  <c r="AV16" i="11" s="1"/>
  <c r="AW16" i="11" s="1"/>
  <c r="AX16" i="11" s="1"/>
  <c r="AY16" i="11" s="1"/>
  <c r="AZ16" i="11" s="1"/>
  <c r="BA16" i="11" s="1"/>
  <c r="BB16" i="11" s="1"/>
  <c r="BC16" i="11" s="1"/>
  <c r="BD16" i="11" s="1"/>
  <c r="BE16" i="11" s="1"/>
  <c r="BF16" i="11" s="1"/>
  <c r="BG16" i="11" s="1"/>
  <c r="BH16" i="11" s="1"/>
  <c r="BI16" i="11" s="1"/>
  <c r="BJ16" i="11" s="1"/>
  <c r="BK16" i="11" s="1"/>
  <c r="BL16" i="11" s="1"/>
  <c r="O16" i="11"/>
  <c r="P16" i="11"/>
  <c r="Q16" i="11"/>
  <c r="N16" i="11"/>
  <c r="H88" i="2"/>
  <c r="I88" i="2"/>
  <c r="J88" i="2" s="1"/>
  <c r="H89" i="2"/>
  <c r="I89" i="2" s="1"/>
  <c r="J89" i="2" s="1"/>
  <c r="G89" i="2"/>
  <c r="G88" i="2"/>
  <c r="F89" i="2"/>
  <c r="S55" i="1" l="1"/>
  <c r="P12" i="17"/>
  <c r="G31" i="1"/>
  <c r="F39" i="9" s="1"/>
  <c r="AE30" i="1"/>
  <c r="O30" i="1"/>
  <c r="M30" i="1"/>
  <c r="AM31" i="1"/>
  <c r="W31" i="1"/>
  <c r="F30" i="1"/>
  <c r="G8" i="17"/>
  <c r="D8" i="17"/>
  <c r="F8" i="17"/>
  <c r="E8" i="17"/>
  <c r="B7" i="17"/>
  <c r="C8" i="17"/>
  <c r="F38" i="9"/>
  <c r="W1265" i="12" s="1"/>
  <c r="G31" i="3"/>
  <c r="E38" i="9"/>
  <c r="V1265" i="12" s="1"/>
  <c r="F31" i="3"/>
  <c r="AH31" i="1"/>
  <c r="AH30" i="1"/>
  <c r="AO30" i="1"/>
  <c r="AO31" i="1"/>
  <c r="AP31" i="1"/>
  <c r="AP30" i="1"/>
  <c r="AQ31" i="1"/>
  <c r="AQ30" i="1"/>
  <c r="AR31" i="1"/>
  <c r="AR30" i="1"/>
  <c r="BA31" i="1"/>
  <c r="BA30" i="1"/>
  <c r="BB31" i="1"/>
  <c r="BB30" i="1"/>
  <c r="AG30" i="1"/>
  <c r="AG31" i="1"/>
  <c r="AW30" i="1"/>
  <c r="AW31" i="1"/>
  <c r="AX31" i="1"/>
  <c r="AX30" i="1"/>
  <c r="AY31" i="1"/>
  <c r="AY30" i="1"/>
  <c r="AZ31" i="1"/>
  <c r="AZ30" i="1"/>
  <c r="AJ31" i="1"/>
  <c r="AJ30" i="1"/>
  <c r="E31" i="1"/>
  <c r="D39" i="9" s="1"/>
  <c r="E30" i="1"/>
  <c r="H30" i="1"/>
  <c r="H31" i="1"/>
  <c r="G39" i="9" s="1"/>
  <c r="N31" i="1"/>
  <c r="N30" i="1"/>
  <c r="AT31" i="1"/>
  <c r="AT30" i="1"/>
  <c r="P30" i="1"/>
  <c r="P31" i="1"/>
  <c r="I30" i="1"/>
  <c r="I31" i="1"/>
  <c r="H39" i="9" s="1"/>
  <c r="J31" i="1"/>
  <c r="J30" i="1"/>
  <c r="K31" i="1"/>
  <c r="K30" i="1"/>
  <c r="L31" i="1"/>
  <c r="L30" i="1"/>
  <c r="U31" i="1"/>
  <c r="U30" i="1"/>
  <c r="V31" i="1"/>
  <c r="V30" i="1"/>
  <c r="AN30" i="1"/>
  <c r="AN31" i="1"/>
  <c r="AS31" i="1"/>
  <c r="AS30" i="1"/>
  <c r="X30" i="1"/>
  <c r="X31" i="1"/>
  <c r="Q31" i="1"/>
  <c r="Q30" i="1"/>
  <c r="R31" i="1"/>
  <c r="R30" i="1"/>
  <c r="S31" i="1"/>
  <c r="S30" i="1"/>
  <c r="T31" i="1"/>
  <c r="T30" i="1"/>
  <c r="AC31" i="1"/>
  <c r="AC30" i="1"/>
  <c r="AD31" i="1"/>
  <c r="AD30" i="1"/>
  <c r="AI31" i="1"/>
  <c r="AI30" i="1"/>
  <c r="AV30" i="1"/>
  <c r="AV31" i="1"/>
  <c r="AF30" i="1"/>
  <c r="AF31" i="1"/>
  <c r="Y30" i="1"/>
  <c r="Y31" i="1"/>
  <c r="Z31" i="1"/>
  <c r="Z30" i="1"/>
  <c r="AA31" i="1"/>
  <c r="AA30" i="1"/>
  <c r="AB31" i="1"/>
  <c r="AB30" i="1"/>
  <c r="AK31" i="1"/>
  <c r="AK30" i="1"/>
  <c r="AL31" i="1"/>
  <c r="AL30" i="1"/>
  <c r="B21" i="4"/>
  <c r="T55" i="1" l="1"/>
  <c r="Q12" i="17"/>
  <c r="B8" i="17"/>
  <c r="D38" i="9"/>
  <c r="E31" i="3"/>
  <c r="H38" i="9"/>
  <c r="Y1265" i="12" s="1"/>
  <c r="I31" i="3"/>
  <c r="G38" i="9"/>
  <c r="X1265" i="12" s="1"/>
  <c r="H31" i="3"/>
  <c r="C6" i="4"/>
  <c r="L18" i="4"/>
  <c r="C29" i="9"/>
  <c r="H15" i="4"/>
  <c r="U55" i="1" l="1"/>
  <c r="R12" i="17"/>
  <c r="L17" i="4"/>
  <c r="L13" i="4" s="1"/>
  <c r="J17" i="4"/>
  <c r="H13" i="4"/>
  <c r="D29" i="9" s="1"/>
  <c r="K18" i="4"/>
  <c r="J18" i="4" s="1"/>
  <c r="I18" i="4" s="1"/>
  <c r="I17" i="4"/>
  <c r="K17" i="4"/>
  <c r="S12" i="17" l="1"/>
  <c r="V55" i="1"/>
  <c r="I13" i="4"/>
  <c r="I21" i="4" s="1"/>
  <c r="J13" i="4"/>
  <c r="K13" i="4"/>
  <c r="E29" i="9"/>
  <c r="W55" i="1" l="1"/>
  <c r="T12" i="17"/>
  <c r="H29" i="9"/>
  <c r="G29" i="9"/>
  <c r="F29" i="9"/>
  <c r="X55" i="1" l="1"/>
  <c r="U12" i="17"/>
  <c r="B5" i="4"/>
  <c r="B6" i="4" s="1"/>
  <c r="D6" i="4" s="1"/>
  <c r="L21" i="4" s="1"/>
  <c r="E46" i="1"/>
  <c r="F46" i="1"/>
  <c r="G46" i="1"/>
  <c r="H46" i="1"/>
  <c r="I46" i="1"/>
  <c r="P33" i="13" s="1"/>
  <c r="J46" i="1"/>
  <c r="K46" i="1"/>
  <c r="L46" i="1"/>
  <c r="M46" i="1"/>
  <c r="N46" i="1"/>
  <c r="O46" i="1"/>
  <c r="P46" i="1"/>
  <c r="Q46" i="1"/>
  <c r="Q47" i="1" s="1"/>
  <c r="R46" i="1"/>
  <c r="S46" i="1"/>
  <c r="T46" i="1"/>
  <c r="U46" i="1"/>
  <c r="V46" i="1"/>
  <c r="W46" i="1"/>
  <c r="X46" i="1"/>
  <c r="Y46" i="1"/>
  <c r="Y47" i="1" s="1"/>
  <c r="Z46" i="1"/>
  <c r="AA46" i="1"/>
  <c r="AB46" i="1"/>
  <c r="AC46" i="1"/>
  <c r="AD46" i="1"/>
  <c r="AE46" i="1"/>
  <c r="AF46" i="1"/>
  <c r="AG46" i="1"/>
  <c r="AG47" i="1" s="1"/>
  <c r="AH46" i="1"/>
  <c r="AI46" i="1"/>
  <c r="AJ46" i="1"/>
  <c r="AK46" i="1"/>
  <c r="AL46" i="1"/>
  <c r="AM46" i="1"/>
  <c r="AN46" i="1"/>
  <c r="AO46" i="1"/>
  <c r="AO47" i="1" s="1"/>
  <c r="AP46" i="1"/>
  <c r="AQ46" i="1"/>
  <c r="AR46" i="1"/>
  <c r="AS46" i="1"/>
  <c r="AT46" i="1"/>
  <c r="AU46" i="1"/>
  <c r="AV46" i="1"/>
  <c r="AW46" i="1"/>
  <c r="AW47" i="1" s="1"/>
  <c r="AX46" i="1"/>
  <c r="AY46" i="1"/>
  <c r="AZ46" i="1"/>
  <c r="D46" i="1"/>
  <c r="F42" i="1"/>
  <c r="G42" i="1"/>
  <c r="H42" i="1"/>
  <c r="I42" i="1"/>
  <c r="J42" i="1"/>
  <c r="K42" i="1"/>
  <c r="L42" i="1"/>
  <c r="M42" i="1"/>
  <c r="N42" i="1"/>
  <c r="O42" i="1"/>
  <c r="P42" i="1"/>
  <c r="P43" i="1" s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F43" i="1" s="1"/>
  <c r="AG42" i="1"/>
  <c r="AH42" i="1"/>
  <c r="AI42" i="1"/>
  <c r="AJ42" i="1"/>
  <c r="AK42" i="1"/>
  <c r="AL42" i="1"/>
  <c r="AM42" i="1"/>
  <c r="AN42" i="1"/>
  <c r="AN43" i="1" s="1"/>
  <c r="AO42" i="1"/>
  <c r="AP42" i="1"/>
  <c r="AQ42" i="1"/>
  <c r="AR42" i="1"/>
  <c r="AS42" i="1"/>
  <c r="AT42" i="1"/>
  <c r="AU42" i="1"/>
  <c r="AV42" i="1"/>
  <c r="AV43" i="1" s="1"/>
  <c r="AW42" i="1"/>
  <c r="AX42" i="1"/>
  <c r="AY42" i="1"/>
  <c r="D42" i="1"/>
  <c r="Y55" i="1" l="1"/>
  <c r="V12" i="17"/>
  <c r="K21" i="4"/>
  <c r="J21" i="4"/>
  <c r="AT43" i="1"/>
  <c r="AL43" i="1"/>
  <c r="AD43" i="1"/>
  <c r="V43" i="1"/>
  <c r="N43" i="1"/>
  <c r="M34" i="13"/>
  <c r="AU47" i="1"/>
  <c r="AM47" i="1"/>
  <c r="AE47" i="1"/>
  <c r="W47" i="1"/>
  <c r="O47" i="1"/>
  <c r="AW43" i="1"/>
  <c r="AO43" i="1"/>
  <c r="AG43" i="1"/>
  <c r="Y43" i="1"/>
  <c r="Q43" i="1"/>
  <c r="AX47" i="1"/>
  <c r="AP47" i="1"/>
  <c r="AH47" i="1"/>
  <c r="Z47" i="1"/>
  <c r="R47" i="1"/>
  <c r="J47" i="1"/>
  <c r="N33" i="13"/>
  <c r="AR43" i="1"/>
  <c r="AJ43" i="1"/>
  <c r="AB43" i="1"/>
  <c r="T43" i="1"/>
  <c r="L43" i="1"/>
  <c r="AS47" i="1"/>
  <c r="AK47" i="1"/>
  <c r="AC47" i="1"/>
  <c r="U47" i="1"/>
  <c r="M47" i="1"/>
  <c r="AU43" i="1"/>
  <c r="AM43" i="1"/>
  <c r="AE43" i="1"/>
  <c r="W43" i="1"/>
  <c r="O43" i="1"/>
  <c r="AV47" i="1"/>
  <c r="AN47" i="1"/>
  <c r="AF47" i="1"/>
  <c r="X47" i="1"/>
  <c r="P47" i="1"/>
  <c r="O33" i="13"/>
  <c r="AS43" i="1"/>
  <c r="AK43" i="1"/>
  <c r="AC43" i="1"/>
  <c r="U43" i="1"/>
  <c r="M43" i="1"/>
  <c r="AT47" i="1"/>
  <c r="AL47" i="1"/>
  <c r="AD47" i="1"/>
  <c r="V47" i="1"/>
  <c r="N47" i="1"/>
  <c r="AQ43" i="1"/>
  <c r="AI43" i="1"/>
  <c r="AA43" i="1"/>
  <c r="S43" i="1"/>
  <c r="K43" i="1"/>
  <c r="AR47" i="1"/>
  <c r="AJ47" i="1"/>
  <c r="AB47" i="1"/>
  <c r="T47" i="1"/>
  <c r="L47" i="1"/>
  <c r="X43" i="1"/>
  <c r="AZ47" i="1"/>
  <c r="BA47" i="1"/>
  <c r="AY43" i="1"/>
  <c r="AZ43" i="1"/>
  <c r="AX43" i="1"/>
  <c r="AP43" i="1"/>
  <c r="AH43" i="1"/>
  <c r="Z43" i="1"/>
  <c r="R43" i="1"/>
  <c r="J43" i="1"/>
  <c r="AY47" i="1"/>
  <c r="AQ47" i="1"/>
  <c r="AI47" i="1"/>
  <c r="AA47" i="1"/>
  <c r="S47" i="1"/>
  <c r="K47" i="1"/>
  <c r="N34" i="13"/>
  <c r="O34" i="13"/>
  <c r="M33" i="13"/>
  <c r="P34" i="13"/>
  <c r="Z55" i="1" l="1"/>
  <c r="W12" i="17"/>
  <c r="G34" i="3"/>
  <c r="I34" i="3"/>
  <c r="F34" i="3"/>
  <c r="E35" i="3"/>
  <c r="D34" i="3" s="1"/>
  <c r="D35" i="3" s="1"/>
  <c r="AA55" i="1" l="1"/>
  <c r="X12" i="17"/>
  <c r="H34" i="3"/>
  <c r="F35" i="3"/>
  <c r="Y12" i="17" l="1"/>
  <c r="AB55" i="1"/>
  <c r="F33" i="3"/>
  <c r="G35" i="3"/>
  <c r="AC55" i="1" l="1"/>
  <c r="Z12" i="17"/>
  <c r="E47" i="9"/>
  <c r="D27" i="17"/>
  <c r="D26" i="17" s="1"/>
  <c r="H35" i="3"/>
  <c r="G33" i="3"/>
  <c r="AA12" i="17" l="1"/>
  <c r="AD55" i="1"/>
  <c r="F47" i="9"/>
  <c r="E27" i="17"/>
  <c r="E26" i="17" s="1"/>
  <c r="I35" i="3"/>
  <c r="I33" i="3" s="1"/>
  <c r="H33" i="3"/>
  <c r="AE55" i="1" l="1"/>
  <c r="AB12" i="17"/>
  <c r="H47" i="9"/>
  <c r="G27" i="17"/>
  <c r="G26" i="17" s="1"/>
  <c r="G47" i="9"/>
  <c r="F27" i="17"/>
  <c r="F26" i="17" s="1"/>
  <c r="I59" i="1"/>
  <c r="E59" i="1"/>
  <c r="F59" i="1"/>
  <c r="F38" i="1" s="1"/>
  <c r="G59" i="1"/>
  <c r="G50" i="1" s="1"/>
  <c r="H59" i="1"/>
  <c r="D59" i="1"/>
  <c r="AF55" i="1" l="1"/>
  <c r="AC12" i="17"/>
  <c r="E59" i="17"/>
  <c r="E58" i="17"/>
  <c r="E50" i="17"/>
  <c r="E43" i="17"/>
  <c r="E38" i="17"/>
  <c r="E57" i="17"/>
  <c r="E56" i="17"/>
  <c r="E41" i="17"/>
  <c r="E37" i="17"/>
  <c r="E42" i="17"/>
  <c r="E44" i="17"/>
  <c r="E45" i="17"/>
  <c r="E51" i="17"/>
  <c r="E39" i="17"/>
  <c r="E40" i="17"/>
  <c r="G35" i="17"/>
  <c r="G59" i="17"/>
  <c r="G58" i="17"/>
  <c r="G38" i="17"/>
  <c r="G57" i="17"/>
  <c r="G50" i="17"/>
  <c r="G56" i="17"/>
  <c r="G43" i="17"/>
  <c r="G37" i="17"/>
  <c r="G36" i="17"/>
  <c r="G44" i="17"/>
  <c r="G41" i="17"/>
  <c r="G42" i="17"/>
  <c r="G45" i="17"/>
  <c r="G51" i="17"/>
  <c r="G39" i="17"/>
  <c r="G40" i="17"/>
  <c r="F59" i="17"/>
  <c r="F58" i="17"/>
  <c r="F43" i="17"/>
  <c r="F57" i="17"/>
  <c r="F38" i="17"/>
  <c r="F56" i="17"/>
  <c r="F50" i="17"/>
  <c r="F44" i="17"/>
  <c r="F42" i="17"/>
  <c r="F41" i="17"/>
  <c r="F45" i="17"/>
  <c r="F37" i="17"/>
  <c r="F51" i="17"/>
  <c r="F39" i="17"/>
  <c r="F40" i="17"/>
  <c r="D59" i="17"/>
  <c r="D58" i="17"/>
  <c r="D38" i="17"/>
  <c r="D43" i="17"/>
  <c r="D50" i="17"/>
  <c r="D56" i="17"/>
  <c r="D57" i="17"/>
  <c r="D41" i="17"/>
  <c r="D37" i="17"/>
  <c r="D44" i="17"/>
  <c r="D42" i="17"/>
  <c r="D45" i="17"/>
  <c r="D51" i="17"/>
  <c r="D39" i="17"/>
  <c r="D40" i="17"/>
  <c r="C59" i="17"/>
  <c r="C58" i="17"/>
  <c r="B59" i="17"/>
  <c r="B58" i="17"/>
  <c r="B36" i="17"/>
  <c r="B37" i="17"/>
  <c r="C50" i="17"/>
  <c r="C54" i="17"/>
  <c r="B57" i="17"/>
  <c r="B60" i="17"/>
  <c r="C57" i="17"/>
  <c r="C55" i="17"/>
  <c r="B41" i="17"/>
  <c r="B44" i="17"/>
  <c r="C38" i="17"/>
  <c r="C53" i="17"/>
  <c r="B42" i="17"/>
  <c r="C56" i="17"/>
  <c r="C43" i="17"/>
  <c r="B43" i="17"/>
  <c r="B50" i="17"/>
  <c r="B53" i="17"/>
  <c r="C41" i="17"/>
  <c r="B45" i="17"/>
  <c r="B55" i="17"/>
  <c r="B54" i="17"/>
  <c r="B46" i="17"/>
  <c r="B56" i="17"/>
  <c r="C60" i="17"/>
  <c r="B38" i="17"/>
  <c r="C37" i="17"/>
  <c r="C44" i="17"/>
  <c r="B35" i="17"/>
  <c r="C45" i="17"/>
  <c r="C42" i="17"/>
  <c r="B47" i="17"/>
  <c r="C46" i="17"/>
  <c r="C36" i="17"/>
  <c r="C35" i="17"/>
  <c r="B61" i="17"/>
  <c r="C47" i="17"/>
  <c r="C61" i="17"/>
  <c r="C51" i="17"/>
  <c r="B51" i="17"/>
  <c r="C39" i="17"/>
  <c r="C40" i="17"/>
  <c r="B39" i="17"/>
  <c r="B40" i="17"/>
  <c r="P8" i="15"/>
  <c r="P21" i="15"/>
  <c r="P19" i="15"/>
  <c r="P15" i="15"/>
  <c r="P10" i="15"/>
  <c r="P16" i="15"/>
  <c r="P12" i="15"/>
  <c r="P26" i="15"/>
  <c r="P18" i="15"/>
  <c r="P14" i="15"/>
  <c r="P20" i="15"/>
  <c r="P7" i="15"/>
  <c r="P17" i="15"/>
  <c r="P9" i="15"/>
  <c r="P24" i="15"/>
  <c r="P25" i="15"/>
  <c r="P6" i="15"/>
  <c r="P11" i="15"/>
  <c r="P4" i="15"/>
  <c r="P23" i="15"/>
  <c r="O19" i="15"/>
  <c r="O16" i="15"/>
  <c r="O11" i="15"/>
  <c r="O9" i="15"/>
  <c r="O12" i="15"/>
  <c r="O15" i="15"/>
  <c r="O20" i="15"/>
  <c r="O7" i="15"/>
  <c r="O18" i="15"/>
  <c r="O17" i="15"/>
  <c r="O25" i="15"/>
  <c r="O4" i="15"/>
  <c r="O21" i="15"/>
  <c r="O24" i="15"/>
  <c r="O14" i="15"/>
  <c r="O23" i="15"/>
  <c r="O26" i="15"/>
  <c r="O8" i="15"/>
  <c r="O10" i="15"/>
  <c r="O6" i="15"/>
  <c r="N19" i="15"/>
  <c r="N20" i="15"/>
  <c r="N16" i="15"/>
  <c r="N15" i="15"/>
  <c r="N11" i="15"/>
  <c r="N7" i="15"/>
  <c r="N17" i="15"/>
  <c r="N9" i="15"/>
  <c r="N21" i="15"/>
  <c r="N23" i="15"/>
  <c r="N10" i="15"/>
  <c r="N4" i="15"/>
  <c r="N26" i="15"/>
  <c r="N8" i="15"/>
  <c r="N6" i="15"/>
  <c r="N18" i="15"/>
  <c r="N25" i="15"/>
  <c r="N12" i="15"/>
  <c r="N24" i="15"/>
  <c r="N14" i="15"/>
  <c r="Q18" i="15"/>
  <c r="Q16" i="15"/>
  <c r="Q7" i="15"/>
  <c r="Q20" i="15"/>
  <c r="Q5" i="15"/>
  <c r="Q21" i="15"/>
  <c r="Q12" i="15"/>
  <c r="Q9" i="15"/>
  <c r="Q15" i="15"/>
  <c r="Q17" i="15"/>
  <c r="Q19" i="15"/>
  <c r="Q25" i="15"/>
  <c r="Q4" i="15"/>
  <c r="Q14" i="15"/>
  <c r="Q26" i="15"/>
  <c r="Q8" i="15"/>
  <c r="Q23" i="15"/>
  <c r="Q24" i="15"/>
  <c r="Q6" i="15"/>
  <c r="Q11" i="15"/>
  <c r="Q10" i="15"/>
  <c r="M4" i="15"/>
  <c r="M8" i="15"/>
  <c r="L14" i="15"/>
  <c r="L18" i="15"/>
  <c r="L22" i="15"/>
  <c r="L26" i="15"/>
  <c r="L7" i="15"/>
  <c r="M14" i="15"/>
  <c r="M18" i="15"/>
  <c r="M22" i="15"/>
  <c r="M26" i="15"/>
  <c r="M7" i="15"/>
  <c r="L13" i="15"/>
  <c r="L17" i="15"/>
  <c r="L21" i="15"/>
  <c r="L25" i="15"/>
  <c r="L12" i="15"/>
  <c r="L20" i="15"/>
  <c r="L24" i="15"/>
  <c r="L6" i="15"/>
  <c r="M10" i="15"/>
  <c r="M13" i="15"/>
  <c r="M17" i="15"/>
  <c r="M21" i="15"/>
  <c r="M25" i="15"/>
  <c r="M6" i="15"/>
  <c r="L16" i="15"/>
  <c r="M11" i="15"/>
  <c r="L15" i="15"/>
  <c r="M5" i="15"/>
  <c r="M20" i="15"/>
  <c r="M24" i="15"/>
  <c r="L4" i="15"/>
  <c r="M12" i="15"/>
  <c r="M15" i="15"/>
  <c r="L19" i="15"/>
  <c r="L5" i="15"/>
  <c r="L8" i="15"/>
  <c r="M16" i="15"/>
  <c r="M19" i="15"/>
  <c r="L23" i="15"/>
  <c r="L9" i="15"/>
  <c r="M23" i="15"/>
  <c r="L11" i="15"/>
  <c r="M9" i="15"/>
  <c r="M3" i="15"/>
  <c r="L10" i="15"/>
  <c r="L3" i="15"/>
  <c r="Q3" i="15"/>
  <c r="I50" i="1"/>
  <c r="E50" i="1"/>
  <c r="D50" i="1"/>
  <c r="H50" i="1"/>
  <c r="F50" i="1"/>
  <c r="J59" i="1"/>
  <c r="J50" i="1" s="1"/>
  <c r="I38" i="1"/>
  <c r="H38" i="1"/>
  <c r="G38" i="1"/>
  <c r="N40" i="13"/>
  <c r="O40" i="13"/>
  <c r="P40" i="13"/>
  <c r="M40" i="13"/>
  <c r="N39" i="13"/>
  <c r="O39" i="13"/>
  <c r="P39" i="13"/>
  <c r="M39" i="13"/>
  <c r="N38" i="13"/>
  <c r="O38" i="13"/>
  <c r="P38" i="13"/>
  <c r="M38" i="13"/>
  <c r="N37" i="13"/>
  <c r="O37" i="13"/>
  <c r="P37" i="13"/>
  <c r="M37" i="13"/>
  <c r="N36" i="13"/>
  <c r="O36" i="13"/>
  <c r="P36" i="13"/>
  <c r="M36" i="13"/>
  <c r="N35" i="13"/>
  <c r="O35" i="13"/>
  <c r="P35" i="13"/>
  <c r="M35" i="13"/>
  <c r="N32" i="13"/>
  <c r="O32" i="13"/>
  <c r="P32" i="13"/>
  <c r="M32" i="13"/>
  <c r="N31" i="13"/>
  <c r="O31" i="13"/>
  <c r="P31" i="13"/>
  <c r="M31" i="13"/>
  <c r="AD12" i="17" l="1"/>
  <c r="AG55" i="1"/>
  <c r="H44" i="17"/>
  <c r="H43" i="17"/>
  <c r="H57" i="17"/>
  <c r="H38" i="17"/>
  <c r="H56" i="17"/>
  <c r="H50" i="17"/>
  <c r="H4" i="17"/>
  <c r="H9" i="17"/>
  <c r="H13" i="17"/>
  <c r="H51" i="17"/>
  <c r="H39" i="17"/>
  <c r="H8" i="17"/>
  <c r="H27" i="17"/>
  <c r="H59" i="17" s="1"/>
  <c r="M27" i="15"/>
  <c r="F37" i="9"/>
  <c r="E20" i="17"/>
  <c r="E52" i="17" s="1"/>
  <c r="G37" i="9"/>
  <c r="F20" i="17"/>
  <c r="F52" i="17" s="1"/>
  <c r="E37" i="9"/>
  <c r="D20" i="17"/>
  <c r="D52" i="17" s="1"/>
  <c r="H37" i="9"/>
  <c r="G20" i="17"/>
  <c r="G52" i="17" s="1"/>
  <c r="L27" i="15"/>
  <c r="J51" i="1"/>
  <c r="K59" i="1"/>
  <c r="J38" i="1"/>
  <c r="N30" i="13"/>
  <c r="O30" i="13"/>
  <c r="P30" i="13"/>
  <c r="M30" i="13"/>
  <c r="N29" i="13"/>
  <c r="O29" i="13"/>
  <c r="P29" i="13"/>
  <c r="M29" i="13"/>
  <c r="M26" i="13"/>
  <c r="N28" i="13"/>
  <c r="O28" i="13"/>
  <c r="P28" i="13"/>
  <c r="M28" i="13"/>
  <c r="N27" i="13"/>
  <c r="O27" i="13"/>
  <c r="P27" i="13"/>
  <c r="M27" i="13"/>
  <c r="N26" i="13"/>
  <c r="O26" i="13"/>
  <c r="P26" i="13"/>
  <c r="N25" i="13"/>
  <c r="O25" i="13"/>
  <c r="P25" i="13"/>
  <c r="M25" i="13"/>
  <c r="N24" i="13"/>
  <c r="O24" i="13"/>
  <c r="P24" i="13"/>
  <c r="N23" i="13"/>
  <c r="O23" i="13"/>
  <c r="P23" i="13"/>
  <c r="M23" i="13"/>
  <c r="N21" i="13"/>
  <c r="O21" i="13"/>
  <c r="P21" i="13"/>
  <c r="M21" i="13"/>
  <c r="N20" i="13"/>
  <c r="O20" i="13"/>
  <c r="P20" i="13"/>
  <c r="M20" i="13"/>
  <c r="N19" i="13"/>
  <c r="O19" i="13"/>
  <c r="P19" i="13"/>
  <c r="M19" i="13"/>
  <c r="N18" i="13"/>
  <c r="O18" i="13"/>
  <c r="P18" i="13"/>
  <c r="M18" i="13"/>
  <c r="N17" i="13"/>
  <c r="O17" i="13"/>
  <c r="P17" i="13"/>
  <c r="M17" i="13"/>
  <c r="M13" i="13"/>
  <c r="N16" i="13"/>
  <c r="O16" i="13"/>
  <c r="P16" i="13"/>
  <c r="M16" i="13"/>
  <c r="N15" i="13"/>
  <c r="O15" i="13"/>
  <c r="P15" i="13"/>
  <c r="M15" i="13"/>
  <c r="N14" i="13"/>
  <c r="O14" i="13"/>
  <c r="P14" i="13"/>
  <c r="M14" i="13"/>
  <c r="N13" i="13"/>
  <c r="O13" i="13"/>
  <c r="P13" i="13"/>
  <c r="P5" i="13"/>
  <c r="O5" i="13"/>
  <c r="N5" i="13"/>
  <c r="M5" i="13"/>
  <c r="P6" i="13"/>
  <c r="O6" i="13"/>
  <c r="N6" i="13"/>
  <c r="M6" i="13"/>
  <c r="P7" i="13"/>
  <c r="O7" i="13"/>
  <c r="N7" i="13"/>
  <c r="M7" i="13"/>
  <c r="P11" i="13"/>
  <c r="O11" i="13"/>
  <c r="N11" i="13"/>
  <c r="M11" i="13"/>
  <c r="P12" i="13"/>
  <c r="O12" i="13"/>
  <c r="N12" i="13"/>
  <c r="M12" i="1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2" i="3"/>
  <c r="AH55" i="1" l="1"/>
  <c r="AE12" i="17"/>
  <c r="I44" i="17"/>
  <c r="I38" i="17"/>
  <c r="I56" i="17"/>
  <c r="I43" i="17"/>
  <c r="I57" i="17"/>
  <c r="I50" i="17"/>
  <c r="I51" i="17"/>
  <c r="I39" i="17"/>
  <c r="H40" i="17"/>
  <c r="I8" i="17"/>
  <c r="H5" i="17"/>
  <c r="H37" i="17" s="1"/>
  <c r="I13" i="17"/>
  <c r="H45" i="17"/>
  <c r="H10" i="17"/>
  <c r="H42" i="17" s="1"/>
  <c r="I9" i="17"/>
  <c r="H41" i="17"/>
  <c r="H36" i="17"/>
  <c r="I4" i="17"/>
  <c r="V1485" i="12"/>
  <c r="W1485" i="12" s="1"/>
  <c r="X1485" i="12" s="1"/>
  <c r="Y1485" i="12" s="1"/>
  <c r="V1264" i="12"/>
  <c r="W1264" i="12" s="1"/>
  <c r="X1264" i="12" s="1"/>
  <c r="Y1264" i="12" s="1"/>
  <c r="H26" i="17"/>
  <c r="H58" i="17" s="1"/>
  <c r="I27" i="17"/>
  <c r="I59" i="17" s="1"/>
  <c r="I37" i="9"/>
  <c r="H20" i="17"/>
  <c r="H52" i="17" s="1"/>
  <c r="K50" i="1"/>
  <c r="K51" i="1" s="1"/>
  <c r="L59" i="1"/>
  <c r="K38" i="1"/>
  <c r="R1128" i="12"/>
  <c r="R1129" i="12"/>
  <c r="R1130" i="12"/>
  <c r="V1130" i="12" s="1"/>
  <c r="W1130" i="12" s="1"/>
  <c r="X1130" i="12" s="1"/>
  <c r="Y1130" i="12" s="1"/>
  <c r="R1131" i="12"/>
  <c r="R1132" i="12"/>
  <c r="R1133" i="12"/>
  <c r="R1134" i="12"/>
  <c r="R1334" i="12"/>
  <c r="R1027" i="12"/>
  <c r="R1035" i="12"/>
  <c r="R1036" i="12"/>
  <c r="R1037" i="12"/>
  <c r="R1038" i="12"/>
  <c r="R1039" i="12"/>
  <c r="R1040" i="12"/>
  <c r="R1041" i="12"/>
  <c r="R1042" i="12"/>
  <c r="R1043" i="12"/>
  <c r="R1044" i="12"/>
  <c r="R1045" i="12"/>
  <c r="V1045" i="12" s="1"/>
  <c r="W1045" i="12" s="1"/>
  <c r="X1045" i="12" s="1"/>
  <c r="Y1045" i="12" s="1"/>
  <c r="R1061" i="12"/>
  <c r="V1061" i="12" s="1"/>
  <c r="W1061" i="12" s="1"/>
  <c r="X1061" i="12" s="1"/>
  <c r="Y1061" i="12" s="1"/>
  <c r="R1384" i="12"/>
  <c r="R1062" i="12"/>
  <c r="V1062" i="12" s="1"/>
  <c r="W1062" i="12" s="1"/>
  <c r="X1062" i="12" s="1"/>
  <c r="Y1062" i="12" s="1"/>
  <c r="R1063" i="12"/>
  <c r="V1063" i="12" s="1"/>
  <c r="W1063" i="12" s="1"/>
  <c r="X1063" i="12" s="1"/>
  <c r="Y1063" i="12" s="1"/>
  <c r="R1064" i="12"/>
  <c r="V1064" i="12" s="1"/>
  <c r="W1064" i="12" s="1"/>
  <c r="X1064" i="12" s="1"/>
  <c r="Y1064" i="12" s="1"/>
  <c r="R1065" i="12"/>
  <c r="V1065" i="12" s="1"/>
  <c r="W1065" i="12" s="1"/>
  <c r="X1065" i="12" s="1"/>
  <c r="Y1065" i="12" s="1"/>
  <c r="R1029" i="12"/>
  <c r="R1031" i="12"/>
  <c r="R1385" i="12"/>
  <c r="R1032" i="12"/>
  <c r="V1032" i="12" s="1"/>
  <c r="W1032" i="12" s="1"/>
  <c r="X1032" i="12" s="1"/>
  <c r="Y1032" i="12" s="1"/>
  <c r="R1169" i="12"/>
  <c r="R1190" i="12"/>
  <c r="R1150" i="12"/>
  <c r="R1204" i="12"/>
  <c r="R1171" i="12"/>
  <c r="V1171" i="12" s="1"/>
  <c r="W1171" i="12" s="1"/>
  <c r="X1171" i="12" s="1"/>
  <c r="Y1171" i="12" s="1"/>
  <c r="R1192" i="12"/>
  <c r="V1192" i="12" s="1"/>
  <c r="W1192" i="12" s="1"/>
  <c r="X1192" i="12" s="1"/>
  <c r="Y1192" i="12" s="1"/>
  <c r="R1152" i="12"/>
  <c r="R1182" i="12"/>
  <c r="R1183" i="12"/>
  <c r="V1183" i="12" s="1"/>
  <c r="W1183" i="12" s="1"/>
  <c r="X1183" i="12" s="1"/>
  <c r="Y1183" i="12" s="1"/>
  <c r="R1206" i="12"/>
  <c r="V1206" i="12" s="1"/>
  <c r="W1206" i="12" s="1"/>
  <c r="X1206" i="12" s="1"/>
  <c r="Y1206" i="12" s="1"/>
  <c r="R1154" i="12"/>
  <c r="R1155" i="12"/>
  <c r="R1174" i="12"/>
  <c r="R1195" i="12"/>
  <c r="V1195" i="12" s="1"/>
  <c r="W1195" i="12" s="1"/>
  <c r="X1195" i="12" s="1"/>
  <c r="Y1195" i="12" s="1"/>
  <c r="R1157" i="12"/>
  <c r="V1157" i="12" s="1"/>
  <c r="W1157" i="12" s="1"/>
  <c r="X1157" i="12" s="1"/>
  <c r="Y1157" i="12" s="1"/>
  <c r="R1184" i="12"/>
  <c r="V1184" i="12" s="1"/>
  <c r="W1184" i="12" s="1"/>
  <c r="X1184" i="12" s="1"/>
  <c r="Y1184" i="12" s="1"/>
  <c r="R1196" i="12"/>
  <c r="R1176" i="12"/>
  <c r="R1159" i="12"/>
  <c r="R1207" i="12"/>
  <c r="V1207" i="12" s="1"/>
  <c r="W1207" i="12" s="1"/>
  <c r="X1207" i="12" s="1"/>
  <c r="Y1207" i="12" s="1"/>
  <c r="R1161" i="12"/>
  <c r="V1161" i="12" s="1"/>
  <c r="W1161" i="12" s="1"/>
  <c r="X1161" i="12" s="1"/>
  <c r="Y1161" i="12" s="1"/>
  <c r="R1162" i="12"/>
  <c r="V1162" i="12" s="1"/>
  <c r="W1162" i="12" s="1"/>
  <c r="X1162" i="12" s="1"/>
  <c r="Y1162" i="12" s="1"/>
  <c r="R1163" i="12"/>
  <c r="R1198" i="12"/>
  <c r="R1209" i="12"/>
  <c r="V1209" i="12" s="1"/>
  <c r="W1209" i="12" s="1"/>
  <c r="X1209" i="12" s="1"/>
  <c r="Y1209" i="12" s="1"/>
  <c r="R1186" i="12"/>
  <c r="V1186" i="12" s="1"/>
  <c r="W1186" i="12" s="1"/>
  <c r="X1186" i="12" s="1"/>
  <c r="Y1186" i="12" s="1"/>
  <c r="R1178" i="12"/>
  <c r="V1178" i="12" s="1"/>
  <c r="W1178" i="12" s="1"/>
  <c r="X1178" i="12" s="1"/>
  <c r="Y1178" i="12" s="1"/>
  <c r="R1165" i="12"/>
  <c r="V1165" i="12" s="1"/>
  <c r="W1165" i="12" s="1"/>
  <c r="X1165" i="12" s="1"/>
  <c r="Y1165" i="12" s="1"/>
  <c r="R1200" i="12"/>
  <c r="R1211" i="12"/>
  <c r="R1187" i="12"/>
  <c r="V1187" i="12" s="1"/>
  <c r="W1187" i="12" s="1"/>
  <c r="X1187" i="12" s="1"/>
  <c r="Y1187" i="12" s="1"/>
  <c r="R1297" i="12"/>
  <c r="R1298" i="12"/>
  <c r="V1298" i="12" s="1"/>
  <c r="W1298" i="12" s="1"/>
  <c r="X1298" i="12" s="1"/>
  <c r="Y1298" i="12" s="1"/>
  <c r="R1135" i="12"/>
  <c r="R1068" i="12"/>
  <c r="R1299" i="12"/>
  <c r="V1299" i="12" s="1"/>
  <c r="W1299" i="12" s="1"/>
  <c r="X1299" i="12" s="1"/>
  <c r="Y1299" i="12" s="1"/>
  <c r="R1115" i="12"/>
  <c r="R1116" i="12"/>
  <c r="R1120" i="12"/>
  <c r="R1121" i="12"/>
  <c r="V1121" i="12" s="1"/>
  <c r="W1121" i="12" s="1"/>
  <c r="X1121" i="12" s="1"/>
  <c r="Y1121" i="12" s="1"/>
  <c r="R1122" i="12"/>
  <c r="V1122" i="12" s="1"/>
  <c r="W1122" i="12" s="1"/>
  <c r="X1122" i="12" s="1"/>
  <c r="Y1122" i="12" s="1"/>
  <c r="R1387" i="12"/>
  <c r="V1387" i="12" s="1"/>
  <c r="W1387" i="12" s="1"/>
  <c r="X1387" i="12" s="1"/>
  <c r="Y1387" i="12" s="1"/>
  <c r="R1123" i="12"/>
  <c r="R1388" i="12"/>
  <c r="R1389" i="12"/>
  <c r="R1301" i="12"/>
  <c r="R1390" i="12"/>
  <c r="V1390" i="12" s="1"/>
  <c r="W1390" i="12" s="1"/>
  <c r="X1390" i="12" s="1"/>
  <c r="Y1390" i="12" s="1"/>
  <c r="R1401" i="12"/>
  <c r="R1393" i="12"/>
  <c r="R1394" i="12"/>
  <c r="V1394" i="12" s="1"/>
  <c r="W1394" i="12" s="1"/>
  <c r="X1394" i="12" s="1"/>
  <c r="Y1394" i="12" s="1"/>
  <c r="R1072" i="12"/>
  <c r="V1072" i="12" s="1"/>
  <c r="W1072" i="12" s="1"/>
  <c r="X1072" i="12" s="1"/>
  <c r="Y1072" i="12" s="1"/>
  <c r="R1395" i="12"/>
  <c r="V1395" i="12" s="1"/>
  <c r="W1395" i="12" s="1"/>
  <c r="X1395" i="12" s="1"/>
  <c r="Y1395" i="12" s="1"/>
  <c r="R1073" i="12"/>
  <c r="V1073" i="12" s="1"/>
  <c r="W1073" i="12" s="1"/>
  <c r="X1073" i="12" s="1"/>
  <c r="Y1073" i="12" s="1"/>
  <c r="R1532" i="12"/>
  <c r="R1547" i="12"/>
  <c r="R1382" i="12"/>
  <c r="R1535" i="12"/>
  <c r="R1103" i="12"/>
  <c r="R1106" i="12"/>
  <c r="V1106" i="12" s="1"/>
  <c r="W1106" i="12" s="1"/>
  <c r="X1106" i="12" s="1"/>
  <c r="Y1106" i="12" s="1"/>
  <c r="R1107" i="12"/>
  <c r="R1108" i="12"/>
  <c r="R1305" i="12"/>
  <c r="R1261" i="12"/>
  <c r="R1047" i="12"/>
  <c r="R1317" i="12"/>
  <c r="R1049" i="12"/>
  <c r="V1049" i="12" s="1"/>
  <c r="W1049" i="12" s="1"/>
  <c r="X1049" i="12" s="1"/>
  <c r="Y1049" i="12" s="1"/>
  <c r="R1316" i="12"/>
  <c r="R999" i="12"/>
  <c r="R1408" i="12"/>
  <c r="V1408" i="12" s="1"/>
  <c r="W1408" i="12" s="1"/>
  <c r="X1408" i="12" s="1"/>
  <c r="Y1408" i="12" s="1"/>
  <c r="R1413" i="12"/>
  <c r="R1427" i="12"/>
  <c r="R1433" i="12"/>
  <c r="V1433" i="12" s="1"/>
  <c r="W1433" i="12" s="1"/>
  <c r="X1433" i="12" s="1"/>
  <c r="Y1433" i="12" s="1"/>
  <c r="R1439" i="12"/>
  <c r="V1439" i="12" s="1"/>
  <c r="W1439" i="12" s="1"/>
  <c r="X1439" i="12" s="1"/>
  <c r="Y1439" i="12" s="1"/>
  <c r="R1451" i="12"/>
  <c r="R1287" i="12"/>
  <c r="R1231" i="12"/>
  <c r="V1231" i="12" s="1"/>
  <c r="W1231" i="12" s="1"/>
  <c r="X1231" i="12" s="1"/>
  <c r="Y1231" i="12" s="1"/>
  <c r="R1226" i="12"/>
  <c r="R1227" i="12"/>
  <c r="R1243" i="12"/>
  <c r="V1243" i="12" s="1"/>
  <c r="W1243" i="12" s="1"/>
  <c r="X1243" i="12" s="1"/>
  <c r="Y1243" i="12" s="1"/>
  <c r="R1244" i="12"/>
  <c r="V1244" i="12" s="1"/>
  <c r="W1244" i="12" s="1"/>
  <c r="X1244" i="12" s="1"/>
  <c r="Y1244" i="12" s="1"/>
  <c r="R1246" i="12"/>
  <c r="R1247" i="12"/>
  <c r="R1484" i="12"/>
  <c r="R1267" i="12"/>
  <c r="R1292" i="12"/>
  <c r="R1101" i="12"/>
  <c r="R1096" i="12"/>
  <c r="V1096" i="12" s="1"/>
  <c r="W1096" i="12" s="1"/>
  <c r="X1096" i="12" s="1"/>
  <c r="Y1096" i="12" s="1"/>
  <c r="R1097" i="12"/>
  <c r="R1098" i="12"/>
  <c r="V1098" i="12" s="1"/>
  <c r="W1098" i="12" s="1"/>
  <c r="X1098" i="12" s="1"/>
  <c r="Y1098" i="12" s="1"/>
  <c r="R1099" i="12"/>
  <c r="V1099" i="12" s="1"/>
  <c r="W1099" i="12" s="1"/>
  <c r="X1099" i="12" s="1"/>
  <c r="Y1099" i="12" s="1"/>
  <c r="R1487" i="12"/>
  <c r="V1487" i="12" s="1"/>
  <c r="W1487" i="12" s="1"/>
  <c r="X1487" i="12" s="1"/>
  <c r="Y1487" i="12" s="1"/>
  <c r="R1100" i="12"/>
  <c r="V1100" i="12" s="1"/>
  <c r="W1100" i="12" s="1"/>
  <c r="X1100" i="12" s="1"/>
  <c r="Y1100" i="12" s="1"/>
  <c r="R1488" i="12"/>
  <c r="R1375" i="12"/>
  <c r="R1511" i="12"/>
  <c r="R1520" i="12"/>
  <c r="R1545" i="12"/>
  <c r="R1522" i="12"/>
  <c r="R463" i="12"/>
  <c r="AI55" i="1" l="1"/>
  <c r="AF12" i="17"/>
  <c r="J9" i="17"/>
  <c r="I41" i="17"/>
  <c r="H3" i="17"/>
  <c r="H35" i="17" s="1"/>
  <c r="J13" i="17"/>
  <c r="I45" i="17"/>
  <c r="I10" i="17"/>
  <c r="I42" i="17" s="1"/>
  <c r="I36" i="17"/>
  <c r="J4" i="17"/>
  <c r="J44" i="17"/>
  <c r="J38" i="17"/>
  <c r="J57" i="17"/>
  <c r="J50" i="17"/>
  <c r="J56" i="17"/>
  <c r="J43" i="17"/>
  <c r="J51" i="17"/>
  <c r="J39" i="17"/>
  <c r="J8" i="17"/>
  <c r="I40" i="17"/>
  <c r="I5" i="17"/>
  <c r="I37" i="17" s="1"/>
  <c r="J27" i="17"/>
  <c r="J59" i="17" s="1"/>
  <c r="I26" i="17"/>
  <c r="I58" i="17" s="1"/>
  <c r="J37" i="9"/>
  <c r="I20" i="17"/>
  <c r="I52" i="17" s="1"/>
  <c r="R1343" i="12"/>
  <c r="V1247" i="12"/>
  <c r="W1247" i="12" s="1"/>
  <c r="X1247" i="12" s="1"/>
  <c r="Y1247" i="12" s="1"/>
  <c r="R1476" i="12"/>
  <c r="R429" i="12"/>
  <c r="V429" i="12" s="1"/>
  <c r="W429" i="12" s="1"/>
  <c r="X429" i="12" s="1"/>
  <c r="Y429" i="12" s="1"/>
  <c r="R1430" i="12"/>
  <c r="V1430" i="12" s="1"/>
  <c r="W1430" i="12" s="1"/>
  <c r="X1430" i="12" s="1"/>
  <c r="Y1430" i="12" s="1"/>
  <c r="R387" i="12"/>
  <c r="R1533" i="12"/>
  <c r="R1193" i="12"/>
  <c r="V1193" i="12" s="1"/>
  <c r="W1193" i="12" s="1"/>
  <c r="X1193" i="12" s="1"/>
  <c r="Y1193" i="12" s="1"/>
  <c r="R1153" i="12"/>
  <c r="V1153" i="12" s="1"/>
  <c r="W1153" i="12" s="1"/>
  <c r="X1153" i="12" s="1"/>
  <c r="Y1153" i="12" s="1"/>
  <c r="R1205" i="12"/>
  <c r="V1205" i="12" s="1"/>
  <c r="W1205" i="12" s="1"/>
  <c r="X1205" i="12" s="1"/>
  <c r="Y1205" i="12" s="1"/>
  <c r="R1361" i="12"/>
  <c r="R1172" i="12"/>
  <c r="V1133" i="12"/>
  <c r="Y1133" i="12"/>
  <c r="X1133" i="12"/>
  <c r="W1133" i="12"/>
  <c r="R1336" i="12"/>
  <c r="R1352" i="12"/>
  <c r="R356" i="12"/>
  <c r="R1517" i="12"/>
  <c r="R457" i="12"/>
  <c r="R1510" i="12"/>
  <c r="R451" i="12"/>
  <c r="R1503" i="12"/>
  <c r="R444" i="12"/>
  <c r="R1529" i="12"/>
  <c r="R465" i="12"/>
  <c r="R1094" i="12"/>
  <c r="V1094" i="12" s="1"/>
  <c r="W1094" i="12" s="1"/>
  <c r="X1094" i="12" s="1"/>
  <c r="Y1094" i="12" s="1"/>
  <c r="R310" i="12"/>
  <c r="V1267" i="12"/>
  <c r="W1267" i="12" s="1"/>
  <c r="R1085" i="12"/>
  <c r="V1085" i="12" s="1"/>
  <c r="W1085" i="12" s="1"/>
  <c r="X1085" i="12" s="1"/>
  <c r="Y1085" i="12" s="1"/>
  <c r="R1078" i="12"/>
  <c r="V1078" i="12" s="1"/>
  <c r="W1078" i="12" s="1"/>
  <c r="X1078" i="12" s="1"/>
  <c r="Y1078" i="12" s="1"/>
  <c r="R307" i="12"/>
  <c r="R301" i="12"/>
  <c r="V301" i="12" s="1"/>
  <c r="W301" i="12" s="1"/>
  <c r="X301" i="12" s="1"/>
  <c r="Y301" i="12" s="1"/>
  <c r="V1246" i="12"/>
  <c r="W1246" i="12" s="1"/>
  <c r="X1246" i="12" s="1"/>
  <c r="Y1246" i="12" s="1"/>
  <c r="R1240" i="12"/>
  <c r="R1232" i="12"/>
  <c r="V1232" i="12" s="1"/>
  <c r="W1232" i="12" s="1"/>
  <c r="X1232" i="12" s="1"/>
  <c r="Y1232" i="12" s="1"/>
  <c r="R317" i="12"/>
  <c r="V317" i="12" s="1"/>
  <c r="W317" i="12" s="1"/>
  <c r="X317" i="12" s="1"/>
  <c r="Y317" i="12" s="1"/>
  <c r="R1217" i="12"/>
  <c r="V1217" i="12" s="1"/>
  <c r="W1217" i="12" s="1"/>
  <c r="X1217" i="12" s="1"/>
  <c r="Y1217" i="12" s="1"/>
  <c r="R1252" i="12"/>
  <c r="R1021" i="12"/>
  <c r="V1021" i="12" s="1"/>
  <c r="W1021" i="12" s="1"/>
  <c r="X1021" i="12" s="1"/>
  <c r="Y1021" i="12" s="1"/>
  <c r="R333" i="12"/>
  <c r="V333" i="12" s="1"/>
  <c r="W333" i="12" s="1"/>
  <c r="X333" i="12" s="1"/>
  <c r="Y333" i="12" s="1"/>
  <c r="R291" i="12"/>
  <c r="R1283" i="12"/>
  <c r="V1283" i="12" s="1"/>
  <c r="W1283" i="12" s="1"/>
  <c r="X1283" i="12" s="1"/>
  <c r="Y1283" i="12" s="1"/>
  <c r="R348" i="12"/>
  <c r="V348" i="12" s="1"/>
  <c r="W348" i="12" s="1"/>
  <c r="X348" i="12" s="1"/>
  <c r="Y348" i="12" s="1"/>
  <c r="R433" i="12"/>
  <c r="V433" i="12" s="1"/>
  <c r="W433" i="12" s="1"/>
  <c r="X433" i="12" s="1"/>
  <c r="Y433" i="12" s="1"/>
  <c r="R1480" i="12"/>
  <c r="V1480" i="12" s="1"/>
  <c r="W1480" i="12" s="1"/>
  <c r="X1480" i="12" s="1"/>
  <c r="Y1480" i="12" s="1"/>
  <c r="R1250" i="12"/>
  <c r="R1025" i="12"/>
  <c r="V1025" i="12" s="1"/>
  <c r="W1025" i="12" s="1"/>
  <c r="X1025" i="12" s="1"/>
  <c r="Y1025" i="12" s="1"/>
  <c r="R1019" i="12"/>
  <c r="R289" i="12"/>
  <c r="R1215" i="12"/>
  <c r="R331" i="12"/>
  <c r="R1466" i="12"/>
  <c r="R1460" i="12"/>
  <c r="R1276" i="12"/>
  <c r="R414" i="12"/>
  <c r="V414" i="12" s="1"/>
  <c r="W414" i="12" s="1"/>
  <c r="X414" i="12" s="1"/>
  <c r="Y414" i="12" s="1"/>
  <c r="R1452" i="12"/>
  <c r="R1444" i="12"/>
  <c r="R399" i="12"/>
  <c r="R1436" i="12"/>
  <c r="R392" i="12"/>
  <c r="V392" i="12" s="1"/>
  <c r="W392" i="12" s="1"/>
  <c r="X392" i="12" s="1"/>
  <c r="Y392" i="12" s="1"/>
  <c r="R1422" i="12"/>
  <c r="V1422" i="12" s="1"/>
  <c r="W1422" i="12" s="1"/>
  <c r="X1422" i="12" s="1"/>
  <c r="Y1422" i="12" s="1"/>
  <c r="R380" i="12"/>
  <c r="V380" i="12" s="1"/>
  <c r="W380" i="12" s="1"/>
  <c r="X380" i="12" s="1"/>
  <c r="Y380" i="12" s="1"/>
  <c r="R1414" i="12"/>
  <c r="V1414" i="12" s="1"/>
  <c r="W1414" i="12" s="1"/>
  <c r="X1414" i="12" s="1"/>
  <c r="Y1414" i="12" s="1"/>
  <c r="R372" i="12"/>
  <c r="V372" i="12" s="1"/>
  <c r="W372" i="12" s="1"/>
  <c r="X372" i="12" s="1"/>
  <c r="Y372" i="12" s="1"/>
  <c r="R1406" i="12"/>
  <c r="V1406" i="12" s="1"/>
  <c r="W1406" i="12" s="1"/>
  <c r="X1406" i="12" s="1"/>
  <c r="Y1406" i="12" s="1"/>
  <c r="R986" i="12"/>
  <c r="V986" i="12" s="1"/>
  <c r="W986" i="12" s="1"/>
  <c r="X986" i="12" s="1"/>
  <c r="Y986" i="12" s="1"/>
  <c r="R366" i="12"/>
  <c r="V366" i="12" s="1"/>
  <c r="W366" i="12" s="1"/>
  <c r="X366" i="12" s="1"/>
  <c r="Y366" i="12" s="1"/>
  <c r="R261" i="12"/>
  <c r="V261" i="12" s="1"/>
  <c r="W261" i="12" s="1"/>
  <c r="X261" i="12" s="1"/>
  <c r="Y261" i="12" s="1"/>
  <c r="R1013" i="12"/>
  <c r="V1013" i="12" s="1"/>
  <c r="W1013" i="12" s="1"/>
  <c r="X1013" i="12" s="1"/>
  <c r="Y1013" i="12" s="1"/>
  <c r="R284" i="12"/>
  <c r="V284" i="12" s="1"/>
  <c r="W284" i="12" s="1"/>
  <c r="X284" i="12" s="1"/>
  <c r="Y284" i="12" s="1"/>
  <c r="R1006" i="12"/>
  <c r="V1006" i="12" s="1"/>
  <c r="W1006" i="12" s="1"/>
  <c r="X1006" i="12" s="1"/>
  <c r="Y1006" i="12" s="1"/>
  <c r="R277" i="12"/>
  <c r="V277" i="12" s="1"/>
  <c r="W277" i="12" s="1"/>
  <c r="X277" i="12" s="1"/>
  <c r="Y277" i="12" s="1"/>
  <c r="V999" i="12"/>
  <c r="W999" i="12" s="1"/>
  <c r="X999" i="12" s="1"/>
  <c r="Y999" i="12" s="1"/>
  <c r="R1326" i="12"/>
  <c r="V1326" i="12" s="1"/>
  <c r="W1326" i="12" s="1"/>
  <c r="X1326" i="12" s="1"/>
  <c r="Y1326" i="12" s="1"/>
  <c r="R975" i="12"/>
  <c r="R251" i="12"/>
  <c r="R1273" i="12"/>
  <c r="R1367" i="12"/>
  <c r="V1316" i="12"/>
  <c r="W1316" i="12" s="1"/>
  <c r="X1316" i="12" s="1"/>
  <c r="Y1316" i="12" s="1"/>
  <c r="R1314" i="12"/>
  <c r="R1526" i="12"/>
  <c r="V1526" i="12" s="1"/>
  <c r="W1526" i="12" s="1"/>
  <c r="X1526" i="12" s="1"/>
  <c r="Y1526" i="12" s="1"/>
  <c r="R1310" i="12"/>
  <c r="V1310" i="12" s="1"/>
  <c r="R1397" i="12"/>
  <c r="R1349" i="12"/>
  <c r="R1399" i="12"/>
  <c r="R996" i="12"/>
  <c r="R1489" i="12"/>
  <c r="V1489" i="12" s="1"/>
  <c r="W1489" i="12" s="1"/>
  <c r="X1489" i="12" s="1"/>
  <c r="Y1489" i="12" s="1"/>
  <c r="R1306" i="12"/>
  <c r="V1306" i="12" s="1"/>
  <c r="W1306" i="12" s="1"/>
  <c r="X1306" i="12" s="1"/>
  <c r="Y1306" i="12" s="1"/>
  <c r="R1304" i="12"/>
  <c r="V1304" i="12" s="1"/>
  <c r="W1304" i="12" s="1"/>
  <c r="X1304" i="12" s="1"/>
  <c r="Y1304" i="12" s="1"/>
  <c r="V1388" i="12"/>
  <c r="W1388" i="12" s="1"/>
  <c r="X1388" i="12" s="1"/>
  <c r="Y1388" i="12" s="1"/>
  <c r="V1211" i="12"/>
  <c r="W1211" i="12" s="1"/>
  <c r="X1211" i="12" s="1"/>
  <c r="Y1211" i="12" s="1"/>
  <c r="V1198" i="12"/>
  <c r="W1198" i="12" s="1"/>
  <c r="X1198" i="12" s="1"/>
  <c r="Y1198" i="12" s="1"/>
  <c r="V1159" i="12"/>
  <c r="W1159" i="12" s="1"/>
  <c r="X1159" i="12" s="1"/>
  <c r="Y1159" i="12" s="1"/>
  <c r="V1150" i="12"/>
  <c r="V1029" i="12"/>
  <c r="V1028" i="12" s="1"/>
  <c r="R1142" i="12"/>
  <c r="V1142" i="12" s="1"/>
  <c r="W1142" i="12" s="1"/>
  <c r="X1142" i="12" s="1"/>
  <c r="Y1142" i="12" s="1"/>
  <c r="R1059" i="12"/>
  <c r="V1036" i="12"/>
  <c r="X1036" i="12"/>
  <c r="Y1036" i="12"/>
  <c r="W1036" i="12"/>
  <c r="V1334" i="12"/>
  <c r="V1333" i="12" s="1"/>
  <c r="Y1132" i="12"/>
  <c r="X1132" i="12"/>
  <c r="W1132" i="12"/>
  <c r="V1132" i="12"/>
  <c r="R1268" i="12"/>
  <c r="R1445" i="12"/>
  <c r="V966" i="12"/>
  <c r="W966" i="12" s="1"/>
  <c r="X966" i="12" s="1"/>
  <c r="Y966" i="12" s="1"/>
  <c r="R400" i="12"/>
  <c r="V400" i="12" s="1"/>
  <c r="W400" i="12" s="1"/>
  <c r="X400" i="12" s="1"/>
  <c r="Y400" i="12" s="1"/>
  <c r="R1007" i="12"/>
  <c r="V1007" i="12" s="1"/>
  <c r="W1007" i="12" s="1"/>
  <c r="X1007" i="12" s="1"/>
  <c r="Y1007" i="12" s="1"/>
  <c r="R278" i="12"/>
  <c r="V278" i="12" s="1"/>
  <c r="W278" i="12" s="1"/>
  <c r="X278" i="12" s="1"/>
  <c r="Y278" i="12" s="1"/>
  <c r="V1107" i="12"/>
  <c r="W1107" i="12" s="1"/>
  <c r="X1107" i="12" s="1"/>
  <c r="Y1107" i="12" s="1"/>
  <c r="V1043" i="12"/>
  <c r="W1043" i="12" s="1"/>
  <c r="X1043" i="12" s="1"/>
  <c r="Y1043" i="12" s="1"/>
  <c r="R1342" i="12"/>
  <c r="V1545" i="12"/>
  <c r="V1544" i="12" s="1"/>
  <c r="R1516" i="12"/>
  <c r="R456" i="12"/>
  <c r="R1509" i="12"/>
  <c r="R450" i="12"/>
  <c r="R1502" i="12"/>
  <c r="R443" i="12"/>
  <c r="R1093" i="12"/>
  <c r="V1093" i="12" s="1"/>
  <c r="W1093" i="12" s="1"/>
  <c r="X1093" i="12" s="1"/>
  <c r="Y1093" i="12" s="1"/>
  <c r="R1077" i="12"/>
  <c r="V1077" i="12" s="1"/>
  <c r="W1077" i="12" s="1"/>
  <c r="X1077" i="12" s="1"/>
  <c r="Y1077" i="12" s="1"/>
  <c r="R1084" i="12"/>
  <c r="R300" i="12"/>
  <c r="V300" i="12" s="1"/>
  <c r="W300" i="12" s="1"/>
  <c r="X300" i="12" s="1"/>
  <c r="Y300" i="12" s="1"/>
  <c r="R306" i="12"/>
  <c r="R1245" i="12"/>
  <c r="V1245" i="12" s="1"/>
  <c r="W1245" i="12" s="1"/>
  <c r="X1245" i="12" s="1"/>
  <c r="Y1245" i="12" s="1"/>
  <c r="R328" i="12"/>
  <c r="V328" i="12" s="1"/>
  <c r="W328" i="12" s="1"/>
  <c r="X328" i="12" s="1"/>
  <c r="Y328" i="12" s="1"/>
  <c r="R1239" i="12"/>
  <c r="R324" i="12"/>
  <c r="V324" i="12" s="1"/>
  <c r="W324" i="12" s="1"/>
  <c r="X324" i="12" s="1"/>
  <c r="Y324" i="12" s="1"/>
  <c r="V1226" i="12"/>
  <c r="Y1226" i="12"/>
  <c r="X1226" i="12"/>
  <c r="W1226" i="12"/>
  <c r="R1020" i="12"/>
  <c r="V1020" i="12" s="1"/>
  <c r="W1020" i="12" s="1"/>
  <c r="X1020" i="12" s="1"/>
  <c r="Y1020" i="12" s="1"/>
  <c r="R1251" i="12"/>
  <c r="R1216" i="12"/>
  <c r="R332" i="12"/>
  <c r="V332" i="12" s="1"/>
  <c r="W332" i="12" s="1"/>
  <c r="X332" i="12" s="1"/>
  <c r="Y332" i="12" s="1"/>
  <c r="R290" i="12"/>
  <c r="R1282" i="12"/>
  <c r="V1282" i="12" s="1"/>
  <c r="W1282" i="12" s="1"/>
  <c r="X1282" i="12" s="1"/>
  <c r="Y1282" i="12" s="1"/>
  <c r="R347" i="12"/>
  <c r="V347" i="12" s="1"/>
  <c r="W347" i="12" s="1"/>
  <c r="X347" i="12" s="1"/>
  <c r="Y347" i="12" s="1"/>
  <c r="R1277" i="12"/>
  <c r="R342" i="12"/>
  <c r="R1475" i="12"/>
  <c r="R1052" i="12"/>
  <c r="V1052" i="12" s="1"/>
  <c r="W1052" i="12" s="1"/>
  <c r="X1052" i="12" s="1"/>
  <c r="Y1052" i="12" s="1"/>
  <c r="R295" i="12"/>
  <c r="R1259" i="12"/>
  <c r="R338" i="12"/>
  <c r="R264" i="12"/>
  <c r="V264" i="12" s="1"/>
  <c r="W264" i="12" s="1"/>
  <c r="X264" i="12" s="1"/>
  <c r="Y264" i="12" s="1"/>
  <c r="R989" i="12"/>
  <c r="V989" i="12" s="1"/>
  <c r="W989" i="12" s="1"/>
  <c r="X989" i="12" s="1"/>
  <c r="Y989" i="12" s="1"/>
  <c r="R1459" i="12"/>
  <c r="V1459" i="12" s="1"/>
  <c r="W1459" i="12" s="1"/>
  <c r="X1459" i="12" s="1"/>
  <c r="Y1459" i="12" s="1"/>
  <c r="R413" i="12"/>
  <c r="V413" i="12" s="1"/>
  <c r="W413" i="12" s="1"/>
  <c r="X413" i="12" s="1"/>
  <c r="Y413" i="12" s="1"/>
  <c r="V1451" i="12"/>
  <c r="W1451" i="12" s="1"/>
  <c r="X1451" i="12" s="1"/>
  <c r="Y1451" i="12" s="1"/>
  <c r="R1443" i="12"/>
  <c r="V1443" i="12" s="1"/>
  <c r="W1443" i="12" s="1"/>
  <c r="X1443" i="12" s="1"/>
  <c r="Y1443" i="12" s="1"/>
  <c r="R398" i="12"/>
  <c r="V398" i="12" s="1"/>
  <c r="W398" i="12" s="1"/>
  <c r="X398" i="12" s="1"/>
  <c r="Y398" i="12" s="1"/>
  <c r="R1258" i="12"/>
  <c r="R337" i="12"/>
  <c r="R386" i="12"/>
  <c r="R1429" i="12"/>
  <c r="V1429" i="12" s="1"/>
  <c r="W1429" i="12" s="1"/>
  <c r="X1429" i="12" s="1"/>
  <c r="Y1429" i="12" s="1"/>
  <c r="R1421" i="12"/>
  <c r="R379" i="12"/>
  <c r="V379" i="12" s="1"/>
  <c r="W379" i="12" s="1"/>
  <c r="X379" i="12" s="1"/>
  <c r="Y379" i="12" s="1"/>
  <c r="V1413" i="12"/>
  <c r="W1413" i="12" s="1"/>
  <c r="X1413" i="12" s="1"/>
  <c r="Y1413" i="12" s="1"/>
  <c r="R1405" i="12"/>
  <c r="R985" i="12"/>
  <c r="R260" i="12"/>
  <c r="V260" i="12" s="1"/>
  <c r="W260" i="12" s="1"/>
  <c r="X260" i="12" s="1"/>
  <c r="Y260" i="12" s="1"/>
  <c r="R365" i="12"/>
  <c r="V365" i="12" s="1"/>
  <c r="W365" i="12" s="1"/>
  <c r="X365" i="12" s="1"/>
  <c r="Y365" i="12" s="1"/>
  <c r="R1012" i="12"/>
  <c r="R283" i="12"/>
  <c r="V283" i="12" s="1"/>
  <c r="W283" i="12" s="1"/>
  <c r="X283" i="12" s="1"/>
  <c r="Y283" i="12" s="1"/>
  <c r="R1005" i="12"/>
  <c r="V1005" i="12" s="1"/>
  <c r="W1005" i="12" s="1"/>
  <c r="X1005" i="12" s="1"/>
  <c r="Y1005" i="12" s="1"/>
  <c r="R276" i="12"/>
  <c r="V276" i="12" s="1"/>
  <c r="W276" i="12" s="1"/>
  <c r="X276" i="12" s="1"/>
  <c r="Y276" i="12" s="1"/>
  <c r="R982" i="12"/>
  <c r="V982" i="12" s="1"/>
  <c r="W982" i="12" s="1"/>
  <c r="X982" i="12" s="1"/>
  <c r="Y982" i="12" s="1"/>
  <c r="R258" i="12"/>
  <c r="R1272" i="12"/>
  <c r="R1366" i="12"/>
  <c r="V1366" i="12" s="1"/>
  <c r="W1366" i="12" s="1"/>
  <c r="X1366" i="12" s="1"/>
  <c r="Y1366" i="12" s="1"/>
  <c r="R1105" i="12"/>
  <c r="V1105" i="12" s="1"/>
  <c r="W1105" i="12" s="1"/>
  <c r="X1105" i="12" s="1"/>
  <c r="Y1105" i="12" s="1"/>
  <c r="V1382" i="12"/>
  <c r="V1381" i="12" s="1"/>
  <c r="R1303" i="12"/>
  <c r="V1303" i="12" s="1"/>
  <c r="W1303" i="12" s="1"/>
  <c r="X1303" i="12" s="1"/>
  <c r="Y1303" i="12" s="1"/>
  <c r="V1120" i="12"/>
  <c r="W1120" i="12" s="1"/>
  <c r="V1200" i="12"/>
  <c r="W1200" i="12" s="1"/>
  <c r="X1200" i="12" s="1"/>
  <c r="Y1200" i="12" s="1"/>
  <c r="V1163" i="12"/>
  <c r="W1163" i="12" s="1"/>
  <c r="X1163" i="12" s="1"/>
  <c r="Y1163" i="12" s="1"/>
  <c r="V1176" i="12"/>
  <c r="W1176" i="12" s="1"/>
  <c r="X1176" i="12" s="1"/>
  <c r="Y1176" i="12" s="1"/>
  <c r="V1182" i="12"/>
  <c r="Y1190" i="12"/>
  <c r="X1190" i="12"/>
  <c r="V1190" i="12"/>
  <c r="W1190" i="12"/>
  <c r="V1035" i="12"/>
  <c r="Y1035" i="12"/>
  <c r="X1035" i="12"/>
  <c r="W1035" i="12"/>
  <c r="R1140" i="12"/>
  <c r="R1058" i="12"/>
  <c r="V1058" i="12" s="1"/>
  <c r="W1058" i="12" s="1"/>
  <c r="X1058" i="12" s="1"/>
  <c r="Y1058" i="12" s="1"/>
  <c r="R1337" i="12"/>
  <c r="R357" i="12"/>
  <c r="R1530" i="12"/>
  <c r="R1241" i="12"/>
  <c r="V1241" i="12" s="1"/>
  <c r="W1241" i="12" s="1"/>
  <c r="X1241" i="12" s="1"/>
  <c r="Y1241" i="12" s="1"/>
  <c r="R326" i="12"/>
  <c r="V326" i="12" s="1"/>
  <c r="W326" i="12" s="1"/>
  <c r="X326" i="12" s="1"/>
  <c r="Y326" i="12" s="1"/>
  <c r="R1470" i="12"/>
  <c r="V1470" i="12" s="1"/>
  <c r="W1470" i="12" s="1"/>
  <c r="X1470" i="12" s="1"/>
  <c r="Y1470" i="12" s="1"/>
  <c r="R424" i="12"/>
  <c r="V424" i="12" s="1"/>
  <c r="W424" i="12" s="1"/>
  <c r="X424" i="12" s="1"/>
  <c r="Y424" i="12" s="1"/>
  <c r="R1415" i="12"/>
  <c r="V1415" i="12" s="1"/>
  <c r="W1415" i="12" s="1"/>
  <c r="X1415" i="12" s="1"/>
  <c r="Y1415" i="12" s="1"/>
  <c r="R373" i="12"/>
  <c r="V373" i="12" s="1"/>
  <c r="W373" i="12" s="1"/>
  <c r="X373" i="12" s="1"/>
  <c r="Y373" i="12" s="1"/>
  <c r="R1356" i="12"/>
  <c r="R1341" i="12"/>
  <c r="R1549" i="12"/>
  <c r="R471" i="12"/>
  <c r="R1515" i="12"/>
  <c r="R455" i="12"/>
  <c r="R1508" i="12"/>
  <c r="R449" i="12"/>
  <c r="R1501" i="12"/>
  <c r="R442" i="12"/>
  <c r="V1097" i="12"/>
  <c r="W1097" i="12" s="1"/>
  <c r="X1097" i="12" s="1"/>
  <c r="Y1097" i="12" s="1"/>
  <c r="R1076" i="12"/>
  <c r="R1238" i="12"/>
  <c r="V1238" i="12" s="1"/>
  <c r="W1238" i="12" s="1"/>
  <c r="X1238" i="12" s="1"/>
  <c r="Y1238" i="12" s="1"/>
  <c r="R323" i="12"/>
  <c r="R1288" i="12"/>
  <c r="V1288" i="12" s="1"/>
  <c r="W1288" i="12" s="1"/>
  <c r="X1288" i="12" s="1"/>
  <c r="Y1288" i="12" s="1"/>
  <c r="R352" i="12"/>
  <c r="V352" i="12" s="1"/>
  <c r="W352" i="12" s="1"/>
  <c r="X352" i="12" s="1"/>
  <c r="Y352" i="12" s="1"/>
  <c r="R1281" i="12"/>
  <c r="V1281" i="12" s="1"/>
  <c r="W1281" i="12" s="1"/>
  <c r="X1281" i="12" s="1"/>
  <c r="Y1281" i="12" s="1"/>
  <c r="R346" i="12"/>
  <c r="R1483" i="12"/>
  <c r="V1483" i="12" s="1"/>
  <c r="W1483" i="12" s="1"/>
  <c r="X1483" i="12" s="1"/>
  <c r="Y1483" i="12" s="1"/>
  <c r="R436" i="12"/>
  <c r="V436" i="12" s="1"/>
  <c r="W436" i="12" s="1"/>
  <c r="X436" i="12" s="1"/>
  <c r="Y436" i="12" s="1"/>
  <c r="R1479" i="12"/>
  <c r="V1479" i="12" s="1"/>
  <c r="W1479" i="12" s="1"/>
  <c r="X1479" i="12" s="1"/>
  <c r="Y1479" i="12" s="1"/>
  <c r="R432" i="12"/>
  <c r="V432" i="12" s="1"/>
  <c r="W432" i="12" s="1"/>
  <c r="X432" i="12" s="1"/>
  <c r="Y432" i="12" s="1"/>
  <c r="R1474" i="12"/>
  <c r="V1474" i="12" s="1"/>
  <c r="W1474" i="12" s="1"/>
  <c r="X1474" i="12" s="1"/>
  <c r="Y1474" i="12" s="1"/>
  <c r="R428" i="12"/>
  <c r="V428" i="12" s="1"/>
  <c r="W428" i="12" s="1"/>
  <c r="X428" i="12" s="1"/>
  <c r="Y428" i="12" s="1"/>
  <c r="R992" i="12"/>
  <c r="V992" i="12" s="1"/>
  <c r="W992" i="12" s="1"/>
  <c r="X992" i="12" s="1"/>
  <c r="Y992" i="12" s="1"/>
  <c r="V948" i="12"/>
  <c r="W948" i="12" s="1"/>
  <c r="X948" i="12" s="1"/>
  <c r="Y948" i="12" s="1"/>
  <c r="R267" i="12"/>
  <c r="V267" i="12" s="1"/>
  <c r="W267" i="12" s="1"/>
  <c r="X267" i="12" s="1"/>
  <c r="Y267" i="12" s="1"/>
  <c r="R988" i="12"/>
  <c r="R263" i="12"/>
  <c r="R1458" i="12"/>
  <c r="V1458" i="12" s="1"/>
  <c r="W1458" i="12" s="1"/>
  <c r="X1458" i="12" s="1"/>
  <c r="Y1458" i="12" s="1"/>
  <c r="R412" i="12"/>
  <c r="V412" i="12" s="1"/>
  <c r="W412" i="12" s="1"/>
  <c r="X412" i="12" s="1"/>
  <c r="Y412" i="12" s="1"/>
  <c r="R1450" i="12"/>
  <c r="V1450" i="12" s="1"/>
  <c r="W1450" i="12" s="1"/>
  <c r="X1450" i="12" s="1"/>
  <c r="Y1450" i="12" s="1"/>
  <c r="R405" i="12"/>
  <c r="V405" i="12" s="1"/>
  <c r="W405" i="12" s="1"/>
  <c r="X405" i="12" s="1"/>
  <c r="Y405" i="12" s="1"/>
  <c r="R1442" i="12"/>
  <c r="V1442" i="12" s="1"/>
  <c r="W1442" i="12" s="1"/>
  <c r="X1442" i="12" s="1"/>
  <c r="Y1442" i="12" s="1"/>
  <c r="R397" i="12"/>
  <c r="V397" i="12" s="1"/>
  <c r="W397" i="12" s="1"/>
  <c r="X397" i="12" s="1"/>
  <c r="Y397" i="12" s="1"/>
  <c r="R1435" i="12"/>
  <c r="V1435" i="12" s="1"/>
  <c r="W1435" i="12" s="1"/>
  <c r="X1435" i="12" s="1"/>
  <c r="Y1435" i="12" s="1"/>
  <c r="R391" i="12"/>
  <c r="R1428" i="12"/>
  <c r="V1428" i="12" s="1"/>
  <c r="W1428" i="12" s="1"/>
  <c r="X1428" i="12" s="1"/>
  <c r="Y1428" i="12" s="1"/>
  <c r="R385" i="12"/>
  <c r="V385" i="12" s="1"/>
  <c r="W385" i="12" s="1"/>
  <c r="X385" i="12" s="1"/>
  <c r="Y385" i="12" s="1"/>
  <c r="R1420" i="12"/>
  <c r="R378" i="12"/>
  <c r="R1412" i="12"/>
  <c r="R371" i="12"/>
  <c r="R1404" i="12"/>
  <c r="V1404" i="12" s="1"/>
  <c r="W1404" i="12" s="1"/>
  <c r="X1404" i="12" s="1"/>
  <c r="Y1404" i="12" s="1"/>
  <c r="R364" i="12"/>
  <c r="R984" i="12"/>
  <c r="R259" i="12"/>
  <c r="R1011" i="12"/>
  <c r="V1011" i="12" s="1"/>
  <c r="W1011" i="12" s="1"/>
  <c r="X1011" i="12" s="1"/>
  <c r="Y1011" i="12" s="1"/>
  <c r="R282" i="12"/>
  <c r="V952" i="12"/>
  <c r="W952" i="12" s="1"/>
  <c r="X952" i="12" s="1"/>
  <c r="Y952" i="12" s="1"/>
  <c r="R1004" i="12"/>
  <c r="V1004" i="12" s="1"/>
  <c r="W1004" i="12" s="1"/>
  <c r="X1004" i="12" s="1"/>
  <c r="Y1004" i="12" s="1"/>
  <c r="R275" i="12"/>
  <c r="R257" i="12"/>
  <c r="V257" i="12" s="1"/>
  <c r="W257" i="12" s="1"/>
  <c r="X257" i="12" s="1"/>
  <c r="Y257" i="12" s="1"/>
  <c r="R981" i="12"/>
  <c r="V981" i="12" s="1"/>
  <c r="W981" i="12" s="1"/>
  <c r="X981" i="12" s="1"/>
  <c r="Y981" i="12" s="1"/>
  <c r="R1365" i="12"/>
  <c r="R1313" i="12"/>
  <c r="R1309" i="12"/>
  <c r="V1305" i="12"/>
  <c r="W1305" i="12" s="1"/>
  <c r="X1305" i="12" s="1"/>
  <c r="Y1305" i="12" s="1"/>
  <c r="R1104" i="12"/>
  <c r="R1378" i="12"/>
  <c r="V1378" i="12" s="1"/>
  <c r="W1378" i="12" s="1"/>
  <c r="X1378" i="12" s="1"/>
  <c r="Y1378" i="12" s="1"/>
  <c r="R1543" i="12"/>
  <c r="V1543" i="12" s="1"/>
  <c r="W1543" i="12" s="1"/>
  <c r="X1543" i="12" s="1"/>
  <c r="Y1543" i="12" s="1"/>
  <c r="R1302" i="12"/>
  <c r="V1302" i="12" s="1"/>
  <c r="W1302" i="12" s="1"/>
  <c r="X1302" i="12" s="1"/>
  <c r="Y1302" i="12" s="1"/>
  <c r="V1116" i="12"/>
  <c r="W1116" i="12" s="1"/>
  <c r="X1116" i="12" s="1"/>
  <c r="Y1116" i="12" s="1"/>
  <c r="V1135" i="12"/>
  <c r="W1135" i="12" s="1"/>
  <c r="X1135" i="12" s="1"/>
  <c r="Y1135" i="12" s="1"/>
  <c r="R1194" i="12"/>
  <c r="V1194" i="12" s="1"/>
  <c r="W1194" i="12" s="1"/>
  <c r="X1194" i="12" s="1"/>
  <c r="Y1194" i="12" s="1"/>
  <c r="R1213" i="12"/>
  <c r="V1213" i="12" s="1"/>
  <c r="W1213" i="12" s="1"/>
  <c r="X1213" i="12" s="1"/>
  <c r="Y1213" i="12" s="1"/>
  <c r="R1173" i="12"/>
  <c r="V1173" i="12" s="1"/>
  <c r="W1173" i="12" s="1"/>
  <c r="X1173" i="12" s="1"/>
  <c r="Y1173" i="12" s="1"/>
  <c r="R1156" i="12"/>
  <c r="V1152" i="12"/>
  <c r="W1152" i="12" s="1"/>
  <c r="X1152" i="12" s="1"/>
  <c r="Y1152" i="12" s="1"/>
  <c r="X1169" i="12"/>
  <c r="V1169" i="12"/>
  <c r="Y1169" i="12"/>
  <c r="W1169" i="12"/>
  <c r="R1145" i="12"/>
  <c r="V1145" i="12" s="1"/>
  <c r="W1145" i="12" s="1"/>
  <c r="X1145" i="12" s="1"/>
  <c r="Y1145" i="12" s="1"/>
  <c r="R1067" i="12"/>
  <c r="V1384" i="12"/>
  <c r="Y1042" i="12"/>
  <c r="X1042" i="12"/>
  <c r="W1042" i="12"/>
  <c r="V1042" i="12"/>
  <c r="R1139" i="12"/>
  <c r="R1057" i="12"/>
  <c r="V1057" i="12" s="1"/>
  <c r="W1057" i="12" s="1"/>
  <c r="X1057" i="12" s="1"/>
  <c r="Y1057" i="12" s="1"/>
  <c r="W1131" i="12"/>
  <c r="V1131" i="12"/>
  <c r="Y1131" i="12"/>
  <c r="X1131" i="12"/>
  <c r="V1484" i="12"/>
  <c r="W1484" i="12" s="1"/>
  <c r="X1484" i="12" s="1"/>
  <c r="Y1484" i="12" s="1"/>
  <c r="R1437" i="12"/>
  <c r="R393" i="12"/>
  <c r="V393" i="12" s="1"/>
  <c r="W393" i="12" s="1"/>
  <c r="X393" i="12" s="1"/>
  <c r="Y393" i="12" s="1"/>
  <c r="R1000" i="12"/>
  <c r="R271" i="12"/>
  <c r="R1146" i="12"/>
  <c r="V1146" i="12" s="1"/>
  <c r="W1146" i="12" s="1"/>
  <c r="X1146" i="12" s="1"/>
  <c r="Y1146" i="12" s="1"/>
  <c r="R1069" i="12"/>
  <c r="V1069" i="12" s="1"/>
  <c r="W1069" i="12" s="1"/>
  <c r="X1069" i="12" s="1"/>
  <c r="Y1069" i="12" s="1"/>
  <c r="R1046" i="12"/>
  <c r="V1046" i="12" s="1"/>
  <c r="W1046" i="12" s="1"/>
  <c r="X1046" i="12" s="1"/>
  <c r="Y1046" i="12" s="1"/>
  <c r="R1300" i="12"/>
  <c r="R1136" i="12"/>
  <c r="V1136" i="12" s="1"/>
  <c r="W1136" i="12" s="1"/>
  <c r="X1136" i="12" s="1"/>
  <c r="Y1136" i="12" s="1"/>
  <c r="R1151" i="12"/>
  <c r="R1346" i="12"/>
  <c r="R1359" i="12"/>
  <c r="R1340" i="12"/>
  <c r="R1521" i="12"/>
  <c r="R460" i="12"/>
  <c r="R1507" i="12"/>
  <c r="R448" i="12"/>
  <c r="R1500" i="12"/>
  <c r="R441" i="12"/>
  <c r="R1539" i="12"/>
  <c r="R468" i="12"/>
  <c r="V1488" i="12"/>
  <c r="W1488" i="12" s="1"/>
  <c r="X1488" i="12" s="1"/>
  <c r="Y1488" i="12" s="1"/>
  <c r="R1075" i="12"/>
  <c r="R1237" i="12"/>
  <c r="V1237" i="12" s="1"/>
  <c r="W1237" i="12" s="1"/>
  <c r="X1237" i="12" s="1"/>
  <c r="Y1237" i="12" s="1"/>
  <c r="R322" i="12"/>
  <c r="R1230" i="12"/>
  <c r="Y1287" i="12"/>
  <c r="X1287" i="12"/>
  <c r="V1287" i="12"/>
  <c r="W1287" i="12"/>
  <c r="R1280" i="12"/>
  <c r="V1280" i="12" s="1"/>
  <c r="W1280" i="12" s="1"/>
  <c r="X1280" i="12" s="1"/>
  <c r="Y1280" i="12" s="1"/>
  <c r="R345" i="12"/>
  <c r="V345" i="12" s="1"/>
  <c r="W345" i="12" s="1"/>
  <c r="X345" i="12" s="1"/>
  <c r="Y345" i="12" s="1"/>
  <c r="R1482" i="12"/>
  <c r="V1482" i="12" s="1"/>
  <c r="W1482" i="12" s="1"/>
  <c r="X1482" i="12" s="1"/>
  <c r="Y1482" i="12" s="1"/>
  <c r="R435" i="12"/>
  <c r="R1478" i="12"/>
  <c r="V1478" i="12" s="1"/>
  <c r="W1478" i="12" s="1"/>
  <c r="X1478" i="12" s="1"/>
  <c r="Y1478" i="12" s="1"/>
  <c r="R431" i="12"/>
  <c r="R1473" i="12"/>
  <c r="R427" i="12"/>
  <c r="V427" i="12" s="1"/>
  <c r="W427" i="12" s="1"/>
  <c r="X427" i="12" s="1"/>
  <c r="Y427" i="12" s="1"/>
  <c r="R991" i="12"/>
  <c r="R266" i="12"/>
  <c r="R1465" i="12"/>
  <c r="V1465" i="12" s="1"/>
  <c r="W1465" i="12" s="1"/>
  <c r="X1465" i="12" s="1"/>
  <c r="Y1465" i="12" s="1"/>
  <c r="R997" i="12"/>
  <c r="V997" i="12" s="1"/>
  <c r="W997" i="12" s="1"/>
  <c r="X997" i="12" s="1"/>
  <c r="Y997" i="12" s="1"/>
  <c r="R1295" i="12"/>
  <c r="V1295" i="12" s="1"/>
  <c r="W1295" i="12" s="1"/>
  <c r="X1295" i="12" s="1"/>
  <c r="Y1295" i="12" s="1"/>
  <c r="R1527" i="12"/>
  <c r="V1527" i="12" s="1"/>
  <c r="W1527" i="12" s="1"/>
  <c r="X1527" i="12" s="1"/>
  <c r="Y1527" i="12" s="1"/>
  <c r="R419" i="12"/>
  <c r="R1457" i="12"/>
  <c r="R411" i="12"/>
  <c r="V411" i="12" s="1"/>
  <c r="W411" i="12" s="1"/>
  <c r="X411" i="12" s="1"/>
  <c r="Y411" i="12" s="1"/>
  <c r="R404" i="12"/>
  <c r="V404" i="12" s="1"/>
  <c r="W404" i="12" s="1"/>
  <c r="X404" i="12" s="1"/>
  <c r="Y404" i="12" s="1"/>
  <c r="R1449" i="12"/>
  <c r="V1449" i="12" s="1"/>
  <c r="W1449" i="12" s="1"/>
  <c r="X1449" i="12" s="1"/>
  <c r="Y1449" i="12" s="1"/>
  <c r="R1441" i="12"/>
  <c r="V1441" i="12" s="1"/>
  <c r="W1441" i="12" s="1"/>
  <c r="X1441" i="12" s="1"/>
  <c r="Y1441" i="12" s="1"/>
  <c r="R396" i="12"/>
  <c r="V396" i="12" s="1"/>
  <c r="W396" i="12" s="1"/>
  <c r="X396" i="12" s="1"/>
  <c r="Y396" i="12" s="1"/>
  <c r="R1434" i="12"/>
  <c r="V1434" i="12" s="1"/>
  <c r="W1434" i="12" s="1"/>
  <c r="X1434" i="12" s="1"/>
  <c r="Y1434" i="12" s="1"/>
  <c r="R390" i="12"/>
  <c r="V390" i="12" s="1"/>
  <c r="W390" i="12" s="1"/>
  <c r="X390" i="12" s="1"/>
  <c r="Y390" i="12" s="1"/>
  <c r="R1419" i="12"/>
  <c r="V1419" i="12" s="1"/>
  <c r="W1419" i="12" s="1"/>
  <c r="X1419" i="12" s="1"/>
  <c r="Y1419" i="12" s="1"/>
  <c r="R377" i="12"/>
  <c r="V377" i="12" s="1"/>
  <c r="W377" i="12" s="1"/>
  <c r="X377" i="12" s="1"/>
  <c r="Y377" i="12" s="1"/>
  <c r="V964" i="12"/>
  <c r="W964" i="12" s="1"/>
  <c r="X964" i="12" s="1"/>
  <c r="Y964" i="12" s="1"/>
  <c r="R1411" i="12"/>
  <c r="V1411" i="12" s="1"/>
  <c r="W1411" i="12" s="1"/>
  <c r="X1411" i="12" s="1"/>
  <c r="Y1411" i="12" s="1"/>
  <c r="R370" i="12"/>
  <c r="R1403" i="12"/>
  <c r="R983" i="12"/>
  <c r="R1003" i="12"/>
  <c r="R274" i="12"/>
  <c r="V274" i="12" s="1"/>
  <c r="W274" i="12" s="1"/>
  <c r="X274" i="12" s="1"/>
  <c r="Y274" i="12" s="1"/>
  <c r="R980" i="12"/>
  <c r="V947" i="12"/>
  <c r="W947" i="12" s="1"/>
  <c r="X947" i="12" s="1"/>
  <c r="Y947" i="12" s="1"/>
  <c r="R256" i="12"/>
  <c r="V256" i="12" s="1"/>
  <c r="W256" i="12" s="1"/>
  <c r="X256" i="12" s="1"/>
  <c r="Y256" i="12" s="1"/>
  <c r="R1364" i="12"/>
  <c r="V1364" i="12" s="1"/>
  <c r="W1364" i="12" s="1"/>
  <c r="X1364" i="12" s="1"/>
  <c r="Y1364" i="12" s="1"/>
  <c r="R1312" i="12"/>
  <c r="V1312" i="12" s="1"/>
  <c r="W1312" i="12" s="1"/>
  <c r="X1312" i="12" s="1"/>
  <c r="Y1312" i="12" s="1"/>
  <c r="V1103" i="12"/>
  <c r="W1103" i="12" s="1"/>
  <c r="R1542" i="12"/>
  <c r="R1377" i="12"/>
  <c r="V1393" i="12"/>
  <c r="W1393" i="12" s="1"/>
  <c r="X1393" i="12" s="1"/>
  <c r="Y1393" i="12" s="1"/>
  <c r="V1301" i="12"/>
  <c r="W1301" i="12" s="1"/>
  <c r="X1301" i="12" s="1"/>
  <c r="Y1301" i="12" s="1"/>
  <c r="V1115" i="12"/>
  <c r="R1158" i="12"/>
  <c r="V1155" i="12"/>
  <c r="W1155" i="12" s="1"/>
  <c r="X1155" i="12" s="1"/>
  <c r="Y1155" i="12" s="1"/>
  <c r="R1144" i="12"/>
  <c r="W1041" i="12"/>
  <c r="Y1041" i="12"/>
  <c r="V1041" i="12"/>
  <c r="X1041" i="12"/>
  <c r="R1138" i="12"/>
  <c r="R1056" i="12"/>
  <c r="R1518" i="12"/>
  <c r="R458" i="12"/>
  <c r="R1284" i="12"/>
  <c r="V1284" i="12" s="1"/>
  <c r="W1284" i="12" s="1"/>
  <c r="X1284" i="12" s="1"/>
  <c r="Y1284" i="12" s="1"/>
  <c r="R349" i="12"/>
  <c r="V349" i="12" s="1"/>
  <c r="W349" i="12" s="1"/>
  <c r="X349" i="12" s="1"/>
  <c r="Y349" i="12" s="1"/>
  <c r="R415" i="12"/>
  <c r="R1461" i="12"/>
  <c r="V1031" i="12"/>
  <c r="V1030" i="12" s="1"/>
  <c r="R1506" i="12"/>
  <c r="R447" i="12"/>
  <c r="R1079" i="12"/>
  <c r="R1086" i="12"/>
  <c r="R308" i="12"/>
  <c r="V308" i="12" s="1"/>
  <c r="W308" i="12" s="1"/>
  <c r="X308" i="12" s="1"/>
  <c r="Y308" i="12" s="1"/>
  <c r="R302" i="12"/>
  <c r="V302" i="12" s="1"/>
  <c r="W302" i="12" s="1"/>
  <c r="X302" i="12" s="1"/>
  <c r="Y302" i="12" s="1"/>
  <c r="R1242" i="12"/>
  <c r="V1242" i="12" s="1"/>
  <c r="W1242" i="12" s="1"/>
  <c r="X1242" i="12" s="1"/>
  <c r="Y1242" i="12" s="1"/>
  <c r="R1289" i="12"/>
  <c r="R327" i="12"/>
  <c r="R1236" i="12"/>
  <c r="V1236" i="12" s="1"/>
  <c r="W1236" i="12" s="1"/>
  <c r="X1236" i="12" s="1"/>
  <c r="Y1236" i="12" s="1"/>
  <c r="R321" i="12"/>
  <c r="V321" i="12" s="1"/>
  <c r="W321" i="12" s="1"/>
  <c r="X321" i="12" s="1"/>
  <c r="Y321" i="12" s="1"/>
  <c r="R1225" i="12"/>
  <c r="V1225" i="12" s="1"/>
  <c r="W1225" i="12" s="1"/>
  <c r="X1225" i="12" s="1"/>
  <c r="Y1225" i="12" s="1"/>
  <c r="R1254" i="12"/>
  <c r="V1254" i="12" s="1"/>
  <c r="W1254" i="12" s="1"/>
  <c r="X1254" i="12" s="1"/>
  <c r="Y1254" i="12" s="1"/>
  <c r="R1219" i="12"/>
  <c r="V1219" i="12" s="1"/>
  <c r="W1219" i="12" s="1"/>
  <c r="X1219" i="12" s="1"/>
  <c r="Y1219" i="12" s="1"/>
  <c r="R1023" i="12"/>
  <c r="V1023" i="12" s="1"/>
  <c r="W1023" i="12" s="1"/>
  <c r="X1023" i="12" s="1"/>
  <c r="Y1023" i="12" s="1"/>
  <c r="R335" i="12"/>
  <c r="R293" i="12"/>
  <c r="V293" i="12" s="1"/>
  <c r="W293" i="12" s="1"/>
  <c r="X293" i="12" s="1"/>
  <c r="Y293" i="12" s="1"/>
  <c r="R1286" i="12"/>
  <c r="V1286" i="12" s="1"/>
  <c r="W1286" i="12" s="1"/>
  <c r="X1286" i="12" s="1"/>
  <c r="Y1286" i="12" s="1"/>
  <c r="R351" i="12"/>
  <c r="R1279" i="12"/>
  <c r="V1279" i="12" s="1"/>
  <c r="W1279" i="12" s="1"/>
  <c r="X1279" i="12" s="1"/>
  <c r="Y1279" i="12" s="1"/>
  <c r="R344" i="12"/>
  <c r="V344" i="12" s="1"/>
  <c r="W344" i="12" s="1"/>
  <c r="X344" i="12" s="1"/>
  <c r="Y344" i="12" s="1"/>
  <c r="R1481" i="12"/>
  <c r="R434" i="12"/>
  <c r="R1477" i="12"/>
  <c r="R430" i="12"/>
  <c r="V430" i="12" s="1"/>
  <c r="W430" i="12" s="1"/>
  <c r="X430" i="12" s="1"/>
  <c r="Y430" i="12" s="1"/>
  <c r="R1472" i="12"/>
  <c r="V1472" i="12" s="1"/>
  <c r="W1472" i="12" s="1"/>
  <c r="X1472" i="12" s="1"/>
  <c r="Y1472" i="12" s="1"/>
  <c r="R426" i="12"/>
  <c r="R1469" i="12"/>
  <c r="R1464" i="12"/>
  <c r="R1456" i="12"/>
  <c r="R410" i="12"/>
  <c r="R1448" i="12"/>
  <c r="R403" i="12"/>
  <c r="R1440" i="12"/>
  <c r="V1440" i="12" s="1"/>
  <c r="W1440" i="12" s="1"/>
  <c r="X1440" i="12" s="1"/>
  <c r="Y1440" i="12" s="1"/>
  <c r="R395" i="12"/>
  <c r="V395" i="12" s="1"/>
  <c r="W395" i="12" s="1"/>
  <c r="X395" i="12" s="1"/>
  <c r="Y395" i="12" s="1"/>
  <c r="R1426" i="12"/>
  <c r="V1426" i="12" s="1"/>
  <c r="W1426" i="12" s="1"/>
  <c r="X1426" i="12" s="1"/>
  <c r="Y1426" i="12" s="1"/>
  <c r="R384" i="12"/>
  <c r="V384" i="12" s="1"/>
  <c r="W384" i="12" s="1"/>
  <c r="X384" i="12" s="1"/>
  <c r="Y384" i="12" s="1"/>
  <c r="R1418" i="12"/>
  <c r="V1418" i="12" s="1"/>
  <c r="W1418" i="12" s="1"/>
  <c r="X1418" i="12" s="1"/>
  <c r="Y1418" i="12" s="1"/>
  <c r="R376" i="12"/>
  <c r="V376" i="12" s="1"/>
  <c r="W376" i="12" s="1"/>
  <c r="X376" i="12" s="1"/>
  <c r="Y376" i="12" s="1"/>
  <c r="R1410" i="12"/>
  <c r="R369" i="12"/>
  <c r="V369" i="12" s="1"/>
  <c r="W369" i="12" s="1"/>
  <c r="X369" i="12" s="1"/>
  <c r="Y369" i="12" s="1"/>
  <c r="R281" i="12"/>
  <c r="V281" i="12" s="1"/>
  <c r="W281" i="12" s="1"/>
  <c r="X281" i="12" s="1"/>
  <c r="Y281" i="12" s="1"/>
  <c r="R1010" i="12"/>
  <c r="V1010" i="12" s="1"/>
  <c r="W1010" i="12" s="1"/>
  <c r="X1010" i="12" s="1"/>
  <c r="Y1010" i="12" s="1"/>
  <c r="R1002" i="12"/>
  <c r="V1002" i="12" s="1"/>
  <c r="W1002" i="12" s="1"/>
  <c r="X1002" i="12" s="1"/>
  <c r="Y1002" i="12" s="1"/>
  <c r="R273" i="12"/>
  <c r="V273" i="12" s="1"/>
  <c r="W273" i="12" s="1"/>
  <c r="X273" i="12" s="1"/>
  <c r="Y273" i="12" s="1"/>
  <c r="R979" i="12"/>
  <c r="V979" i="12" s="1"/>
  <c r="W979" i="12" s="1"/>
  <c r="X979" i="12" s="1"/>
  <c r="Y979" i="12" s="1"/>
  <c r="R255" i="12"/>
  <c r="R1370" i="12"/>
  <c r="R1325" i="12"/>
  <c r="R1363" i="12"/>
  <c r="V1363" i="12" s="1"/>
  <c r="W1363" i="12" s="1"/>
  <c r="X1363" i="12" s="1"/>
  <c r="Y1363" i="12" s="1"/>
  <c r="R1092" i="12"/>
  <c r="R1311" i="12"/>
  <c r="R1271" i="12"/>
  <c r="V1547" i="12"/>
  <c r="V1546" i="12" s="1"/>
  <c r="R1392" i="12"/>
  <c r="R1071" i="12"/>
  <c r="R1148" i="12"/>
  <c r="V1123" i="12"/>
  <c r="W1123" i="12" s="1"/>
  <c r="X1123" i="12" s="1"/>
  <c r="Y1123" i="12" s="1"/>
  <c r="V1154" i="12"/>
  <c r="W1154" i="12" s="1"/>
  <c r="X1154" i="12" s="1"/>
  <c r="Y1154" i="12" s="1"/>
  <c r="W1040" i="12"/>
  <c r="V1040" i="12"/>
  <c r="X1040" i="12"/>
  <c r="Y1040" i="12"/>
  <c r="V1129" i="12"/>
  <c r="Y1129" i="12"/>
  <c r="W1129" i="12"/>
  <c r="X1129" i="12"/>
  <c r="R1523" i="12"/>
  <c r="R461" i="12"/>
  <c r="R1229" i="12"/>
  <c r="R315" i="12"/>
  <c r="R1453" i="12"/>
  <c r="R407" i="12"/>
  <c r="R381" i="12"/>
  <c r="V381" i="12" s="1"/>
  <c r="W381" i="12" s="1"/>
  <c r="X381" i="12" s="1"/>
  <c r="Y381" i="12" s="1"/>
  <c r="R1423" i="12"/>
  <c r="V1423" i="12" s="1"/>
  <c r="W1423" i="12" s="1"/>
  <c r="X1423" i="12" s="1"/>
  <c r="Y1423" i="12" s="1"/>
  <c r="R1014" i="12"/>
  <c r="V1014" i="12" s="1"/>
  <c r="W1014" i="12" s="1"/>
  <c r="X1014" i="12" s="1"/>
  <c r="Y1014" i="12" s="1"/>
  <c r="R285" i="12"/>
  <c r="V285" i="12" s="1"/>
  <c r="W285" i="12" s="1"/>
  <c r="X285" i="12" s="1"/>
  <c r="Y285" i="12" s="1"/>
  <c r="R976" i="12"/>
  <c r="V976" i="12" s="1"/>
  <c r="W976" i="12" s="1"/>
  <c r="X976" i="12" s="1"/>
  <c r="Y976" i="12" s="1"/>
  <c r="R252" i="12"/>
  <c r="V252" i="12" s="1"/>
  <c r="W252" i="12" s="1"/>
  <c r="X252" i="12" s="1"/>
  <c r="Y252" i="12" s="1"/>
  <c r="R1368" i="12"/>
  <c r="R1358" i="12"/>
  <c r="R1345" i="12"/>
  <c r="R1514" i="12"/>
  <c r="R454" i="12"/>
  <c r="R1499" i="12"/>
  <c r="R440" i="12"/>
  <c r="R1380" i="12"/>
  <c r="R362" i="12"/>
  <c r="R1344" i="12"/>
  <c r="R1357" i="12"/>
  <c r="R1339" i="12"/>
  <c r="R1354" i="12"/>
  <c r="R1519" i="12"/>
  <c r="R459" i="12"/>
  <c r="R1513" i="12"/>
  <c r="R453" i="12"/>
  <c r="R1505" i="12"/>
  <c r="R446" i="12"/>
  <c r="R1498" i="12"/>
  <c r="R439" i="12"/>
  <c r="R1538" i="12"/>
  <c r="R467" i="12"/>
  <c r="R1269" i="12"/>
  <c r="R340" i="12"/>
  <c r="R1290" i="12"/>
  <c r="V1290" i="12" s="1"/>
  <c r="W1290" i="12" s="1"/>
  <c r="X1290" i="12" s="1"/>
  <c r="Y1290" i="12" s="1"/>
  <c r="R353" i="12"/>
  <c r="V353" i="12" s="1"/>
  <c r="W353" i="12" s="1"/>
  <c r="X353" i="12" s="1"/>
  <c r="Y353" i="12" s="1"/>
  <c r="R1024" i="12"/>
  <c r="R1220" i="12"/>
  <c r="V1220" i="12" s="1"/>
  <c r="W1220" i="12" s="1"/>
  <c r="X1220" i="12" s="1"/>
  <c r="Y1220" i="12" s="1"/>
  <c r="R1255" i="12"/>
  <c r="V1255" i="12" s="1"/>
  <c r="W1255" i="12" s="1"/>
  <c r="X1255" i="12" s="1"/>
  <c r="Y1255" i="12" s="1"/>
  <c r="R1235" i="12"/>
  <c r="R1224" i="12"/>
  <c r="R1051" i="12"/>
  <c r="R1126" i="12"/>
  <c r="R1293" i="12"/>
  <c r="R296" i="12"/>
  <c r="V296" i="12" s="1"/>
  <c r="W296" i="12" s="1"/>
  <c r="X296" i="12" s="1"/>
  <c r="Y296" i="12" s="1"/>
  <c r="R1053" i="12"/>
  <c r="V1053" i="12" s="1"/>
  <c r="W1053" i="12" s="1"/>
  <c r="X1053" i="12" s="1"/>
  <c r="Y1053" i="12" s="1"/>
  <c r="R269" i="12"/>
  <c r="V269" i="12" s="1"/>
  <c r="W269" i="12" s="1"/>
  <c r="X269" i="12" s="1"/>
  <c r="Y269" i="12" s="1"/>
  <c r="R994" i="12"/>
  <c r="R1471" i="12"/>
  <c r="V1471" i="12" s="1"/>
  <c r="W1471" i="12" s="1"/>
  <c r="X1471" i="12" s="1"/>
  <c r="Y1471" i="12" s="1"/>
  <c r="R425" i="12"/>
  <c r="V425" i="12" s="1"/>
  <c r="W425" i="12" s="1"/>
  <c r="X425" i="12" s="1"/>
  <c r="Y425" i="12" s="1"/>
  <c r="R1468" i="12"/>
  <c r="R417" i="12"/>
  <c r="V417" i="12" s="1"/>
  <c r="W417" i="12" s="1"/>
  <c r="X417" i="12" s="1"/>
  <c r="Y417" i="12" s="1"/>
  <c r="R1463" i="12"/>
  <c r="R1455" i="12"/>
  <c r="V1455" i="12" s="1"/>
  <c r="W1455" i="12" s="1"/>
  <c r="X1455" i="12" s="1"/>
  <c r="Y1455" i="12" s="1"/>
  <c r="R409" i="12"/>
  <c r="V409" i="12" s="1"/>
  <c r="W409" i="12" s="1"/>
  <c r="X409" i="12" s="1"/>
  <c r="Y409" i="12" s="1"/>
  <c r="R1447" i="12"/>
  <c r="V1447" i="12" s="1"/>
  <c r="W1447" i="12" s="1"/>
  <c r="X1447" i="12" s="1"/>
  <c r="Y1447" i="12" s="1"/>
  <c r="R402" i="12"/>
  <c r="R1432" i="12"/>
  <c r="R389" i="12"/>
  <c r="V389" i="12" s="1"/>
  <c r="W389" i="12" s="1"/>
  <c r="X389" i="12" s="1"/>
  <c r="Y389" i="12" s="1"/>
  <c r="R1425" i="12"/>
  <c r="V1425" i="12" s="1"/>
  <c r="W1425" i="12" s="1"/>
  <c r="X1425" i="12" s="1"/>
  <c r="Y1425" i="12" s="1"/>
  <c r="R383" i="12"/>
  <c r="R1417" i="12"/>
  <c r="R375" i="12"/>
  <c r="R368" i="12"/>
  <c r="V368" i="12" s="1"/>
  <c r="W368" i="12" s="1"/>
  <c r="X368" i="12" s="1"/>
  <c r="Y368" i="12" s="1"/>
  <c r="R1409" i="12"/>
  <c r="V1409" i="12" s="1"/>
  <c r="W1409" i="12" s="1"/>
  <c r="X1409" i="12" s="1"/>
  <c r="Y1409" i="12" s="1"/>
  <c r="R1016" i="12"/>
  <c r="V1016" i="12" s="1"/>
  <c r="W1016" i="12" s="1"/>
  <c r="X1016" i="12" s="1"/>
  <c r="Y1016" i="12" s="1"/>
  <c r="R287" i="12"/>
  <c r="R280" i="12"/>
  <c r="V280" i="12" s="1"/>
  <c r="W280" i="12" s="1"/>
  <c r="X280" i="12" s="1"/>
  <c r="Y280" i="12" s="1"/>
  <c r="R1009" i="12"/>
  <c r="V1009" i="12" s="1"/>
  <c r="W1009" i="12" s="1"/>
  <c r="X1009" i="12" s="1"/>
  <c r="Y1009" i="12" s="1"/>
  <c r="R1001" i="12"/>
  <c r="V1001" i="12" s="1"/>
  <c r="W1001" i="12" s="1"/>
  <c r="X1001" i="12" s="1"/>
  <c r="Y1001" i="12" s="1"/>
  <c r="V951" i="12"/>
  <c r="W951" i="12" s="1"/>
  <c r="X951" i="12" s="1"/>
  <c r="Y951" i="12" s="1"/>
  <c r="R272" i="12"/>
  <c r="V272" i="12" s="1"/>
  <c r="W272" i="12" s="1"/>
  <c r="X272" i="12" s="1"/>
  <c r="Y272" i="12" s="1"/>
  <c r="R978" i="12"/>
  <c r="V978" i="12" s="1"/>
  <c r="W978" i="12" s="1"/>
  <c r="X978" i="12" s="1"/>
  <c r="Y978" i="12" s="1"/>
  <c r="R254" i="12"/>
  <c r="V254" i="12" s="1"/>
  <c r="W254" i="12" s="1"/>
  <c r="X254" i="12" s="1"/>
  <c r="Y254" i="12" s="1"/>
  <c r="R1372" i="12"/>
  <c r="R1369" i="12"/>
  <c r="V1369" i="12" s="1"/>
  <c r="W1369" i="12" s="1"/>
  <c r="X1369" i="12" s="1"/>
  <c r="Y1369" i="12" s="1"/>
  <c r="R1315" i="12"/>
  <c r="V1315" i="12" s="1"/>
  <c r="W1315" i="12" s="1"/>
  <c r="X1315" i="12" s="1"/>
  <c r="Y1315" i="12" s="1"/>
  <c r="R1308" i="12"/>
  <c r="V1308" i="12" s="1"/>
  <c r="W1308" i="12" s="1"/>
  <c r="X1308" i="12" s="1"/>
  <c r="Y1308" i="12" s="1"/>
  <c r="V1535" i="12"/>
  <c r="W1535" i="12" s="1"/>
  <c r="X1535" i="12" s="1"/>
  <c r="Y1535" i="12" s="1"/>
  <c r="V1532" i="12"/>
  <c r="W1532" i="12" s="1"/>
  <c r="V1401" i="12"/>
  <c r="V1400" i="12" s="1"/>
  <c r="R1070" i="12"/>
  <c r="V1070" i="12" s="1"/>
  <c r="W1070" i="12" s="1"/>
  <c r="X1070" i="12" s="1"/>
  <c r="Y1070" i="12" s="1"/>
  <c r="R1147" i="12"/>
  <c r="V1297" i="12"/>
  <c r="V1196" i="12"/>
  <c r="W1196" i="12" s="1"/>
  <c r="X1196" i="12" s="1"/>
  <c r="Y1196" i="12" s="1"/>
  <c r="R1060" i="12"/>
  <c r="R1143" i="12"/>
  <c r="V1143" i="12" s="1"/>
  <c r="W1143" i="12" s="1"/>
  <c r="X1143" i="12" s="1"/>
  <c r="Y1143" i="12" s="1"/>
  <c r="X1039" i="12"/>
  <c r="W1039" i="12"/>
  <c r="Y1039" i="12"/>
  <c r="V1039" i="12"/>
  <c r="W1128" i="12"/>
  <c r="V1128" i="12"/>
  <c r="Y1128" i="12"/>
  <c r="X1128" i="12"/>
  <c r="R1374" i="12"/>
  <c r="R360" i="12"/>
  <c r="R1233" i="12"/>
  <c r="V1233" i="12" s="1"/>
  <c r="W1233" i="12" s="1"/>
  <c r="X1233" i="12" s="1"/>
  <c r="Y1233" i="12" s="1"/>
  <c r="R318" i="12"/>
  <c r="V318" i="12" s="1"/>
  <c r="W318" i="12" s="1"/>
  <c r="X318" i="12" s="1"/>
  <c r="Y318" i="12" s="1"/>
  <c r="R990" i="12"/>
  <c r="R265" i="12"/>
  <c r="V265" i="12" s="1"/>
  <c r="W265" i="12" s="1"/>
  <c r="X265" i="12" s="1"/>
  <c r="Y265" i="12" s="1"/>
  <c r="R1407" i="12"/>
  <c r="V1407" i="12" s="1"/>
  <c r="W1407" i="12" s="1"/>
  <c r="X1407" i="12" s="1"/>
  <c r="Y1407" i="12" s="1"/>
  <c r="R367" i="12"/>
  <c r="R987" i="12"/>
  <c r="R262" i="12"/>
  <c r="V262" i="12" s="1"/>
  <c r="W262" i="12" s="1"/>
  <c r="X262" i="12" s="1"/>
  <c r="Y262" i="12" s="1"/>
  <c r="V1261" i="12"/>
  <c r="V1037" i="12"/>
  <c r="W1037" i="12"/>
  <c r="X1037" i="12"/>
  <c r="Y1037" i="12"/>
  <c r="R1338" i="12"/>
  <c r="R1353" i="12"/>
  <c r="R358" i="12"/>
  <c r="R1524" i="12"/>
  <c r="R462" i="12"/>
  <c r="V462" i="12" s="1"/>
  <c r="W462" i="12" s="1"/>
  <c r="X462" i="12" s="1"/>
  <c r="Y462" i="12" s="1"/>
  <c r="R1540" i="12"/>
  <c r="R469" i="12"/>
  <c r="R1512" i="12"/>
  <c r="R452" i="12"/>
  <c r="R1504" i="12"/>
  <c r="R445" i="12"/>
  <c r="R1486" i="12"/>
  <c r="V1486" i="12" s="1"/>
  <c r="W1486" i="12" s="1"/>
  <c r="X1486" i="12" s="1"/>
  <c r="Y1486" i="12" s="1"/>
  <c r="R437" i="12"/>
  <c r="V437" i="12" s="1"/>
  <c r="W437" i="12" s="1"/>
  <c r="X437" i="12" s="1"/>
  <c r="Y437" i="12" s="1"/>
  <c r="R1095" i="12"/>
  <c r="R311" i="12"/>
  <c r="R1291" i="12"/>
  <c r="V1291" i="12" s="1"/>
  <c r="W1291" i="12" s="1"/>
  <c r="X1291" i="12" s="1"/>
  <c r="Y1291" i="12" s="1"/>
  <c r="R354" i="12"/>
  <c r="R329" i="12"/>
  <c r="V329" i="12" s="1"/>
  <c r="W329" i="12" s="1"/>
  <c r="X329" i="12" s="1"/>
  <c r="Y329" i="12" s="1"/>
  <c r="R1248" i="12"/>
  <c r="V1248" i="12" s="1"/>
  <c r="W1248" i="12" s="1"/>
  <c r="X1248" i="12" s="1"/>
  <c r="Y1248" i="12" s="1"/>
  <c r="V1227" i="12"/>
  <c r="R1234" i="12"/>
  <c r="V1234" i="12" s="1"/>
  <c r="W1234" i="12" s="1"/>
  <c r="X1234" i="12" s="1"/>
  <c r="Y1234" i="12" s="1"/>
  <c r="R319" i="12"/>
  <c r="R1223" i="12"/>
  <c r="R1285" i="12"/>
  <c r="V960" i="12"/>
  <c r="W960" i="12" s="1"/>
  <c r="X960" i="12" s="1"/>
  <c r="Y960" i="12" s="1"/>
  <c r="R350" i="12"/>
  <c r="V350" i="12" s="1"/>
  <c r="W350" i="12" s="1"/>
  <c r="X350" i="12" s="1"/>
  <c r="Y350" i="12" s="1"/>
  <c r="R475" i="12"/>
  <c r="R993" i="12"/>
  <c r="V993" i="12" s="1"/>
  <c r="W993" i="12" s="1"/>
  <c r="X993" i="12" s="1"/>
  <c r="Y993" i="12" s="1"/>
  <c r="R268" i="12"/>
  <c r="V268" i="12" s="1"/>
  <c r="W268" i="12" s="1"/>
  <c r="X268" i="12" s="1"/>
  <c r="Y268" i="12" s="1"/>
  <c r="R1467" i="12"/>
  <c r="V1467" i="12" s="1"/>
  <c r="W1467" i="12" s="1"/>
  <c r="X1467" i="12" s="1"/>
  <c r="Y1467" i="12" s="1"/>
  <c r="R421" i="12"/>
  <c r="V421" i="12" s="1"/>
  <c r="W421" i="12" s="1"/>
  <c r="X421" i="12" s="1"/>
  <c r="Y421" i="12" s="1"/>
  <c r="R1462" i="12"/>
  <c r="V1462" i="12" s="1"/>
  <c r="W1462" i="12" s="1"/>
  <c r="X1462" i="12" s="1"/>
  <c r="Y1462" i="12" s="1"/>
  <c r="R416" i="12"/>
  <c r="V416" i="12" s="1"/>
  <c r="W416" i="12" s="1"/>
  <c r="X416" i="12" s="1"/>
  <c r="Y416" i="12" s="1"/>
  <c r="R1454" i="12"/>
  <c r="V1454" i="12" s="1"/>
  <c r="W1454" i="12" s="1"/>
  <c r="X1454" i="12" s="1"/>
  <c r="Y1454" i="12" s="1"/>
  <c r="R408" i="12"/>
  <c r="V408" i="12" s="1"/>
  <c r="W408" i="12" s="1"/>
  <c r="X408" i="12" s="1"/>
  <c r="Y408" i="12" s="1"/>
  <c r="R1446" i="12"/>
  <c r="V1446" i="12" s="1"/>
  <c r="W1446" i="12" s="1"/>
  <c r="X1446" i="12" s="1"/>
  <c r="Y1446" i="12" s="1"/>
  <c r="R401" i="12"/>
  <c r="V401" i="12" s="1"/>
  <c r="W401" i="12" s="1"/>
  <c r="X401" i="12" s="1"/>
  <c r="Y401" i="12" s="1"/>
  <c r="R1438" i="12"/>
  <c r="V1438" i="12" s="1"/>
  <c r="W1438" i="12" s="1"/>
  <c r="X1438" i="12" s="1"/>
  <c r="Y1438" i="12" s="1"/>
  <c r="R394" i="12"/>
  <c r="R1431" i="12"/>
  <c r="V1431" i="12" s="1"/>
  <c r="W1431" i="12" s="1"/>
  <c r="X1431" i="12" s="1"/>
  <c r="Y1431" i="12" s="1"/>
  <c r="R388" i="12"/>
  <c r="V388" i="12" s="1"/>
  <c r="W388" i="12" s="1"/>
  <c r="X388" i="12" s="1"/>
  <c r="Y388" i="12" s="1"/>
  <c r="R1424" i="12"/>
  <c r="R382" i="12"/>
  <c r="V382" i="12" s="1"/>
  <c r="W382" i="12" s="1"/>
  <c r="X382" i="12" s="1"/>
  <c r="Y382" i="12" s="1"/>
  <c r="R1416" i="12"/>
  <c r="V1416" i="12" s="1"/>
  <c r="W1416" i="12" s="1"/>
  <c r="X1416" i="12" s="1"/>
  <c r="Y1416" i="12" s="1"/>
  <c r="R374" i="12"/>
  <c r="V374" i="12" s="1"/>
  <c r="W374" i="12" s="1"/>
  <c r="X374" i="12" s="1"/>
  <c r="Y374" i="12" s="1"/>
  <c r="R1015" i="12"/>
  <c r="R286" i="12"/>
  <c r="V286" i="12" s="1"/>
  <c r="W286" i="12" s="1"/>
  <c r="X286" i="12" s="1"/>
  <c r="Y286" i="12" s="1"/>
  <c r="R1008" i="12"/>
  <c r="V1008" i="12" s="1"/>
  <c r="W1008" i="12" s="1"/>
  <c r="X1008" i="12" s="1"/>
  <c r="Y1008" i="12" s="1"/>
  <c r="R279" i="12"/>
  <c r="R977" i="12"/>
  <c r="V977" i="12" s="1"/>
  <c r="W977" i="12" s="1"/>
  <c r="X977" i="12" s="1"/>
  <c r="Y977" i="12" s="1"/>
  <c r="R253" i="12"/>
  <c r="V253" i="12" s="1"/>
  <c r="W253" i="12" s="1"/>
  <c r="X253" i="12" s="1"/>
  <c r="Y253" i="12" s="1"/>
  <c r="R1371" i="12"/>
  <c r="R1362" i="12"/>
  <c r="V1047" i="12"/>
  <c r="W1047" i="12" s="1"/>
  <c r="X1047" i="12" s="1"/>
  <c r="Y1047" i="12" s="1"/>
  <c r="R1307" i="12"/>
  <c r="V1307" i="12" s="1"/>
  <c r="W1307" i="12" s="1"/>
  <c r="X1307" i="12" s="1"/>
  <c r="Y1307" i="12" s="1"/>
  <c r="V1108" i="12"/>
  <c r="W1108" i="12" s="1"/>
  <c r="X1108" i="12" s="1"/>
  <c r="Y1108" i="12" s="1"/>
  <c r="R1534" i="12"/>
  <c r="R1391" i="12"/>
  <c r="V1391" i="12" s="1"/>
  <c r="W1391" i="12" s="1"/>
  <c r="X1391" i="12" s="1"/>
  <c r="Y1391" i="12" s="1"/>
  <c r="V1389" i="12"/>
  <c r="W1389" i="12" s="1"/>
  <c r="X1389" i="12" s="1"/>
  <c r="Y1389" i="12" s="1"/>
  <c r="R1386" i="12"/>
  <c r="V1386" i="12" s="1"/>
  <c r="W1386" i="12" s="1"/>
  <c r="X1386" i="12" s="1"/>
  <c r="Y1386" i="12" s="1"/>
  <c r="R1201" i="12"/>
  <c r="V1201" i="12" s="1"/>
  <c r="W1201" i="12" s="1"/>
  <c r="X1201" i="12" s="1"/>
  <c r="Y1201" i="12" s="1"/>
  <c r="R1179" i="12"/>
  <c r="R1166" i="12"/>
  <c r="V1166" i="12" s="1"/>
  <c r="W1166" i="12" s="1"/>
  <c r="X1166" i="12" s="1"/>
  <c r="Y1166" i="12" s="1"/>
  <c r="R1212" i="12"/>
  <c r="R1210" i="12"/>
  <c r="V1210" i="12" s="1"/>
  <c r="W1210" i="12" s="1"/>
  <c r="X1210" i="12" s="1"/>
  <c r="Y1210" i="12" s="1"/>
  <c r="R1199" i="12"/>
  <c r="V1199" i="12" s="1"/>
  <c r="W1199" i="12" s="1"/>
  <c r="X1199" i="12" s="1"/>
  <c r="Y1199" i="12" s="1"/>
  <c r="R1164" i="12"/>
  <c r="R1177" i="12"/>
  <c r="V1177" i="12" s="1"/>
  <c r="W1177" i="12" s="1"/>
  <c r="X1177" i="12" s="1"/>
  <c r="Y1177" i="12" s="1"/>
  <c r="R1208" i="12"/>
  <c r="R1160" i="12"/>
  <c r="V1204" i="12"/>
  <c r="W1204" i="12" s="1"/>
  <c r="X1204" i="12" s="1"/>
  <c r="Y1204" i="12" s="1"/>
  <c r="V1385" i="12"/>
  <c r="W1385" i="12"/>
  <c r="Y1385" i="12"/>
  <c r="X1385" i="12"/>
  <c r="V1044" i="12"/>
  <c r="W1044" i="12" s="1"/>
  <c r="X1044" i="12" s="1"/>
  <c r="Y1044" i="12" s="1"/>
  <c r="W1038" i="12"/>
  <c r="Y1038" i="12"/>
  <c r="V1038" i="12"/>
  <c r="X1038" i="12"/>
  <c r="R1141" i="12"/>
  <c r="V1141" i="12" s="1"/>
  <c r="W1141" i="12" s="1"/>
  <c r="X1141" i="12" s="1"/>
  <c r="Y1141" i="12" s="1"/>
  <c r="R1034" i="12"/>
  <c r="X1134" i="12"/>
  <c r="Y1134" i="12"/>
  <c r="W1134" i="12"/>
  <c r="V1134" i="12"/>
  <c r="L50" i="1"/>
  <c r="L51" i="1" s="1"/>
  <c r="M59" i="1"/>
  <c r="L38" i="1"/>
  <c r="AJ55" i="1" l="1"/>
  <c r="AG12" i="17"/>
  <c r="I3" i="17"/>
  <c r="I35" i="17" s="1"/>
  <c r="J36" i="17"/>
  <c r="K4" i="17"/>
  <c r="K44" i="17"/>
  <c r="K57" i="17"/>
  <c r="K56" i="17"/>
  <c r="K50" i="17"/>
  <c r="K43" i="17"/>
  <c r="K38" i="17"/>
  <c r="K39" i="17"/>
  <c r="K51" i="17"/>
  <c r="K13" i="17"/>
  <c r="J10" i="17"/>
  <c r="J42" i="17" s="1"/>
  <c r="J45" i="17"/>
  <c r="K8" i="17"/>
  <c r="J40" i="17"/>
  <c r="J5" i="17"/>
  <c r="J37" i="17" s="1"/>
  <c r="J41" i="17"/>
  <c r="K9" i="17"/>
  <c r="K27" i="17"/>
  <c r="K59" i="17" s="1"/>
  <c r="J26" i="17"/>
  <c r="J58" i="17" s="1"/>
  <c r="W1310" i="12"/>
  <c r="X1310" i="12" s="1"/>
  <c r="Y1310" i="12" s="1"/>
  <c r="W1227" i="12"/>
  <c r="D23" i="17"/>
  <c r="D55" i="17" s="1"/>
  <c r="K37" i="9"/>
  <c r="J20" i="17"/>
  <c r="J52" i="17" s="1"/>
  <c r="X1267" i="12"/>
  <c r="W1119" i="12"/>
  <c r="X1120" i="12"/>
  <c r="V1119" i="12"/>
  <c r="V1114" i="12"/>
  <c r="W1029" i="12"/>
  <c r="X1029" i="12" s="1"/>
  <c r="W1382" i="12"/>
  <c r="W1381" i="12" s="1"/>
  <c r="W1401" i="12"/>
  <c r="W1400" i="12" s="1"/>
  <c r="W1115" i="12"/>
  <c r="X1115" i="12" s="1"/>
  <c r="Y1115" i="12" s="1"/>
  <c r="Y1114" i="12" s="1"/>
  <c r="V1164" i="12"/>
  <c r="W1164" i="12" s="1"/>
  <c r="X1164" i="12" s="1"/>
  <c r="Y1164" i="12" s="1"/>
  <c r="V945" i="12"/>
  <c r="W945" i="12" s="1"/>
  <c r="X945" i="12" s="1"/>
  <c r="Y945" i="12" s="1"/>
  <c r="W1297" i="12"/>
  <c r="V1229" i="12"/>
  <c r="W1229" i="12" s="1"/>
  <c r="V1071" i="12"/>
  <c r="W1071" i="12" s="1"/>
  <c r="X1071" i="12" s="1"/>
  <c r="Y1071" i="12" s="1"/>
  <c r="V1477" i="12"/>
  <c r="W1477" i="12" s="1"/>
  <c r="X1477" i="12" s="1"/>
  <c r="Y1477" i="12" s="1"/>
  <c r="V335" i="12"/>
  <c r="W335" i="12" s="1"/>
  <c r="X335" i="12" s="1"/>
  <c r="Y335" i="12" s="1"/>
  <c r="V1461" i="12"/>
  <c r="W1461" i="12" s="1"/>
  <c r="X1461" i="12" s="1"/>
  <c r="Y1461" i="12" s="1"/>
  <c r="V1003" i="12"/>
  <c r="W1003" i="12" s="1"/>
  <c r="X1003" i="12" s="1"/>
  <c r="Y1003" i="12" s="1"/>
  <c r="V346" i="12"/>
  <c r="W346" i="12" s="1"/>
  <c r="X346" i="12" s="1"/>
  <c r="Y346" i="12" s="1"/>
  <c r="V1272" i="12"/>
  <c r="W1272" i="12" s="1"/>
  <c r="X1272" i="12" s="1"/>
  <c r="Y1272" i="12" s="1"/>
  <c r="V1012" i="12"/>
  <c r="W1012" i="12" s="1"/>
  <c r="X1012" i="12" s="1"/>
  <c r="Y1012" i="12" s="1"/>
  <c r="V1475" i="12"/>
  <c r="W1475" i="12" s="1"/>
  <c r="X1475" i="12" s="1"/>
  <c r="Y1475" i="12" s="1"/>
  <c r="V1268" i="12"/>
  <c r="W1268" i="12" s="1"/>
  <c r="X1268" i="12" s="1"/>
  <c r="Y1268" i="12" s="1"/>
  <c r="V1250" i="12"/>
  <c r="W1250" i="12" s="1"/>
  <c r="V1252" i="12"/>
  <c r="W1252" i="12" s="1"/>
  <c r="X1252" i="12" s="1"/>
  <c r="Y1252" i="12" s="1"/>
  <c r="V325" i="12"/>
  <c r="W325" i="12" s="1"/>
  <c r="X325" i="12" s="1"/>
  <c r="Y325" i="12" s="1"/>
  <c r="V1534" i="12"/>
  <c r="W1534" i="12" s="1"/>
  <c r="X1534" i="12" s="1"/>
  <c r="Y1534" i="12" s="1"/>
  <c r="V343" i="12"/>
  <c r="W343" i="12" s="1"/>
  <c r="X343" i="12" s="1"/>
  <c r="Y343" i="12" s="1"/>
  <c r="V354" i="12"/>
  <c r="W354" i="12" s="1"/>
  <c r="X354" i="12" s="1"/>
  <c r="Y354" i="12" s="1"/>
  <c r="V987" i="12"/>
  <c r="W987" i="12" s="1"/>
  <c r="X987" i="12" s="1"/>
  <c r="Y987" i="12" s="1"/>
  <c r="V1147" i="12"/>
  <c r="W1147" i="12" s="1"/>
  <c r="X1147" i="12" s="1"/>
  <c r="Y1147" i="12" s="1"/>
  <c r="V946" i="12"/>
  <c r="W946" i="12" s="1"/>
  <c r="X946" i="12" s="1"/>
  <c r="Y946" i="12" s="1"/>
  <c r="V962" i="12"/>
  <c r="V383" i="12"/>
  <c r="W383" i="12" s="1"/>
  <c r="X383" i="12" s="1"/>
  <c r="Y383" i="12" s="1"/>
  <c r="V410" i="12"/>
  <c r="W410" i="12" s="1"/>
  <c r="X410" i="12" s="1"/>
  <c r="Y410" i="12" s="1"/>
  <c r="V415" i="12"/>
  <c r="W415" i="12" s="1"/>
  <c r="X415" i="12" s="1"/>
  <c r="Y415" i="12" s="1"/>
  <c r="V1175" i="12"/>
  <c r="W1175" i="12" s="1"/>
  <c r="X1175" i="12" s="1"/>
  <c r="Y1175" i="12" s="1"/>
  <c r="V435" i="12"/>
  <c r="W435" i="12" s="1"/>
  <c r="X435" i="12" s="1"/>
  <c r="Y435" i="12" s="1"/>
  <c r="V316" i="12"/>
  <c r="W316" i="12" s="1"/>
  <c r="X316" i="12" s="1"/>
  <c r="Y316" i="12" s="1"/>
  <c r="V304" i="12"/>
  <c r="W304" i="12" s="1"/>
  <c r="X304" i="12" s="1"/>
  <c r="Y304" i="12" s="1"/>
  <c r="V1170" i="12"/>
  <c r="W1170" i="12" s="1"/>
  <c r="X1170" i="12" s="1"/>
  <c r="Y1170" i="12" s="1"/>
  <c r="V1437" i="12"/>
  <c r="W1437" i="12" s="1"/>
  <c r="X1437" i="12" s="1"/>
  <c r="Y1437" i="12" s="1"/>
  <c r="V1139" i="12"/>
  <c r="W1139" i="12" s="1"/>
  <c r="X1139" i="12" s="1"/>
  <c r="Y1139" i="12" s="1"/>
  <c r="W1384" i="12"/>
  <c r="V1309" i="12"/>
  <c r="W1309" i="12" s="1"/>
  <c r="X1309" i="12" s="1"/>
  <c r="Y1309" i="12" s="1"/>
  <c r="V1420" i="12"/>
  <c r="W1420" i="12" s="1"/>
  <c r="X1420" i="12" s="1"/>
  <c r="Y1420" i="12" s="1"/>
  <c r="V391" i="12"/>
  <c r="W391" i="12" s="1"/>
  <c r="X391" i="12" s="1"/>
  <c r="Y391" i="12" s="1"/>
  <c r="V1421" i="12"/>
  <c r="W1421" i="12" s="1"/>
  <c r="X1421" i="12" s="1"/>
  <c r="Y1421" i="12" s="1"/>
  <c r="V342" i="12"/>
  <c r="W342" i="12" s="1"/>
  <c r="V290" i="12"/>
  <c r="W290" i="12" s="1"/>
  <c r="X290" i="12" s="1"/>
  <c r="Y290" i="12" s="1"/>
  <c r="V1084" i="12"/>
  <c r="W1084" i="12" s="1"/>
  <c r="X1084" i="12" s="1"/>
  <c r="Y1084" i="12" s="1"/>
  <c r="W1545" i="12"/>
  <c r="V1273" i="12"/>
  <c r="W1273" i="12" s="1"/>
  <c r="X1273" i="12" s="1"/>
  <c r="Y1273" i="12" s="1"/>
  <c r="V944" i="12"/>
  <c r="V399" i="12"/>
  <c r="W399" i="12" s="1"/>
  <c r="X399" i="12" s="1"/>
  <c r="Y399" i="12" s="1"/>
  <c r="V1533" i="12"/>
  <c r="W1533" i="12" s="1"/>
  <c r="X1533" i="12" s="1"/>
  <c r="Y1533" i="12" s="1"/>
  <c r="X1532" i="12"/>
  <c r="V1285" i="12"/>
  <c r="W1285" i="12" s="1"/>
  <c r="X1285" i="12" s="1"/>
  <c r="Y1285" i="12" s="1"/>
  <c r="V292" i="12"/>
  <c r="W292" i="12" s="1"/>
  <c r="X292" i="12" s="1"/>
  <c r="Y292" i="12" s="1"/>
  <c r="V1218" i="12"/>
  <c r="W1218" i="12" s="1"/>
  <c r="X1218" i="12" s="1"/>
  <c r="Y1218" i="12" s="1"/>
  <c r="V969" i="12"/>
  <c r="W969" i="12" s="1"/>
  <c r="X969" i="12" s="1"/>
  <c r="Y969" i="12" s="1"/>
  <c r="V367" i="12"/>
  <c r="W367" i="12" s="1"/>
  <c r="X367" i="12" s="1"/>
  <c r="Y367" i="12" s="1"/>
  <c r="X1127" i="12"/>
  <c r="V287" i="12"/>
  <c r="W287" i="12" s="1"/>
  <c r="X287" i="12" s="1"/>
  <c r="Y287" i="12" s="1"/>
  <c r="V1126" i="12"/>
  <c r="V1125" i="12" s="1"/>
  <c r="V970" i="12"/>
  <c r="W970" i="12" s="1"/>
  <c r="X970" i="12" s="1"/>
  <c r="Y970" i="12" s="1"/>
  <c r="V1392" i="12"/>
  <c r="W1392" i="12" s="1"/>
  <c r="X1392" i="12" s="1"/>
  <c r="Y1392" i="12" s="1"/>
  <c r="V426" i="12"/>
  <c r="W426" i="12" s="1"/>
  <c r="X426" i="12" s="1"/>
  <c r="Y426" i="12" s="1"/>
  <c r="V327" i="12"/>
  <c r="W327" i="12" s="1"/>
  <c r="X327" i="12" s="1"/>
  <c r="Y327" i="12" s="1"/>
  <c r="V271" i="12"/>
  <c r="W271" i="12" s="1"/>
  <c r="V1067" i="12"/>
  <c r="W1067" i="12" s="1"/>
  <c r="X1067" i="12" s="1"/>
  <c r="Y1067" i="12" s="1"/>
  <c r="V1156" i="12"/>
  <c r="W1156" i="12" s="1"/>
  <c r="X1156" i="12" s="1"/>
  <c r="Y1156" i="12" s="1"/>
  <c r="V275" i="12"/>
  <c r="W275" i="12" s="1"/>
  <c r="X275" i="12" s="1"/>
  <c r="Y275" i="12" s="1"/>
  <c r="V364" i="12"/>
  <c r="V323" i="12"/>
  <c r="W323" i="12" s="1"/>
  <c r="X323" i="12" s="1"/>
  <c r="Y323" i="12" s="1"/>
  <c r="V299" i="12"/>
  <c r="W299" i="12" s="1"/>
  <c r="X299" i="12" s="1"/>
  <c r="Y299" i="12" s="1"/>
  <c r="W1182" i="12"/>
  <c r="V1181" i="12"/>
  <c r="V258" i="12"/>
  <c r="W258" i="12" s="1"/>
  <c r="X258" i="12" s="1"/>
  <c r="Y258" i="12" s="1"/>
  <c r="V1259" i="12"/>
  <c r="W1259" i="12" s="1"/>
  <c r="X1259" i="12" s="1"/>
  <c r="Y1259" i="12" s="1"/>
  <c r="V1239" i="12"/>
  <c r="W1239" i="12" s="1"/>
  <c r="X1239" i="12" s="1"/>
  <c r="Y1239" i="12" s="1"/>
  <c r="V975" i="12"/>
  <c r="W975" i="12" s="1"/>
  <c r="V1476" i="12"/>
  <c r="W1476" i="12" s="1"/>
  <c r="X1476" i="12" s="1"/>
  <c r="Y1476" i="12" s="1"/>
  <c r="V1417" i="12"/>
  <c r="W1417" i="12" s="1"/>
  <c r="X1417" i="12" s="1"/>
  <c r="Y1417" i="12" s="1"/>
  <c r="V1212" i="12"/>
  <c r="W1212" i="12" s="1"/>
  <c r="X1212" i="12" s="1"/>
  <c r="Y1212" i="12" s="1"/>
  <c r="V1015" i="12"/>
  <c r="W1015" i="12" s="1"/>
  <c r="X1015" i="12" s="1"/>
  <c r="Y1015" i="12" s="1"/>
  <c r="V1278" i="12"/>
  <c r="W1278" i="12" s="1"/>
  <c r="X1278" i="12" s="1"/>
  <c r="Y1278" i="12" s="1"/>
  <c r="V319" i="12"/>
  <c r="W319" i="12" s="1"/>
  <c r="X319" i="12" s="1"/>
  <c r="Y319" i="12" s="1"/>
  <c r="V990" i="12"/>
  <c r="W990" i="12" s="1"/>
  <c r="X990" i="12" s="1"/>
  <c r="Y990" i="12" s="1"/>
  <c r="Y1127" i="12"/>
  <c r="V1060" i="12"/>
  <c r="W1060" i="12" s="1"/>
  <c r="X1060" i="12" s="1"/>
  <c r="Y1060" i="12" s="1"/>
  <c r="V1051" i="12"/>
  <c r="V340" i="12"/>
  <c r="V339" i="12" s="1"/>
  <c r="V1453" i="12"/>
  <c r="W1453" i="12" s="1"/>
  <c r="X1453" i="12" s="1"/>
  <c r="Y1453" i="12" s="1"/>
  <c r="V1311" i="12"/>
  <c r="W1311" i="12" s="1"/>
  <c r="X1311" i="12" s="1"/>
  <c r="Y1311" i="12" s="1"/>
  <c r="V255" i="12"/>
  <c r="W255" i="12" s="1"/>
  <c r="X255" i="12" s="1"/>
  <c r="Y255" i="12" s="1"/>
  <c r="V963" i="12"/>
  <c r="W963" i="12" s="1"/>
  <c r="X963" i="12" s="1"/>
  <c r="Y963" i="12" s="1"/>
  <c r="V434" i="12"/>
  <c r="W434" i="12" s="1"/>
  <c r="X434" i="12" s="1"/>
  <c r="Y434" i="12" s="1"/>
  <c r="V351" i="12"/>
  <c r="W351" i="12" s="1"/>
  <c r="X351" i="12" s="1"/>
  <c r="Y351" i="12" s="1"/>
  <c r="V1056" i="12"/>
  <c r="V1197" i="12"/>
  <c r="W1197" i="12" s="1"/>
  <c r="X1197" i="12" s="1"/>
  <c r="Y1197" i="12" s="1"/>
  <c r="V983" i="12"/>
  <c r="W983" i="12" s="1"/>
  <c r="X983" i="12" s="1"/>
  <c r="Y983" i="12" s="1"/>
  <c r="V1457" i="12"/>
  <c r="W1457" i="12" s="1"/>
  <c r="X1457" i="12" s="1"/>
  <c r="Y1457" i="12" s="1"/>
  <c r="V1473" i="12"/>
  <c r="W1473" i="12" s="1"/>
  <c r="X1473" i="12" s="1"/>
  <c r="Y1473" i="12" s="1"/>
  <c r="V322" i="12"/>
  <c r="W322" i="12" s="1"/>
  <c r="X322" i="12" s="1"/>
  <c r="Y322" i="12" s="1"/>
  <c r="V1300" i="12"/>
  <c r="W1300" i="12" s="1"/>
  <c r="X1300" i="12" s="1"/>
  <c r="Y1300" i="12" s="1"/>
  <c r="V1104" i="12"/>
  <c r="V988" i="12"/>
  <c r="W988" i="12" s="1"/>
  <c r="X988" i="12" s="1"/>
  <c r="Y988" i="12" s="1"/>
  <c r="V1083" i="12"/>
  <c r="W1083" i="12" s="1"/>
  <c r="X1083" i="12" s="1"/>
  <c r="Y1083" i="12" s="1"/>
  <c r="V985" i="12"/>
  <c r="W985" i="12" s="1"/>
  <c r="X985" i="12" s="1"/>
  <c r="Y985" i="12" s="1"/>
  <c r="V337" i="12"/>
  <c r="V1216" i="12"/>
  <c r="W1216" i="12" s="1"/>
  <c r="X1216" i="12" s="1"/>
  <c r="Y1216" i="12" s="1"/>
  <c r="V996" i="12"/>
  <c r="W996" i="12" s="1"/>
  <c r="X996" i="12" s="1"/>
  <c r="Y996" i="12" s="1"/>
  <c r="V1048" i="12"/>
  <c r="W1048" i="12" s="1"/>
  <c r="X1048" i="12" s="1"/>
  <c r="Y1048" i="12" s="1"/>
  <c r="V331" i="12"/>
  <c r="V291" i="12"/>
  <c r="W291" i="12" s="1"/>
  <c r="X291" i="12" s="1"/>
  <c r="Y291" i="12" s="1"/>
  <c r="V310" i="12"/>
  <c r="W310" i="12" s="1"/>
  <c r="V1022" i="12"/>
  <c r="W1022" i="12" s="1"/>
  <c r="X1022" i="12" s="1"/>
  <c r="Y1022" i="12" s="1"/>
  <c r="V279" i="12"/>
  <c r="W279" i="12" s="1"/>
  <c r="X279" i="12" s="1"/>
  <c r="Y279" i="12" s="1"/>
  <c r="W1261" i="12"/>
  <c r="V1127" i="12"/>
  <c r="V1432" i="12"/>
  <c r="W1432" i="12" s="1"/>
  <c r="X1432" i="12" s="1"/>
  <c r="Y1432" i="12" s="1"/>
  <c r="V313" i="12"/>
  <c r="V312" i="12" s="1"/>
  <c r="V1024" i="12"/>
  <c r="W1024" i="12" s="1"/>
  <c r="X1024" i="12" s="1"/>
  <c r="Y1024" i="12" s="1"/>
  <c r="V1269" i="12"/>
  <c r="W1269" i="12" s="1"/>
  <c r="X1269" i="12" s="1"/>
  <c r="Y1269" i="12" s="1"/>
  <c r="W1547" i="12"/>
  <c r="V1092" i="12"/>
  <c r="V1410" i="12"/>
  <c r="W1410" i="12" s="1"/>
  <c r="X1410" i="12" s="1"/>
  <c r="Y1410" i="12" s="1"/>
  <c r="V1456" i="12"/>
  <c r="W1456" i="12" s="1"/>
  <c r="X1456" i="12" s="1"/>
  <c r="Y1456" i="12" s="1"/>
  <c r="V1289" i="12"/>
  <c r="W1289" i="12" s="1"/>
  <c r="X1289" i="12" s="1"/>
  <c r="Y1289" i="12" s="1"/>
  <c r="V1086" i="12"/>
  <c r="W1086" i="12" s="1"/>
  <c r="X1086" i="12" s="1"/>
  <c r="Y1086" i="12" s="1"/>
  <c r="W1031" i="12"/>
  <c r="V1138" i="12"/>
  <c r="W1138" i="12" s="1"/>
  <c r="X1138" i="12" s="1"/>
  <c r="V1377" i="12"/>
  <c r="V980" i="12"/>
  <c r="W980" i="12" s="1"/>
  <c r="X980" i="12" s="1"/>
  <c r="Y980" i="12" s="1"/>
  <c r="V1403" i="12"/>
  <c r="V958" i="12"/>
  <c r="W958" i="12" s="1"/>
  <c r="V950" i="12"/>
  <c r="W950" i="12" s="1"/>
  <c r="V259" i="12"/>
  <c r="W259" i="12" s="1"/>
  <c r="X259" i="12" s="1"/>
  <c r="Y259" i="12" s="1"/>
  <c r="V959" i="12"/>
  <c r="W959" i="12" s="1"/>
  <c r="X959" i="12" s="1"/>
  <c r="Y959" i="12" s="1"/>
  <c r="V386" i="12"/>
  <c r="W386" i="12" s="1"/>
  <c r="X386" i="12" s="1"/>
  <c r="Y386" i="12" s="1"/>
  <c r="V1277" i="12"/>
  <c r="W1277" i="12" s="1"/>
  <c r="X1277" i="12" s="1"/>
  <c r="Y1277" i="12" s="1"/>
  <c r="V1251" i="12"/>
  <c r="W1251" i="12" s="1"/>
  <c r="X1251" i="12" s="1"/>
  <c r="Y1251" i="12" s="1"/>
  <c r="W1150" i="12"/>
  <c r="V1399" i="12"/>
  <c r="V953" i="12"/>
  <c r="W953" i="12" s="1"/>
  <c r="X953" i="12" s="1"/>
  <c r="Y953" i="12" s="1"/>
  <c r="V1444" i="12"/>
  <c r="W1444" i="12" s="1"/>
  <c r="X1444" i="12" s="1"/>
  <c r="Y1444" i="12" s="1"/>
  <c r="V1276" i="12"/>
  <c r="V289" i="12"/>
  <c r="V1172" i="12"/>
  <c r="W1172" i="12" s="1"/>
  <c r="X1172" i="12" s="1"/>
  <c r="Y1172" i="12" s="1"/>
  <c r="V476" i="12"/>
  <c r="V1293" i="12"/>
  <c r="W1293" i="12" s="1"/>
  <c r="X1293" i="12" s="1"/>
  <c r="Y1293" i="12" s="1"/>
  <c r="V1160" i="12"/>
  <c r="W1160" i="12" s="1"/>
  <c r="X1160" i="12" s="1"/>
  <c r="Y1160" i="12" s="1"/>
  <c r="V1179" i="12"/>
  <c r="W1179" i="12" s="1"/>
  <c r="V394" i="12"/>
  <c r="W394" i="12" s="1"/>
  <c r="X394" i="12" s="1"/>
  <c r="Y394" i="12" s="1"/>
  <c r="V334" i="12"/>
  <c r="W334" i="12" s="1"/>
  <c r="X334" i="12" s="1"/>
  <c r="Y334" i="12" s="1"/>
  <c r="V311" i="12"/>
  <c r="W311" i="12" s="1"/>
  <c r="X311" i="12" s="1"/>
  <c r="Y311" i="12" s="1"/>
  <c r="W1127" i="12"/>
  <c r="V954" i="12"/>
  <c r="W954" i="12" s="1"/>
  <c r="X954" i="12" s="1"/>
  <c r="Y954" i="12" s="1"/>
  <c r="V375" i="12"/>
  <c r="W375" i="12" s="1"/>
  <c r="X375" i="12" s="1"/>
  <c r="Y375" i="12" s="1"/>
  <c r="V402" i="12"/>
  <c r="W402" i="12" s="1"/>
  <c r="X402" i="12" s="1"/>
  <c r="Y402" i="12" s="1"/>
  <c r="V422" i="12"/>
  <c r="W422" i="12" s="1"/>
  <c r="X422" i="12" s="1"/>
  <c r="Y422" i="12" s="1"/>
  <c r="V1224" i="12"/>
  <c r="W1224" i="12"/>
  <c r="Y1224" i="12"/>
  <c r="X1224" i="12"/>
  <c r="V971" i="12"/>
  <c r="W971" i="12" s="1"/>
  <c r="X971" i="12" s="1"/>
  <c r="Y971" i="12" s="1"/>
  <c r="V315" i="12"/>
  <c r="V403" i="12"/>
  <c r="W403" i="12" s="1"/>
  <c r="X403" i="12" s="1"/>
  <c r="Y403" i="12" s="1"/>
  <c r="V423" i="12"/>
  <c r="W423" i="12" s="1"/>
  <c r="X423" i="12" s="1"/>
  <c r="Y423" i="12" s="1"/>
  <c r="V1079" i="12"/>
  <c r="W1079" i="12" s="1"/>
  <c r="X1079" i="12" s="1"/>
  <c r="Y1079" i="12" s="1"/>
  <c r="V1542" i="12"/>
  <c r="V1541" i="12" s="1"/>
  <c r="V1274" i="12"/>
  <c r="W1274" i="12" s="1"/>
  <c r="X1274" i="12" s="1"/>
  <c r="Y1274" i="12" s="1"/>
  <c r="V419" i="12"/>
  <c r="W419" i="12" s="1"/>
  <c r="X419" i="12" s="1"/>
  <c r="Y419" i="12" s="1"/>
  <c r="V266" i="12"/>
  <c r="W266" i="12" s="1"/>
  <c r="X266" i="12" s="1"/>
  <c r="Y266" i="12" s="1"/>
  <c r="V1000" i="12"/>
  <c r="W1000" i="12" s="1"/>
  <c r="V305" i="12"/>
  <c r="W305" i="12" s="1"/>
  <c r="X305" i="12" s="1"/>
  <c r="Y305" i="12" s="1"/>
  <c r="V1405" i="12"/>
  <c r="W1405" i="12" s="1"/>
  <c r="X1405" i="12" s="1"/>
  <c r="Y1405" i="12" s="1"/>
  <c r="V1258" i="12"/>
  <c r="V295" i="12"/>
  <c r="V294" i="12" s="1"/>
  <c r="V306" i="12"/>
  <c r="W306" i="12" s="1"/>
  <c r="X306" i="12" s="1"/>
  <c r="Y306" i="12" s="1"/>
  <c r="V1059" i="12"/>
  <c r="W1059" i="12" s="1"/>
  <c r="X1059" i="12" s="1"/>
  <c r="Y1059" i="12" s="1"/>
  <c r="V1349" i="12"/>
  <c r="V1348" i="12" s="1"/>
  <c r="V406" i="12"/>
  <c r="W406" i="12" s="1"/>
  <c r="X406" i="12" s="1"/>
  <c r="Y406" i="12" s="1"/>
  <c r="V1361" i="12"/>
  <c r="V387" i="12"/>
  <c r="W387" i="12" s="1"/>
  <c r="X387" i="12" s="1"/>
  <c r="Y387" i="12" s="1"/>
  <c r="V965" i="12"/>
  <c r="W965" i="12" s="1"/>
  <c r="X965" i="12" s="1"/>
  <c r="Y965" i="12" s="1"/>
  <c r="V407" i="12"/>
  <c r="W407" i="12" s="1"/>
  <c r="X407" i="12" s="1"/>
  <c r="Y407" i="12" s="1"/>
  <c r="V1424" i="12"/>
  <c r="W1424" i="12" s="1"/>
  <c r="X1424" i="12" s="1"/>
  <c r="Y1424" i="12" s="1"/>
  <c r="V1208" i="12"/>
  <c r="W1208" i="12" s="1"/>
  <c r="X1208" i="12" s="1"/>
  <c r="Y1208" i="12" s="1"/>
  <c r="V1095" i="12"/>
  <c r="W1095" i="12" s="1"/>
  <c r="X1095" i="12" s="1"/>
  <c r="Y1095" i="12" s="1"/>
  <c r="V1524" i="12"/>
  <c r="W1524" i="12" s="1"/>
  <c r="X1524" i="12" s="1"/>
  <c r="Y1524" i="12" s="1"/>
  <c r="V994" i="12"/>
  <c r="W994" i="12" s="1"/>
  <c r="X994" i="12" s="1"/>
  <c r="Y994" i="12" s="1"/>
  <c r="V1448" i="12"/>
  <c r="W1448" i="12" s="1"/>
  <c r="X1448" i="12" s="1"/>
  <c r="Y1448" i="12" s="1"/>
  <c r="V418" i="12"/>
  <c r="W418" i="12" s="1"/>
  <c r="X418" i="12" s="1"/>
  <c r="Y418" i="12" s="1"/>
  <c r="V1481" i="12"/>
  <c r="W1481" i="12" s="1"/>
  <c r="X1481" i="12" s="1"/>
  <c r="Y1481" i="12" s="1"/>
  <c r="V1066" i="12"/>
  <c r="W1066" i="12" s="1"/>
  <c r="X1066" i="12" s="1"/>
  <c r="Y1066" i="12" s="1"/>
  <c r="V431" i="12"/>
  <c r="W431" i="12" s="1"/>
  <c r="X431" i="12" s="1"/>
  <c r="Y431" i="12" s="1"/>
  <c r="V1203" i="12"/>
  <c r="W1203" i="12" s="1"/>
  <c r="X1203" i="12" s="1"/>
  <c r="Y1203" i="12" s="1"/>
  <c r="V1313" i="12"/>
  <c r="W1313" i="12" s="1"/>
  <c r="X1313" i="12" s="1"/>
  <c r="Y1313" i="12" s="1"/>
  <c r="V282" i="12"/>
  <c r="W282" i="12" s="1"/>
  <c r="X282" i="12" s="1"/>
  <c r="Y282" i="12" s="1"/>
  <c r="V984" i="12"/>
  <c r="W984" i="12" s="1"/>
  <c r="X984" i="12" s="1"/>
  <c r="Y984" i="12" s="1"/>
  <c r="V371" i="12"/>
  <c r="W371" i="12" s="1"/>
  <c r="X371" i="12" s="1"/>
  <c r="Y371" i="12" s="1"/>
  <c r="V378" i="12"/>
  <c r="W378" i="12" s="1"/>
  <c r="X378" i="12" s="1"/>
  <c r="Y378" i="12" s="1"/>
  <c r="V1445" i="12"/>
  <c r="W1445" i="12" s="1"/>
  <c r="X1445" i="12" s="1"/>
  <c r="Y1445" i="12" s="1"/>
  <c r="V1397" i="12"/>
  <c r="W1397" i="12" s="1"/>
  <c r="X1397" i="12" s="1"/>
  <c r="Y1397" i="12" s="1"/>
  <c r="V251" i="12"/>
  <c r="W251" i="12" s="1"/>
  <c r="V1460" i="12"/>
  <c r="W1460" i="12" s="1"/>
  <c r="X1460" i="12" s="1"/>
  <c r="Y1460" i="12" s="1"/>
  <c r="V1215" i="12"/>
  <c r="V1019" i="12"/>
  <c r="V1034" i="12"/>
  <c r="X474" i="12"/>
  <c r="W474" i="12"/>
  <c r="V474" i="12"/>
  <c r="Y474" i="12"/>
  <c r="V1463" i="12"/>
  <c r="W1463" i="12" s="1"/>
  <c r="X1463" i="12" s="1"/>
  <c r="Y1463" i="12" s="1"/>
  <c r="V320" i="12"/>
  <c r="W320" i="12" s="1"/>
  <c r="X320" i="12" s="1"/>
  <c r="Y320" i="12" s="1"/>
  <c r="V1368" i="12"/>
  <c r="W1368" i="12" s="1"/>
  <c r="X1368" i="12" s="1"/>
  <c r="Y1368" i="12" s="1"/>
  <c r="V956" i="12"/>
  <c r="V1148" i="12"/>
  <c r="W1148" i="12" s="1"/>
  <c r="X1148" i="12" s="1"/>
  <c r="Y1148" i="12" s="1"/>
  <c r="V1271" i="12"/>
  <c r="X1103" i="12"/>
  <c r="V370" i="12"/>
  <c r="W370" i="12" s="1"/>
  <c r="X370" i="12" s="1"/>
  <c r="Y370" i="12" s="1"/>
  <c r="V991" i="12"/>
  <c r="W991" i="12" s="1"/>
  <c r="X991" i="12" s="1"/>
  <c r="Y991" i="12" s="1"/>
  <c r="V298" i="12"/>
  <c r="V1191" i="12"/>
  <c r="W1191" i="12" s="1"/>
  <c r="X1191" i="12" s="1"/>
  <c r="Y1191" i="12" s="1"/>
  <c r="V1365" i="12"/>
  <c r="W1365" i="12" s="1"/>
  <c r="X1365" i="12" s="1"/>
  <c r="Y1365" i="12" s="1"/>
  <c r="V1412" i="12"/>
  <c r="W1412" i="12" s="1"/>
  <c r="X1412" i="12" s="1"/>
  <c r="Y1412" i="12" s="1"/>
  <c r="V263" i="12"/>
  <c r="W263" i="12" s="1"/>
  <c r="X263" i="12" s="1"/>
  <c r="Y263" i="12" s="1"/>
  <c r="V1140" i="12"/>
  <c r="W1140" i="12" s="1"/>
  <c r="X1140" i="12" s="1"/>
  <c r="Y1140" i="12" s="1"/>
  <c r="V338" i="12"/>
  <c r="W338" i="12" s="1"/>
  <c r="X338" i="12" s="1"/>
  <c r="Y338" i="12" s="1"/>
  <c r="W1334" i="12"/>
  <c r="V1367" i="12"/>
  <c r="W1367" i="12" s="1"/>
  <c r="X1367" i="12" s="1"/>
  <c r="Y1367" i="12" s="1"/>
  <c r="V1436" i="12"/>
  <c r="W1436" i="12" s="1"/>
  <c r="X1436" i="12" s="1"/>
  <c r="Y1436" i="12" s="1"/>
  <c r="V420" i="12"/>
  <c r="W420" i="12" s="1"/>
  <c r="X420" i="12" s="1"/>
  <c r="Y420" i="12" s="1"/>
  <c r="V307" i="12"/>
  <c r="W307" i="12" s="1"/>
  <c r="X307" i="12" s="1"/>
  <c r="Y307" i="12" s="1"/>
  <c r="M50" i="1"/>
  <c r="M51" i="1" s="1"/>
  <c r="N59" i="1"/>
  <c r="M38" i="1"/>
  <c r="AK55" i="1" l="1"/>
  <c r="AH12" i="17"/>
  <c r="L9" i="17"/>
  <c r="K41" i="17"/>
  <c r="L13" i="17"/>
  <c r="K10" i="17"/>
  <c r="K42" i="17" s="1"/>
  <c r="K45" i="17"/>
  <c r="L44" i="17"/>
  <c r="L38" i="17"/>
  <c r="L56" i="17"/>
  <c r="L50" i="17"/>
  <c r="L57" i="17"/>
  <c r="L43" i="17"/>
  <c r="L51" i="17"/>
  <c r="L39" i="17"/>
  <c r="J3" i="17"/>
  <c r="J35" i="17" s="1"/>
  <c r="K5" i="17"/>
  <c r="K37" i="17" s="1"/>
  <c r="L8" i="17"/>
  <c r="K40" i="17"/>
  <c r="L4" i="17"/>
  <c r="K36" i="17"/>
  <c r="L27" i="17"/>
  <c r="L59" i="17" s="1"/>
  <c r="K26" i="17"/>
  <c r="K58" i="17" s="1"/>
  <c r="X1401" i="12"/>
  <c r="Y1401" i="12" s="1"/>
  <c r="Y1400" i="12" s="1"/>
  <c r="W1114" i="12"/>
  <c r="X1227" i="12"/>
  <c r="E23" i="17"/>
  <c r="E55" i="17" s="1"/>
  <c r="L37" i="9"/>
  <c r="K20" i="17"/>
  <c r="K52" i="17" s="1"/>
  <c r="X1114" i="12"/>
  <c r="W1028" i="12"/>
  <c r="V1018" i="12"/>
  <c r="X1382" i="12"/>
  <c r="X1381" i="12" s="1"/>
  <c r="Y1189" i="12"/>
  <c r="V1189" i="12"/>
  <c r="V1257" i="12"/>
  <c r="W313" i="12"/>
  <c r="V297" i="12"/>
  <c r="W298" i="12"/>
  <c r="V288" i="12"/>
  <c r="W1189" i="12"/>
  <c r="V1270" i="12"/>
  <c r="V1266" i="12"/>
  <c r="X1266" i="12"/>
  <c r="Y1267" i="12"/>
  <c r="Y1266" i="12" s="1"/>
  <c r="W1266" i="12"/>
  <c r="X1189" i="12"/>
  <c r="X1119" i="12"/>
  <c r="Y1120" i="12"/>
  <c r="Y1119" i="12" s="1"/>
  <c r="V1214" i="12"/>
  <c r="V998" i="12"/>
  <c r="W1019" i="12"/>
  <c r="W1018" i="12" s="1"/>
  <c r="X1202" i="12"/>
  <c r="X1000" i="12"/>
  <c r="W998" i="12"/>
  <c r="V1202" i="12"/>
  <c r="W289" i="12"/>
  <c r="W288" i="12" s="1"/>
  <c r="W340" i="12"/>
  <c r="X340" i="12" s="1"/>
  <c r="W1126" i="12"/>
  <c r="W1125" i="12" s="1"/>
  <c r="X1179" i="12"/>
  <c r="W315" i="12"/>
  <c r="V314" i="12"/>
  <c r="W957" i="12"/>
  <c r="X958" i="12"/>
  <c r="V363" i="12"/>
  <c r="W364" i="12"/>
  <c r="W962" i="12"/>
  <c r="X1250" i="12"/>
  <c r="V955" i="12"/>
  <c r="W956" i="12"/>
  <c r="W1202" i="12"/>
  <c r="W1361" i="12"/>
  <c r="X950" i="12"/>
  <c r="W949" i="12"/>
  <c r="X271" i="12"/>
  <c r="W270" i="12"/>
  <c r="Y968" i="12"/>
  <c r="W250" i="12"/>
  <c r="V1398" i="12"/>
  <c r="W1399" i="12"/>
  <c r="W309" i="12"/>
  <c r="X310" i="12"/>
  <c r="W1056" i="12"/>
  <c r="W1333" i="12"/>
  <c r="X1334" i="12"/>
  <c r="W1271" i="12"/>
  <c r="W1215" i="12"/>
  <c r="Y1202" i="12"/>
  <c r="V336" i="12"/>
  <c r="W337" i="12"/>
  <c r="Y1103" i="12"/>
  <c r="W295" i="12"/>
  <c r="X1150" i="12"/>
  <c r="W1104" i="12"/>
  <c r="V1102" i="12"/>
  <c r="X1229" i="12"/>
  <c r="W1034" i="12"/>
  <c r="V1033" i="12"/>
  <c r="V1376" i="12"/>
  <c r="W1377" i="12"/>
  <c r="W974" i="12"/>
  <c r="X975" i="12"/>
  <c r="W341" i="12"/>
  <c r="X342" i="12"/>
  <c r="X251" i="12"/>
  <c r="W1276" i="12"/>
  <c r="Y1138" i="12"/>
  <c r="V270" i="12"/>
  <c r="X968" i="12"/>
  <c r="V303" i="12"/>
  <c r="V1383" i="12"/>
  <c r="W331" i="12"/>
  <c r="V330" i="12"/>
  <c r="W1181" i="12"/>
  <c r="X1182" i="12"/>
  <c r="W968" i="12"/>
  <c r="Y303" i="12"/>
  <c r="V1531" i="12"/>
  <c r="X1297" i="12"/>
  <c r="V968" i="12"/>
  <c r="X303" i="12"/>
  <c r="V949" i="12"/>
  <c r="W1092" i="12"/>
  <c r="V309" i="12"/>
  <c r="W1051" i="12"/>
  <c r="V1050" i="12"/>
  <c r="W303" i="12"/>
  <c r="X1028" i="12"/>
  <c r="Y1029" i="12"/>
  <c r="Y1028" i="12" s="1"/>
  <c r="W1544" i="12"/>
  <c r="X1545" i="12"/>
  <c r="X1031" i="12"/>
  <c r="W1030" i="12"/>
  <c r="X1547" i="12"/>
  <c r="W1546" i="12"/>
  <c r="V250" i="12"/>
  <c r="W1349" i="12"/>
  <c r="W1258" i="12"/>
  <c r="W1542" i="12"/>
  <c r="V957" i="12"/>
  <c r="W1403" i="12"/>
  <c r="X1261" i="12"/>
  <c r="W1531" i="12"/>
  <c r="W944" i="12"/>
  <c r="V943" i="12"/>
  <c r="V974" i="12"/>
  <c r="X1531" i="12"/>
  <c r="Y1532" i="12"/>
  <c r="Y1531" i="12" s="1"/>
  <c r="V341" i="12"/>
  <c r="W1383" i="12"/>
  <c r="X1384" i="12"/>
  <c r="N50" i="1"/>
  <c r="N51" i="1" s="1"/>
  <c r="O59" i="1"/>
  <c r="N38" i="1"/>
  <c r="AL55" i="1" l="1"/>
  <c r="AI12" i="17"/>
  <c r="K3" i="17"/>
  <c r="K35" i="17" s="1"/>
  <c r="M4" i="17"/>
  <c r="L36" i="17"/>
  <c r="L10" i="17"/>
  <c r="L42" i="17" s="1"/>
  <c r="M13" i="17"/>
  <c r="L45" i="17"/>
  <c r="M8" i="17"/>
  <c r="L40" i="17"/>
  <c r="L5" i="17"/>
  <c r="L37" i="17" s="1"/>
  <c r="M44" i="17"/>
  <c r="M38" i="17"/>
  <c r="M43" i="17"/>
  <c r="M56" i="17"/>
  <c r="M57" i="17"/>
  <c r="M50" i="17"/>
  <c r="M51" i="17"/>
  <c r="M39" i="17"/>
  <c r="M9" i="17"/>
  <c r="L41" i="17"/>
  <c r="L26" i="17"/>
  <c r="L58" i="17" s="1"/>
  <c r="M27" i="17"/>
  <c r="M59" i="17" s="1"/>
  <c r="X1400" i="12"/>
  <c r="Y1382" i="12"/>
  <c r="Y1381" i="12" s="1"/>
  <c r="M37" i="9"/>
  <c r="L20" i="17"/>
  <c r="L52" i="17" s="1"/>
  <c r="Y1227" i="12"/>
  <c r="F23" i="17"/>
  <c r="F55" i="17" s="1"/>
  <c r="X289" i="12"/>
  <c r="X288" i="12" s="1"/>
  <c r="X1126" i="12"/>
  <c r="X1125" i="12" s="1"/>
  <c r="W476" i="12"/>
  <c r="W312" i="12"/>
  <c r="X313" i="12"/>
  <c r="W297" i="12"/>
  <c r="X298" i="12"/>
  <c r="X1019" i="12"/>
  <c r="X1018" i="12" s="1"/>
  <c r="W339" i="12"/>
  <c r="Y1000" i="12"/>
  <c r="Y998" i="12" s="1"/>
  <c r="X998" i="12"/>
  <c r="X1333" i="12"/>
  <c r="Y1334" i="12"/>
  <c r="Y1333" i="12" s="1"/>
  <c r="X309" i="12"/>
  <c r="Y310" i="12"/>
  <c r="Y309" i="12" s="1"/>
  <c r="X339" i="12"/>
  <c r="Y340" i="12"/>
  <c r="Y339" i="12" s="1"/>
  <c r="X1361" i="12"/>
  <c r="X962" i="12"/>
  <c r="W314" i="12"/>
  <c r="X315" i="12"/>
  <c r="X1092" i="12"/>
  <c r="W1541" i="12"/>
  <c r="X1542" i="12"/>
  <c r="Y1031" i="12"/>
  <c r="Y1030" i="12" s="1"/>
  <c r="X1030" i="12"/>
  <c r="X1181" i="12"/>
  <c r="Y1182" i="12"/>
  <c r="Y1181" i="12" s="1"/>
  <c r="X295" i="12"/>
  <c r="W294" i="12"/>
  <c r="W1398" i="12"/>
  <c r="X1399" i="12"/>
  <c r="Y1250" i="12"/>
  <c r="W363" i="12"/>
  <c r="X364" i="12"/>
  <c r="X331" i="12"/>
  <c r="W330" i="12"/>
  <c r="W1257" i="12"/>
  <c r="X1258" i="12"/>
  <c r="X341" i="12"/>
  <c r="Y342" i="12"/>
  <c r="Y341" i="12" s="1"/>
  <c r="Y1229" i="12"/>
  <c r="Y1150" i="12"/>
  <c r="X1056" i="12"/>
  <c r="X957" i="12"/>
  <c r="Y958" i="12"/>
  <c r="Y957" i="12" s="1"/>
  <c r="X1546" i="12"/>
  <c r="Y1547" i="12"/>
  <c r="Y1546" i="12" s="1"/>
  <c r="X974" i="12"/>
  <c r="Y975" i="12"/>
  <c r="Y974" i="12" s="1"/>
  <c r="Y1261" i="12"/>
  <c r="W1348" i="12"/>
  <c r="X1349" i="12"/>
  <c r="W1050" i="12"/>
  <c r="X1051" i="12"/>
  <c r="X250" i="12"/>
  <c r="Y251" i="12"/>
  <c r="Y250" i="12" s="1"/>
  <c r="X270" i="12"/>
  <c r="Y271" i="12"/>
  <c r="Y270" i="12" s="1"/>
  <c r="X949" i="12"/>
  <c r="Y950" i="12"/>
  <c r="Y949" i="12" s="1"/>
  <c r="W1376" i="12"/>
  <c r="X1377" i="12"/>
  <c r="W336" i="12"/>
  <c r="X337" i="12"/>
  <c r="W1214" i="12"/>
  <c r="X1215" i="12"/>
  <c r="X1544" i="12"/>
  <c r="Y1545" i="12"/>
  <c r="Y1544" i="12" s="1"/>
  <c r="Y1297" i="12"/>
  <c r="X1034" i="12"/>
  <c r="W1033" i="12"/>
  <c r="Y1179" i="12"/>
  <c r="X1383" i="12"/>
  <c r="Y1384" i="12"/>
  <c r="Y1383" i="12" s="1"/>
  <c r="W943" i="12"/>
  <c r="X944" i="12"/>
  <c r="X1403" i="12"/>
  <c r="X1276" i="12"/>
  <c r="X1104" i="12"/>
  <c r="W1102" i="12"/>
  <c r="W1270" i="12"/>
  <c r="X1271" i="12"/>
  <c r="W955" i="12"/>
  <c r="X956" i="12"/>
  <c r="O50" i="1"/>
  <c r="O51" i="1" s="1"/>
  <c r="P59" i="1"/>
  <c r="O38" i="1"/>
  <c r="AM55" i="1" l="1"/>
  <c r="AJ12" i="17"/>
  <c r="L3" i="17"/>
  <c r="L35" i="17" s="1"/>
  <c r="M10" i="17"/>
  <c r="M42" i="17" s="1"/>
  <c r="N13" i="17"/>
  <c r="M45" i="17"/>
  <c r="M36" i="17"/>
  <c r="N4" i="17"/>
  <c r="N9" i="17"/>
  <c r="M41" i="17"/>
  <c r="N8" i="17"/>
  <c r="M40" i="17"/>
  <c r="M5" i="17"/>
  <c r="M37" i="17" s="1"/>
  <c r="N44" i="17"/>
  <c r="N38" i="17"/>
  <c r="N56" i="17"/>
  <c r="N43" i="17"/>
  <c r="N57" i="17"/>
  <c r="N50" i="17"/>
  <c r="N51" i="17"/>
  <c r="N39" i="17"/>
  <c r="M26" i="17"/>
  <c r="M58" i="17" s="1"/>
  <c r="N27" i="17"/>
  <c r="N59" i="17" s="1"/>
  <c r="Y1126" i="12"/>
  <c r="Y1125" i="12" s="1"/>
  <c r="N37" i="9"/>
  <c r="M20" i="17"/>
  <c r="M52" i="17" s="1"/>
  <c r="Y289" i="12"/>
  <c r="Y288" i="12" s="1"/>
  <c r="G23" i="17"/>
  <c r="Y1019" i="12"/>
  <c r="Y1018" i="12" s="1"/>
  <c r="X476" i="12"/>
  <c r="Y476" i="12"/>
  <c r="X312" i="12"/>
  <c r="Y313" i="12"/>
  <c r="Y312" i="12" s="1"/>
  <c r="Y298" i="12"/>
  <c r="Y297" i="12" s="1"/>
  <c r="X297" i="12"/>
  <c r="X1348" i="12"/>
  <c r="Y1349" i="12"/>
  <c r="Y1348" i="12" s="1"/>
  <c r="X1257" i="12"/>
  <c r="Y1258" i="12"/>
  <c r="Y1257" i="12" s="1"/>
  <c r="X1398" i="12"/>
  <c r="Y1399" i="12"/>
  <c r="Y1398" i="12" s="1"/>
  <c r="X1541" i="12"/>
  <c r="Y1542" i="12"/>
  <c r="Y1541" i="12" s="1"/>
  <c r="X943" i="12"/>
  <c r="Y944" i="12"/>
  <c r="Y943" i="12" s="1"/>
  <c r="Y1104" i="12"/>
  <c r="Y1102" i="12" s="1"/>
  <c r="X1102" i="12"/>
  <c r="Y1092" i="12"/>
  <c r="X314" i="12"/>
  <c r="Y315" i="12"/>
  <c r="Y314" i="12" s="1"/>
  <c r="Y1056" i="12"/>
  <c r="X1033" i="12"/>
  <c r="Y1034" i="12"/>
  <c r="Y1033" i="12" s="1"/>
  <c r="Y1276" i="12"/>
  <c r="X330" i="12"/>
  <c r="Y331" i="12"/>
  <c r="Y330" i="12" s="1"/>
  <c r="X955" i="12"/>
  <c r="Y956" i="12"/>
  <c r="Y955" i="12" s="1"/>
  <c r="X1270" i="12"/>
  <c r="Y1271" i="12"/>
  <c r="Y1270" i="12" s="1"/>
  <c r="X1214" i="12"/>
  <c r="Y1215" i="12"/>
  <c r="Y1214" i="12" s="1"/>
  <c r="X1050" i="12"/>
  <c r="Y1051" i="12"/>
  <c r="Y1050" i="12" s="1"/>
  <c r="X363" i="12"/>
  <c r="Y364" i="12"/>
  <c r="Y363" i="12" s="1"/>
  <c r="Y962" i="12"/>
  <c r="Y295" i="12"/>
  <c r="Y294" i="12" s="1"/>
  <c r="X294" i="12"/>
  <c r="Y1403" i="12"/>
  <c r="Y1361" i="12"/>
  <c r="X336" i="12"/>
  <c r="Y337" i="12"/>
  <c r="Y336" i="12" s="1"/>
  <c r="X1376" i="12"/>
  <c r="Y1377" i="12"/>
  <c r="Y1376" i="12" s="1"/>
  <c r="P50" i="1"/>
  <c r="P51" i="1" s="1"/>
  <c r="Q59" i="1"/>
  <c r="P38" i="1"/>
  <c r="E26" i="3"/>
  <c r="F26" i="3" s="1"/>
  <c r="F24" i="3" s="1"/>
  <c r="E35" i="9" s="1"/>
  <c r="V1468" i="12" s="1"/>
  <c r="E23" i="3"/>
  <c r="F23" i="3" s="1"/>
  <c r="F21" i="3" s="1"/>
  <c r="E34" i="9" s="1"/>
  <c r="V1466" i="12" s="1"/>
  <c r="G13" i="3"/>
  <c r="H13" i="3"/>
  <c r="I13" i="3"/>
  <c r="F13" i="3"/>
  <c r="AN55" i="1" l="1"/>
  <c r="AK12" i="17"/>
  <c r="M3" i="17"/>
  <c r="M35" i="17" s="1"/>
  <c r="O9" i="17"/>
  <c r="N41" i="17"/>
  <c r="N36" i="17"/>
  <c r="O4" i="17"/>
  <c r="O44" i="17"/>
  <c r="O38" i="17"/>
  <c r="O56" i="17"/>
  <c r="O57" i="17"/>
  <c r="O50" i="17"/>
  <c r="O43" i="17"/>
  <c r="O51" i="17"/>
  <c r="O39" i="17"/>
  <c r="O13" i="17"/>
  <c r="N45" i="17"/>
  <c r="N10" i="17"/>
  <c r="N42" i="17" s="1"/>
  <c r="O8" i="17"/>
  <c r="N40" i="17"/>
  <c r="N5" i="17"/>
  <c r="N37" i="17" s="1"/>
  <c r="H23" i="17"/>
  <c r="G55" i="17"/>
  <c r="N26" i="17"/>
  <c r="N58" i="17" s="1"/>
  <c r="O27" i="17"/>
  <c r="O59" i="17" s="1"/>
  <c r="O37" i="9"/>
  <c r="N20" i="17"/>
  <c r="N52" i="17" s="1"/>
  <c r="Q50" i="1"/>
  <c r="Q51" i="1" s="1"/>
  <c r="P22" i="13"/>
  <c r="R59" i="1"/>
  <c r="Q38" i="1"/>
  <c r="G26" i="3"/>
  <c r="H26" i="3" s="1"/>
  <c r="H24" i="3" s="1"/>
  <c r="G35" i="9" s="1"/>
  <c r="X1468" i="12" s="1"/>
  <c r="G23" i="3"/>
  <c r="AO55" i="1" l="1"/>
  <c r="AL12" i="17"/>
  <c r="N3" i="17"/>
  <c r="N35" i="17" s="1"/>
  <c r="P4" i="17"/>
  <c r="O36" i="17"/>
  <c r="O5" i="17"/>
  <c r="O37" i="17" s="1"/>
  <c r="P8" i="17"/>
  <c r="O40" i="17"/>
  <c r="P44" i="17"/>
  <c r="P56" i="17"/>
  <c r="P50" i="17"/>
  <c r="P57" i="17"/>
  <c r="P38" i="17"/>
  <c r="P43" i="17"/>
  <c r="P51" i="17"/>
  <c r="P39" i="17"/>
  <c r="O45" i="17"/>
  <c r="P13" i="17"/>
  <c r="O10" i="17"/>
  <c r="O42" i="17" s="1"/>
  <c r="P9" i="17"/>
  <c r="O41" i="17"/>
  <c r="I23" i="17"/>
  <c r="H55" i="17"/>
  <c r="O26" i="17"/>
  <c r="O58" i="17" s="1"/>
  <c r="P27" i="17"/>
  <c r="P59" i="17" s="1"/>
  <c r="I26" i="3"/>
  <c r="I24" i="3" s="1"/>
  <c r="H35" i="9" s="1"/>
  <c r="Y1468" i="12" s="1"/>
  <c r="G24" i="3"/>
  <c r="F35" i="9" s="1"/>
  <c r="W1468" i="12" s="1"/>
  <c r="P37" i="9"/>
  <c r="O20" i="17"/>
  <c r="O52" i="17" s="1"/>
  <c r="R50" i="1"/>
  <c r="R51" i="1" s="1"/>
  <c r="S59" i="1"/>
  <c r="R38" i="1"/>
  <c r="H23" i="3"/>
  <c r="G21" i="3"/>
  <c r="F34" i="9" s="1"/>
  <c r="W1466" i="12" s="1"/>
  <c r="AP55" i="1" l="1"/>
  <c r="AM12" i="17"/>
  <c r="P41" i="17"/>
  <c r="Q9" i="17"/>
  <c r="P5" i="17"/>
  <c r="P37" i="17" s="1"/>
  <c r="Q8" i="17"/>
  <c r="P40" i="17"/>
  <c r="Q44" i="17"/>
  <c r="Q43" i="17"/>
  <c r="Q57" i="17"/>
  <c r="Q38" i="17"/>
  <c r="Q50" i="17"/>
  <c r="Q56" i="17"/>
  <c r="Q51" i="17"/>
  <c r="Q39" i="17"/>
  <c r="P45" i="17"/>
  <c r="Q13" i="17"/>
  <c r="P10" i="17"/>
  <c r="P42" i="17" s="1"/>
  <c r="O3" i="17"/>
  <c r="O35" i="17" s="1"/>
  <c r="Q4" i="17"/>
  <c r="P36" i="17"/>
  <c r="J23" i="17"/>
  <c r="I55" i="17"/>
  <c r="Q27" i="17"/>
  <c r="Q59" i="17" s="1"/>
  <c r="P26" i="17"/>
  <c r="P58" i="17" s="1"/>
  <c r="Q37" i="9"/>
  <c r="P20" i="17"/>
  <c r="P52" i="17" s="1"/>
  <c r="S50" i="1"/>
  <c r="S51" i="1" s="1"/>
  <c r="T59" i="1"/>
  <c r="S38" i="1"/>
  <c r="I23" i="3"/>
  <c r="I21" i="3" s="1"/>
  <c r="H34" i="9" s="1"/>
  <c r="Y1466" i="12" s="1"/>
  <c r="H21" i="3"/>
  <c r="G34" i="9" s="1"/>
  <c r="X1466" i="12" s="1"/>
  <c r="AQ55" i="1" l="1"/>
  <c r="AN12" i="17"/>
  <c r="P3" i="17"/>
  <c r="P35" i="17" s="1"/>
  <c r="R4" i="17"/>
  <c r="Q36" i="17"/>
  <c r="R9" i="17"/>
  <c r="Q41" i="17"/>
  <c r="Q5" i="17"/>
  <c r="Q37" i="17" s="1"/>
  <c r="R8" i="17"/>
  <c r="Q40" i="17"/>
  <c r="R56" i="17"/>
  <c r="R38" i="17"/>
  <c r="R44" i="17"/>
  <c r="R43" i="17"/>
  <c r="R50" i="17"/>
  <c r="R57" i="17"/>
  <c r="R51" i="17"/>
  <c r="R39" i="17"/>
  <c r="Q45" i="17"/>
  <c r="Q10" i="17"/>
  <c r="Q42" i="17" s="1"/>
  <c r="R13" i="17"/>
  <c r="K23" i="17"/>
  <c r="J55" i="17"/>
  <c r="R27" i="17"/>
  <c r="R59" i="17" s="1"/>
  <c r="Q26" i="17"/>
  <c r="Q58" i="17" s="1"/>
  <c r="R37" i="9"/>
  <c r="Q20" i="17"/>
  <c r="Q52" i="17" s="1"/>
  <c r="T50" i="1"/>
  <c r="T51" i="1" s="1"/>
  <c r="U59" i="1"/>
  <c r="T38" i="1"/>
  <c r="M34" i="11"/>
  <c r="L33" i="11"/>
  <c r="K32" i="11"/>
  <c r="J31" i="11"/>
  <c r="I30" i="11"/>
  <c r="H29" i="11"/>
  <c r="G28" i="11"/>
  <c r="F27" i="11"/>
  <c r="E26" i="11"/>
  <c r="D25" i="11"/>
  <c r="C24" i="11"/>
  <c r="P7" i="11"/>
  <c r="Q7" i="11"/>
  <c r="R7" i="11"/>
  <c r="O7" i="11"/>
  <c r="AR55" i="1" l="1"/>
  <c r="AO12" i="17"/>
  <c r="D24" i="11"/>
  <c r="R40" i="17"/>
  <c r="S8" i="17"/>
  <c r="R5" i="17"/>
  <c r="R37" i="17" s="1"/>
  <c r="S13" i="17"/>
  <c r="R10" i="17"/>
  <c r="R42" i="17" s="1"/>
  <c r="R45" i="17"/>
  <c r="S9" i="17"/>
  <c r="R41" i="17"/>
  <c r="Q3" i="17"/>
  <c r="Q35" i="17" s="1"/>
  <c r="S56" i="17"/>
  <c r="S38" i="17"/>
  <c r="S50" i="17"/>
  <c r="S57" i="17"/>
  <c r="S43" i="17"/>
  <c r="S44" i="17"/>
  <c r="S51" i="17"/>
  <c r="S39" i="17"/>
  <c r="R36" i="17"/>
  <c r="S4" i="17"/>
  <c r="L23" i="17"/>
  <c r="K55" i="17"/>
  <c r="S27" i="17"/>
  <c r="S59" i="17" s="1"/>
  <c r="R26" i="17"/>
  <c r="R58" i="17" s="1"/>
  <c r="S37" i="9"/>
  <c r="R20" i="17"/>
  <c r="R52" i="17" s="1"/>
  <c r="U50" i="1"/>
  <c r="U51" i="1" s="1"/>
  <c r="V59" i="1"/>
  <c r="U38" i="1"/>
  <c r="E24" i="11"/>
  <c r="AS55" i="1" l="1"/>
  <c r="AP12" i="17"/>
  <c r="S41" i="17"/>
  <c r="T9" i="17"/>
  <c r="R3" i="17"/>
  <c r="R35" i="17" s="1"/>
  <c r="T4" i="17"/>
  <c r="S36" i="17"/>
  <c r="T13" i="17"/>
  <c r="S45" i="17"/>
  <c r="S10" i="17"/>
  <c r="S42" i="17" s="1"/>
  <c r="T56" i="17"/>
  <c r="T57" i="17"/>
  <c r="T50" i="17"/>
  <c r="T43" i="17"/>
  <c r="T38" i="17"/>
  <c r="T44" i="17"/>
  <c r="T51" i="17"/>
  <c r="T39" i="17"/>
  <c r="T8" i="17"/>
  <c r="S40" i="17"/>
  <c r="S5" i="17"/>
  <c r="S37" i="17" s="1"/>
  <c r="M23" i="17"/>
  <c r="L55" i="17"/>
  <c r="S26" i="17"/>
  <c r="S58" i="17" s="1"/>
  <c r="T27" i="17"/>
  <c r="T59" i="17" s="1"/>
  <c r="T37" i="9"/>
  <c r="S20" i="17"/>
  <c r="S52" i="17" s="1"/>
  <c r="V50" i="1"/>
  <c r="V51" i="1" s="1"/>
  <c r="W59" i="1"/>
  <c r="V38" i="1"/>
  <c r="F24" i="11"/>
  <c r="AT55" i="1" l="1"/>
  <c r="AQ12" i="17"/>
  <c r="S3" i="17"/>
  <c r="S35" i="17" s="1"/>
  <c r="T45" i="17"/>
  <c r="T10" i="17"/>
  <c r="T42" i="17" s="1"/>
  <c r="U13" i="17"/>
  <c r="U4" i="17"/>
  <c r="T36" i="17"/>
  <c r="U43" i="17"/>
  <c r="U38" i="17"/>
  <c r="U50" i="17"/>
  <c r="U56" i="17"/>
  <c r="U57" i="17"/>
  <c r="U44" i="17"/>
  <c r="U51" i="17"/>
  <c r="U39" i="17"/>
  <c r="T5" i="17"/>
  <c r="T37" i="17" s="1"/>
  <c r="U8" i="17"/>
  <c r="T40" i="17"/>
  <c r="U9" i="17"/>
  <c r="T41" i="17"/>
  <c r="M55" i="17"/>
  <c r="N23" i="17"/>
  <c r="U27" i="17"/>
  <c r="U59" i="17" s="1"/>
  <c r="T26" i="17"/>
  <c r="T58" i="17" s="1"/>
  <c r="U37" i="9"/>
  <c r="T20" i="17"/>
  <c r="T52" i="17" s="1"/>
  <c r="W50" i="1"/>
  <c r="W51" i="1" s="1"/>
  <c r="X59" i="1"/>
  <c r="W38" i="1"/>
  <c r="G24" i="11"/>
  <c r="AU55" i="1" l="1"/>
  <c r="AR12" i="17"/>
  <c r="V57" i="17"/>
  <c r="V43" i="17"/>
  <c r="V38" i="17"/>
  <c r="V56" i="17"/>
  <c r="V50" i="17"/>
  <c r="V44" i="17"/>
  <c r="V51" i="17"/>
  <c r="V39" i="17"/>
  <c r="V4" i="17"/>
  <c r="U36" i="17"/>
  <c r="V13" i="17"/>
  <c r="U45" i="17"/>
  <c r="U10" i="17"/>
  <c r="U42" i="17" s="1"/>
  <c r="V9" i="17"/>
  <c r="U41" i="17"/>
  <c r="T3" i="17"/>
  <c r="T35" i="17" s="1"/>
  <c r="V8" i="17"/>
  <c r="U40" i="17"/>
  <c r="U5" i="17"/>
  <c r="U37" i="17" s="1"/>
  <c r="N55" i="17"/>
  <c r="O23" i="17"/>
  <c r="V27" i="17"/>
  <c r="V59" i="17" s="1"/>
  <c r="U26" i="17"/>
  <c r="U58" i="17" s="1"/>
  <c r="V37" i="9"/>
  <c r="U20" i="17"/>
  <c r="U52" i="17" s="1"/>
  <c r="X50" i="1"/>
  <c r="X51" i="1" s="1"/>
  <c r="Y59" i="1"/>
  <c r="X38" i="1"/>
  <c r="H24" i="11"/>
  <c r="AS12" i="17" l="1"/>
  <c r="AV55" i="1"/>
  <c r="V10" i="17"/>
  <c r="V42" i="17" s="1"/>
  <c r="W13" i="17"/>
  <c r="V45" i="17"/>
  <c r="W43" i="17"/>
  <c r="W56" i="17"/>
  <c r="W57" i="17"/>
  <c r="W50" i="17"/>
  <c r="W38" i="17"/>
  <c r="W44" i="17"/>
  <c r="W51" i="17"/>
  <c r="W39" i="17"/>
  <c r="W9" i="17"/>
  <c r="V41" i="17"/>
  <c r="U3" i="17"/>
  <c r="U35" i="17" s="1"/>
  <c r="V40" i="17"/>
  <c r="V5" i="17"/>
  <c r="V37" i="17" s="1"/>
  <c r="W8" i="17"/>
  <c r="W4" i="17"/>
  <c r="V36" i="17"/>
  <c r="O55" i="17"/>
  <c r="P23" i="17"/>
  <c r="W27" i="17"/>
  <c r="W59" i="17" s="1"/>
  <c r="V26" i="17"/>
  <c r="V58" i="17" s="1"/>
  <c r="W37" i="9"/>
  <c r="V20" i="17"/>
  <c r="V52" i="17" s="1"/>
  <c r="Y50" i="1"/>
  <c r="Y51" i="1" s="1"/>
  <c r="Z59" i="1"/>
  <c r="Y38" i="1"/>
  <c r="I24" i="11"/>
  <c r="AT12" i="17" l="1"/>
  <c r="AW55" i="1"/>
  <c r="X50" i="17"/>
  <c r="X56" i="17"/>
  <c r="X43" i="17"/>
  <c r="X57" i="17"/>
  <c r="X38" i="17"/>
  <c r="X44" i="17"/>
  <c r="X51" i="17"/>
  <c r="X39" i="17"/>
  <c r="X9" i="17"/>
  <c r="W41" i="17"/>
  <c r="V3" i="17"/>
  <c r="V35" i="17" s="1"/>
  <c r="X4" i="17"/>
  <c r="W36" i="17"/>
  <c r="W45" i="17"/>
  <c r="W10" i="17"/>
  <c r="W42" i="17" s="1"/>
  <c r="X13" i="17"/>
  <c r="X8" i="17"/>
  <c r="W40" i="17"/>
  <c r="W5" i="17"/>
  <c r="W37" i="17" s="1"/>
  <c r="P55" i="17"/>
  <c r="Q23" i="17"/>
  <c r="W26" i="17"/>
  <c r="W58" i="17" s="1"/>
  <c r="X27" i="17"/>
  <c r="X59" i="17" s="1"/>
  <c r="X37" i="9"/>
  <c r="W20" i="17"/>
  <c r="W52" i="17" s="1"/>
  <c r="Z50" i="1"/>
  <c r="Z51" i="1" s="1"/>
  <c r="AA59" i="1"/>
  <c r="Z38" i="1"/>
  <c r="J24" i="11"/>
  <c r="AX55" i="1" l="1"/>
  <c r="AU12" i="17"/>
  <c r="W3" i="17"/>
  <c r="W35" i="17" s="1"/>
  <c r="X36" i="17"/>
  <c r="Y4" i="17"/>
  <c r="X5" i="17"/>
  <c r="X37" i="17" s="1"/>
  <c r="Y8" i="17"/>
  <c r="X40" i="17"/>
  <c r="Y38" i="17"/>
  <c r="Y43" i="17"/>
  <c r="Y57" i="17"/>
  <c r="Y50" i="17"/>
  <c r="Y56" i="17"/>
  <c r="Y44" i="17"/>
  <c r="Y51" i="17"/>
  <c r="Y39" i="17"/>
  <c r="X45" i="17"/>
  <c r="X10" i="17"/>
  <c r="X42" i="17" s="1"/>
  <c r="Y13" i="17"/>
  <c r="Y9" i="17"/>
  <c r="X41" i="17"/>
  <c r="Q55" i="17"/>
  <c r="R23" i="17"/>
  <c r="Y27" i="17"/>
  <c r="Y59" i="17" s="1"/>
  <c r="X26" i="17"/>
  <c r="X58" i="17" s="1"/>
  <c r="Y37" i="9"/>
  <c r="X20" i="17"/>
  <c r="X52" i="17" s="1"/>
  <c r="AA50" i="1"/>
  <c r="AA51" i="1" s="1"/>
  <c r="AB59" i="1"/>
  <c r="AA38" i="1"/>
  <c r="K24" i="11"/>
  <c r="AY55" i="1" l="1"/>
  <c r="AV12" i="17"/>
  <c r="Z43" i="17"/>
  <c r="Z50" i="17"/>
  <c r="Z56" i="17"/>
  <c r="Z38" i="17"/>
  <c r="Z57" i="17"/>
  <c r="Z44" i="17"/>
  <c r="Z51" i="17"/>
  <c r="Z39" i="17"/>
  <c r="Z8" i="17"/>
  <c r="Y40" i="17"/>
  <c r="Y5" i="17"/>
  <c r="Y37" i="17" s="1"/>
  <c r="X3" i="17"/>
  <c r="X35" i="17" s="1"/>
  <c r="Y41" i="17"/>
  <c r="Z9" i="17"/>
  <c r="Z4" i="17"/>
  <c r="Y36" i="17"/>
  <c r="Y45" i="17"/>
  <c r="Y10" i="17"/>
  <c r="Y42" i="17" s="1"/>
  <c r="Z13" i="17"/>
  <c r="R55" i="17"/>
  <c r="S23" i="17"/>
  <c r="Z27" i="17"/>
  <c r="Z59" i="17" s="1"/>
  <c r="Y26" i="17"/>
  <c r="Y58" i="17" s="1"/>
  <c r="Z37" i="9"/>
  <c r="Y20" i="17"/>
  <c r="Y52" i="17" s="1"/>
  <c r="AB50" i="1"/>
  <c r="AB51" i="1" s="1"/>
  <c r="AC59" i="1"/>
  <c r="AB38" i="1"/>
  <c r="L24" i="11"/>
  <c r="AZ55" i="1" l="1"/>
  <c r="AW12" i="17"/>
  <c r="AA38" i="17"/>
  <c r="AA43" i="17"/>
  <c r="AA57" i="17"/>
  <c r="AA50" i="17"/>
  <c r="AA56" i="17"/>
  <c r="AA51" i="17"/>
  <c r="AA39" i="17"/>
  <c r="AA44" i="17"/>
  <c r="AA4" i="17"/>
  <c r="Z36" i="17"/>
  <c r="AA9" i="17"/>
  <c r="Z41" i="17"/>
  <c r="AA13" i="17"/>
  <c r="Z10" i="17"/>
  <c r="Z42" i="17" s="1"/>
  <c r="Z45" i="17"/>
  <c r="Y3" i="17"/>
  <c r="Y35" i="17" s="1"/>
  <c r="AA8" i="17"/>
  <c r="Z40" i="17"/>
  <c r="Z5" i="17"/>
  <c r="Z37" i="17" s="1"/>
  <c r="S55" i="17"/>
  <c r="T23" i="17"/>
  <c r="AA27" i="17"/>
  <c r="AA59" i="17" s="1"/>
  <c r="Z26" i="17"/>
  <c r="Z58" i="17" s="1"/>
  <c r="AA37" i="9"/>
  <c r="Z20" i="17"/>
  <c r="Z52" i="17" s="1"/>
  <c r="AC50" i="1"/>
  <c r="AC51" i="1" s="1"/>
  <c r="AD59" i="1"/>
  <c r="AC38" i="1"/>
  <c r="M24" i="11"/>
  <c r="BA55" i="1" l="1"/>
  <c r="AX12" i="17"/>
  <c r="Z3" i="17"/>
  <c r="Z35" i="17" s="1"/>
  <c r="AB50" i="17"/>
  <c r="AB56" i="17"/>
  <c r="AB43" i="17"/>
  <c r="AB38" i="17"/>
  <c r="AB57" i="17"/>
  <c r="AB51" i="17"/>
  <c r="AB39" i="17"/>
  <c r="AB44" i="17"/>
  <c r="AB13" i="17"/>
  <c r="AA45" i="17"/>
  <c r="AA10" i="17"/>
  <c r="AA42" i="17" s="1"/>
  <c r="AA40" i="17"/>
  <c r="AA5" i="17"/>
  <c r="AA37" i="17" s="1"/>
  <c r="AB8" i="17"/>
  <c r="AB9" i="17"/>
  <c r="AA41" i="17"/>
  <c r="AB4" i="17"/>
  <c r="AA36" i="17"/>
  <c r="T55" i="17"/>
  <c r="U23" i="17"/>
  <c r="AA26" i="17"/>
  <c r="AA58" i="17" s="1"/>
  <c r="AB27" i="17"/>
  <c r="AB59" i="17" s="1"/>
  <c r="AB37" i="9"/>
  <c r="AA20" i="17"/>
  <c r="AA52" i="17" s="1"/>
  <c r="AD50" i="1"/>
  <c r="AD51" i="1" s="1"/>
  <c r="AE59" i="1"/>
  <c r="AD38" i="1"/>
  <c r="B3" i="11"/>
  <c r="B100" i="11"/>
  <c r="N88" i="11"/>
  <c r="N10" i="11"/>
  <c r="N11" i="11" s="1"/>
  <c r="B35" i="11"/>
  <c r="N23" i="11"/>
  <c r="O3" i="11"/>
  <c r="BB55" i="1" l="1"/>
  <c r="AY12" i="17"/>
  <c r="AC50" i="17"/>
  <c r="AC57" i="17"/>
  <c r="AC56" i="17"/>
  <c r="AC43" i="17"/>
  <c r="AC38" i="17"/>
  <c r="AC51" i="17"/>
  <c r="AC39" i="17"/>
  <c r="AC44" i="17"/>
  <c r="AB40" i="17"/>
  <c r="AB5" i="17"/>
  <c r="AB37" i="17" s="1"/>
  <c r="AC8" i="17"/>
  <c r="AA3" i="17"/>
  <c r="AA35" i="17" s="1"/>
  <c r="AB41" i="17"/>
  <c r="AC9" i="17"/>
  <c r="AC4" i="17"/>
  <c r="AB36" i="17"/>
  <c r="AC13" i="17"/>
  <c r="AB45" i="17"/>
  <c r="AB10" i="17"/>
  <c r="AB42" i="17" s="1"/>
  <c r="U55" i="17"/>
  <c r="V23" i="17"/>
  <c r="AC27" i="17"/>
  <c r="AC59" i="17" s="1"/>
  <c r="AB26" i="17"/>
  <c r="AB58" i="17" s="1"/>
  <c r="AC37" i="9"/>
  <c r="AB20" i="17"/>
  <c r="AB52" i="17" s="1"/>
  <c r="AE50" i="1"/>
  <c r="AE51" i="1" s="1"/>
  <c r="AF59" i="1"/>
  <c r="AE38" i="1"/>
  <c r="B101" i="11"/>
  <c r="B102" i="11" s="1"/>
  <c r="N102" i="11" s="1"/>
  <c r="M88" i="11"/>
  <c r="O35" i="11"/>
  <c r="P35" i="11" s="1"/>
  <c r="Q35" i="11" s="1"/>
  <c r="R35" i="11" s="1"/>
  <c r="S35" i="11" s="1"/>
  <c r="T35" i="11" s="1"/>
  <c r="U35" i="11" s="1"/>
  <c r="V35" i="11" s="1"/>
  <c r="W35" i="11" s="1"/>
  <c r="X35" i="11" s="1"/>
  <c r="B36" i="11"/>
  <c r="B37" i="11" s="1"/>
  <c r="N34" i="11"/>
  <c r="O34" i="11" s="1"/>
  <c r="P34" i="11" s="1"/>
  <c r="Q34" i="11" s="1"/>
  <c r="R34" i="11" s="1"/>
  <c r="S34" i="11" s="1"/>
  <c r="T34" i="11" s="1"/>
  <c r="U34" i="11" s="1"/>
  <c r="V34" i="11" s="1"/>
  <c r="W34" i="11" s="1"/>
  <c r="M33" i="11"/>
  <c r="N33" i="11" s="1"/>
  <c r="O33" i="11" s="1"/>
  <c r="P33" i="11" s="1"/>
  <c r="Q33" i="11" s="1"/>
  <c r="R33" i="11" s="1"/>
  <c r="S33" i="11" s="1"/>
  <c r="T33" i="11" s="1"/>
  <c r="U33" i="11" s="1"/>
  <c r="V33" i="11" s="1"/>
  <c r="L32" i="11"/>
  <c r="M32" i="11" s="1"/>
  <c r="N32" i="11" s="1"/>
  <c r="O32" i="11" s="1"/>
  <c r="P32" i="11" s="1"/>
  <c r="Q32" i="11" s="1"/>
  <c r="R32" i="11" s="1"/>
  <c r="S32" i="11" s="1"/>
  <c r="T32" i="11" s="1"/>
  <c r="U32" i="11" s="1"/>
  <c r="K31" i="11"/>
  <c r="L31" i="11" s="1"/>
  <c r="M31" i="11" s="1"/>
  <c r="N31" i="11" s="1"/>
  <c r="O31" i="11" s="1"/>
  <c r="P31" i="11" s="1"/>
  <c r="Q31" i="11" s="1"/>
  <c r="R31" i="11" s="1"/>
  <c r="S31" i="11" s="1"/>
  <c r="T31" i="11" s="1"/>
  <c r="J30" i="11"/>
  <c r="K30" i="11" s="1"/>
  <c r="L30" i="11" s="1"/>
  <c r="M30" i="11" s="1"/>
  <c r="N30" i="11" s="1"/>
  <c r="O30" i="11" s="1"/>
  <c r="P30" i="11" s="1"/>
  <c r="Q30" i="11" s="1"/>
  <c r="R30" i="11" s="1"/>
  <c r="S30" i="11" s="1"/>
  <c r="I29" i="11"/>
  <c r="J29" i="11" s="1"/>
  <c r="K29" i="11" s="1"/>
  <c r="L29" i="11" s="1"/>
  <c r="M29" i="11" s="1"/>
  <c r="N29" i="11" s="1"/>
  <c r="O29" i="11" s="1"/>
  <c r="P29" i="11" s="1"/>
  <c r="Q29" i="11" s="1"/>
  <c r="R29" i="11" s="1"/>
  <c r="H28" i="11"/>
  <c r="I28" i="11" s="1"/>
  <c r="J28" i="11" s="1"/>
  <c r="K28" i="11" s="1"/>
  <c r="L28" i="11" s="1"/>
  <c r="M28" i="11" s="1"/>
  <c r="N28" i="11" s="1"/>
  <c r="O28" i="11" s="1"/>
  <c r="P28" i="11" s="1"/>
  <c r="Q28" i="11" s="1"/>
  <c r="G27" i="11"/>
  <c r="H27" i="11" s="1"/>
  <c r="I27" i="11" s="1"/>
  <c r="J27" i="11" s="1"/>
  <c r="K27" i="11" s="1"/>
  <c r="L27" i="11" s="1"/>
  <c r="M27" i="11" s="1"/>
  <c r="N27" i="11" s="1"/>
  <c r="O27" i="11" s="1"/>
  <c r="P27" i="11" s="1"/>
  <c r="F26" i="11"/>
  <c r="G26" i="11" s="1"/>
  <c r="H26" i="11" s="1"/>
  <c r="I26" i="11" s="1"/>
  <c r="J26" i="11" s="1"/>
  <c r="K26" i="11" s="1"/>
  <c r="L26" i="11" s="1"/>
  <c r="M26" i="11" s="1"/>
  <c r="N26" i="11" s="1"/>
  <c r="O26" i="11" s="1"/>
  <c r="E25" i="11"/>
  <c r="O23" i="11"/>
  <c r="M23" i="11"/>
  <c r="L23" i="11" s="1"/>
  <c r="K23" i="11" s="1"/>
  <c r="J23" i="11" s="1"/>
  <c r="I23" i="11" s="1"/>
  <c r="H23" i="11" s="1"/>
  <c r="G23" i="11" s="1"/>
  <c r="F23" i="11" s="1"/>
  <c r="E23" i="11" s="1"/>
  <c r="D23" i="11" s="1"/>
  <c r="C23" i="11" s="1"/>
  <c r="P3" i="11"/>
  <c r="Q3" i="11" s="1"/>
  <c r="R3" i="11" s="1"/>
  <c r="S3" i="11" s="1"/>
  <c r="T3" i="11" s="1"/>
  <c r="U3" i="11" s="1"/>
  <c r="V3" i="11" s="1"/>
  <c r="W3" i="11" s="1"/>
  <c r="X3" i="11" s="1"/>
  <c r="Y3" i="11" s="1"/>
  <c r="Z3" i="11" s="1"/>
  <c r="AA3" i="11" s="1"/>
  <c r="AB3" i="11" s="1"/>
  <c r="AC3" i="11" s="1"/>
  <c r="AD3" i="11" s="1"/>
  <c r="AE3" i="11" s="1"/>
  <c r="AF3" i="11" s="1"/>
  <c r="AG3" i="11" s="1"/>
  <c r="AH3" i="11" s="1"/>
  <c r="AI3" i="11" s="1"/>
  <c r="AJ3" i="11" s="1"/>
  <c r="AK3" i="11" s="1"/>
  <c r="AL3" i="11" s="1"/>
  <c r="AM3" i="11" s="1"/>
  <c r="AN3" i="11" s="1"/>
  <c r="AO3" i="11" s="1"/>
  <c r="AP3" i="11" s="1"/>
  <c r="AQ3" i="11" s="1"/>
  <c r="AR3" i="11" s="1"/>
  <c r="AS3" i="11" s="1"/>
  <c r="AT3" i="11" s="1"/>
  <c r="AU3" i="11" s="1"/>
  <c r="AV3" i="11" s="1"/>
  <c r="AW3" i="11" s="1"/>
  <c r="AX3" i="11" s="1"/>
  <c r="AY3" i="11" s="1"/>
  <c r="AZ3" i="11" s="1"/>
  <c r="BA3" i="11" s="1"/>
  <c r="BB3" i="11" s="1"/>
  <c r="BC3" i="11" s="1"/>
  <c r="BD3" i="11" s="1"/>
  <c r="BE3" i="11" s="1"/>
  <c r="BF3" i="11" s="1"/>
  <c r="BG3" i="11" s="1"/>
  <c r="BH3" i="11" s="1"/>
  <c r="BI3" i="11" s="1"/>
  <c r="BJ3" i="11" s="1"/>
  <c r="BK3" i="11" s="1"/>
  <c r="BL3" i="11" s="1"/>
  <c r="BC55" i="1" l="1"/>
  <c r="BA12" i="17" s="1"/>
  <c r="AZ12" i="17"/>
  <c r="M101" i="11"/>
  <c r="M100" i="11"/>
  <c r="M102" i="11"/>
  <c r="O37" i="11"/>
  <c r="N101" i="11"/>
  <c r="AD4" i="17"/>
  <c r="AC36" i="17"/>
  <c r="AD9" i="17"/>
  <c r="AC41" i="17"/>
  <c r="AD38" i="17"/>
  <c r="AD50" i="17"/>
  <c r="AD56" i="17"/>
  <c r="AD43" i="17"/>
  <c r="AD57" i="17"/>
  <c r="AD51" i="17"/>
  <c r="AD39" i="17"/>
  <c r="AD44" i="17"/>
  <c r="AC40" i="17"/>
  <c r="AC5" i="17"/>
  <c r="AC37" i="17" s="1"/>
  <c r="AD8" i="17"/>
  <c r="AD13" i="17"/>
  <c r="AC10" i="17"/>
  <c r="AC42" i="17" s="1"/>
  <c r="AC45" i="17"/>
  <c r="AB3" i="17"/>
  <c r="AB35" i="17" s="1"/>
  <c r="V55" i="17"/>
  <c r="W23" i="17"/>
  <c r="AD27" i="17"/>
  <c r="AD59" i="17" s="1"/>
  <c r="AC26" i="17"/>
  <c r="AC58" i="17" s="1"/>
  <c r="AD37" i="9"/>
  <c r="AC20" i="17"/>
  <c r="AC52" i="17" s="1"/>
  <c r="AF50" i="1"/>
  <c r="AF51" i="1" s="1"/>
  <c r="B38" i="11"/>
  <c r="O38" i="11" s="1"/>
  <c r="AG59" i="1"/>
  <c r="AF38" i="1"/>
  <c r="F25" i="11"/>
  <c r="B103" i="11"/>
  <c r="N103" i="11" s="1"/>
  <c r="B34" i="11"/>
  <c r="B33" i="11" s="1"/>
  <c r="B32" i="11" s="1"/>
  <c r="B31" i="11" s="1"/>
  <c r="B30" i="11" s="1"/>
  <c r="B29" i="11" s="1"/>
  <c r="B28" i="11" s="1"/>
  <c r="B27" i="11" s="1"/>
  <c r="B26" i="11" s="1"/>
  <c r="B25" i="11" s="1"/>
  <c r="B24" i="11" s="1"/>
  <c r="B99" i="11"/>
  <c r="L88" i="11"/>
  <c r="P23" i="11"/>
  <c r="M10" i="11"/>
  <c r="M11" i="11" s="1"/>
  <c r="O10" i="11"/>
  <c r="O11" i="11" s="1"/>
  <c r="O88" i="11"/>
  <c r="P38" i="11" l="1"/>
  <c r="L99" i="11"/>
  <c r="M103" i="11"/>
  <c r="O102" i="11"/>
  <c r="O103" i="11"/>
  <c r="AC3" i="17"/>
  <c r="AC35" i="17" s="1"/>
  <c r="AD5" i="17"/>
  <c r="AD37" i="17" s="1"/>
  <c r="AE8" i="17"/>
  <c r="AD40" i="17"/>
  <c r="AD41" i="17"/>
  <c r="AE9" i="17"/>
  <c r="AE57" i="17"/>
  <c r="AE56" i="17"/>
  <c r="AE50" i="17"/>
  <c r="AE43" i="17"/>
  <c r="AE38" i="17"/>
  <c r="AE51" i="17"/>
  <c r="AE39" i="17"/>
  <c r="AE44" i="17"/>
  <c r="AE13" i="17"/>
  <c r="AD45" i="17"/>
  <c r="AD10" i="17"/>
  <c r="AD42" i="17" s="1"/>
  <c r="AE4" i="17"/>
  <c r="AD36" i="17"/>
  <c r="W55" i="17"/>
  <c r="X23" i="17"/>
  <c r="AE27" i="17"/>
  <c r="AE59" i="17" s="1"/>
  <c r="AD26" i="17"/>
  <c r="AD58" i="17" s="1"/>
  <c r="AE37" i="9"/>
  <c r="AD20" i="17"/>
  <c r="AD52" i="17" s="1"/>
  <c r="AG50" i="1"/>
  <c r="AG51" i="1" s="1"/>
  <c r="L10" i="11"/>
  <c r="K10" i="11" s="1"/>
  <c r="J10" i="11" s="1"/>
  <c r="I10" i="11" s="1"/>
  <c r="H10" i="11" s="1"/>
  <c r="G10" i="11" s="1"/>
  <c r="F10" i="11" s="1"/>
  <c r="E10" i="11" s="1"/>
  <c r="D10" i="11" s="1"/>
  <c r="C10" i="11" s="1"/>
  <c r="L102" i="11"/>
  <c r="L101" i="11"/>
  <c r="L100" i="11"/>
  <c r="L103" i="11"/>
  <c r="B39" i="11"/>
  <c r="O39" i="11" s="1"/>
  <c r="AH59" i="1"/>
  <c r="AG38" i="1"/>
  <c r="B98" i="11"/>
  <c r="G25" i="11"/>
  <c r="B104" i="11"/>
  <c r="P10" i="11"/>
  <c r="P11" i="11" s="1"/>
  <c r="K88" i="11"/>
  <c r="P88" i="11"/>
  <c r="Q23" i="11"/>
  <c r="P39" i="11" l="1"/>
  <c r="N98" i="11"/>
  <c r="M98" i="11"/>
  <c r="O98" i="11"/>
  <c r="N104" i="11"/>
  <c r="M104" i="11"/>
  <c r="P104" i="11"/>
  <c r="P103" i="11"/>
  <c r="P98" i="11"/>
  <c r="O104" i="11"/>
  <c r="Q39" i="11"/>
  <c r="L98" i="11"/>
  <c r="K99" i="11"/>
  <c r="K98" i="11"/>
  <c r="L104" i="11"/>
  <c r="AD3" i="17"/>
  <c r="AD35" i="17" s="1"/>
  <c r="AF57" i="17"/>
  <c r="AF56" i="17"/>
  <c r="AF38" i="17"/>
  <c r="AF43" i="17"/>
  <c r="AF50" i="17"/>
  <c r="AF51" i="17"/>
  <c r="AF39" i="17"/>
  <c r="AF44" i="17"/>
  <c r="AF13" i="17"/>
  <c r="AE45" i="17"/>
  <c r="AE10" i="17"/>
  <c r="AE42" i="17" s="1"/>
  <c r="AE41" i="17"/>
  <c r="AF9" i="17"/>
  <c r="AE5" i="17"/>
  <c r="AE37" i="17" s="1"/>
  <c r="AF8" i="17"/>
  <c r="AE40" i="17"/>
  <c r="AE36" i="17"/>
  <c r="AF4" i="17"/>
  <c r="X55" i="17"/>
  <c r="Y23" i="17"/>
  <c r="AE26" i="17"/>
  <c r="AE58" i="17" s="1"/>
  <c r="AF27" i="17"/>
  <c r="AF59" i="17" s="1"/>
  <c r="AF37" i="9"/>
  <c r="AE20" i="17"/>
  <c r="AE52" i="17" s="1"/>
  <c r="AH50" i="1"/>
  <c r="AH51" i="1" s="1"/>
  <c r="K100" i="11"/>
  <c r="K104" i="11"/>
  <c r="K103" i="11"/>
  <c r="K101" i="11"/>
  <c r="K102" i="11"/>
  <c r="B40" i="11"/>
  <c r="Q40" i="11" s="1"/>
  <c r="AI59" i="1"/>
  <c r="AH38" i="1"/>
  <c r="B97" i="11"/>
  <c r="P97" i="11" s="1"/>
  <c r="J88" i="11"/>
  <c r="H25" i="11"/>
  <c r="B105" i="11"/>
  <c r="P105" i="11" s="1"/>
  <c r="Q10" i="11"/>
  <c r="Q11" i="11" s="1"/>
  <c r="Q88" i="11"/>
  <c r="R23" i="11"/>
  <c r="K97" i="11" l="1"/>
  <c r="R40" i="11"/>
  <c r="Q98" i="11"/>
  <c r="Q97" i="11"/>
  <c r="Q104" i="11"/>
  <c r="Q105" i="11"/>
  <c r="O40" i="11"/>
  <c r="P40" i="11"/>
  <c r="K105" i="11"/>
  <c r="N105" i="11"/>
  <c r="M105" i="11"/>
  <c r="O105" i="11"/>
  <c r="J97" i="11"/>
  <c r="J98" i="11"/>
  <c r="J99" i="11"/>
  <c r="N97" i="11"/>
  <c r="M97" i="11"/>
  <c r="O97" i="11"/>
  <c r="L97" i="11"/>
  <c r="AE3" i="17"/>
  <c r="AE35" i="17" s="1"/>
  <c r="AF40" i="17"/>
  <c r="AF5" i="17"/>
  <c r="AF37" i="17" s="1"/>
  <c r="AG8" i="17"/>
  <c r="AG50" i="17"/>
  <c r="AG56" i="17"/>
  <c r="AG43" i="17"/>
  <c r="AG57" i="17"/>
  <c r="AG38" i="17"/>
  <c r="AG51" i="17"/>
  <c r="AG39" i="17"/>
  <c r="AG44" i="17"/>
  <c r="AF41" i="17"/>
  <c r="AG9" i="17"/>
  <c r="AG4" i="17"/>
  <c r="AF36" i="17"/>
  <c r="AG13" i="17"/>
  <c r="AF45" i="17"/>
  <c r="AF10" i="17"/>
  <c r="AF42" i="17" s="1"/>
  <c r="Y55" i="17"/>
  <c r="Z23" i="17"/>
  <c r="AG27" i="17"/>
  <c r="AG59" i="17" s="1"/>
  <c r="AF26" i="17"/>
  <c r="AF58" i="17" s="1"/>
  <c r="AG37" i="9"/>
  <c r="AF20" i="17"/>
  <c r="AF52" i="17" s="1"/>
  <c r="AI50" i="1"/>
  <c r="AI51" i="1" s="1"/>
  <c r="J100" i="11"/>
  <c r="J103" i="11"/>
  <c r="J102" i="11"/>
  <c r="J104" i="11"/>
  <c r="J101" i="11"/>
  <c r="J105" i="11"/>
  <c r="L105" i="11"/>
  <c r="B41" i="11"/>
  <c r="R41" i="11" s="1"/>
  <c r="AJ59" i="1"/>
  <c r="AI38" i="1"/>
  <c r="I88" i="11"/>
  <c r="B96" i="11"/>
  <c r="J96" i="11" s="1"/>
  <c r="I25" i="11"/>
  <c r="B106" i="11"/>
  <c r="Q106" i="11" s="1"/>
  <c r="R10" i="11"/>
  <c r="R11" i="11" s="1"/>
  <c r="S23" i="11"/>
  <c r="R88" i="11"/>
  <c r="Q96" i="11" l="1"/>
  <c r="I97" i="11"/>
  <c r="I98" i="11"/>
  <c r="I99" i="11"/>
  <c r="I96" i="11"/>
  <c r="S41" i="11"/>
  <c r="N106" i="11"/>
  <c r="M106" i="11"/>
  <c r="O106" i="11"/>
  <c r="P106" i="11"/>
  <c r="N96" i="11"/>
  <c r="M96" i="11"/>
  <c r="O96" i="11"/>
  <c r="L96" i="11"/>
  <c r="P96" i="11"/>
  <c r="K96" i="11"/>
  <c r="R98" i="11"/>
  <c r="R105" i="11"/>
  <c r="R96" i="11"/>
  <c r="R97" i="11"/>
  <c r="R106" i="11"/>
  <c r="H88" i="11"/>
  <c r="H103" i="11" s="1"/>
  <c r="O41" i="11"/>
  <c r="P41" i="11"/>
  <c r="Q41" i="11"/>
  <c r="AF3" i="17"/>
  <c r="AF35" i="17" s="1"/>
  <c r="AH4" i="17"/>
  <c r="AG36" i="17"/>
  <c r="AH43" i="17"/>
  <c r="AH50" i="17"/>
  <c r="AH56" i="17"/>
  <c r="AH38" i="17"/>
  <c r="AH57" i="17"/>
  <c r="AH51" i="17"/>
  <c r="AH39" i="17"/>
  <c r="AH44" i="17"/>
  <c r="AH8" i="17"/>
  <c r="AG40" i="17"/>
  <c r="AG5" i="17"/>
  <c r="AG37" i="17" s="1"/>
  <c r="AG41" i="17"/>
  <c r="AH9" i="17"/>
  <c r="AH13" i="17"/>
  <c r="AG45" i="17"/>
  <c r="AG10" i="17"/>
  <c r="AG42" i="17" s="1"/>
  <c r="Z55" i="17"/>
  <c r="AA23" i="17"/>
  <c r="AH27" i="17"/>
  <c r="AH59" i="17" s="1"/>
  <c r="AG26" i="17"/>
  <c r="AG58" i="17" s="1"/>
  <c r="AH37" i="9"/>
  <c r="AG20" i="17"/>
  <c r="AG52" i="17" s="1"/>
  <c r="AJ50" i="1"/>
  <c r="AJ51" i="1" s="1"/>
  <c r="L106" i="11"/>
  <c r="K106" i="11"/>
  <c r="J106" i="11"/>
  <c r="H106" i="11"/>
  <c r="I100" i="11"/>
  <c r="I103" i="11"/>
  <c r="I102" i="11"/>
  <c r="I101" i="11"/>
  <c r="I105" i="11"/>
  <c r="I104" i="11"/>
  <c r="I106" i="11"/>
  <c r="B42" i="11"/>
  <c r="S42" i="11" s="1"/>
  <c r="AK59" i="1"/>
  <c r="AJ38" i="1"/>
  <c r="B95" i="11"/>
  <c r="I95" i="11" s="1"/>
  <c r="J25" i="11"/>
  <c r="B107" i="11"/>
  <c r="R107" i="11" s="1"/>
  <c r="S10" i="11"/>
  <c r="S11" i="11" s="1"/>
  <c r="T23" i="11"/>
  <c r="S88" i="11"/>
  <c r="H100" i="11" l="1"/>
  <c r="R95" i="11"/>
  <c r="S95" i="11"/>
  <c r="S96" i="11"/>
  <c r="S98" i="11"/>
  <c r="S97" i="11"/>
  <c r="S106" i="11"/>
  <c r="H98" i="11"/>
  <c r="H99" i="11"/>
  <c r="H97" i="11"/>
  <c r="H95" i="11"/>
  <c r="H96" i="11"/>
  <c r="T42" i="11"/>
  <c r="O42" i="11"/>
  <c r="P42" i="11"/>
  <c r="Q42" i="11"/>
  <c r="R42" i="11"/>
  <c r="H102" i="11"/>
  <c r="G88" i="11"/>
  <c r="G103" i="11" s="1"/>
  <c r="H104" i="11"/>
  <c r="H105" i="11"/>
  <c r="N95" i="11"/>
  <c r="M95" i="11"/>
  <c r="L95" i="11"/>
  <c r="O95" i="11"/>
  <c r="K95" i="11"/>
  <c r="P95" i="11"/>
  <c r="J95" i="11"/>
  <c r="Q95" i="11"/>
  <c r="H101" i="11"/>
  <c r="AI9" i="17"/>
  <c r="AH41" i="17"/>
  <c r="AG3" i="17"/>
  <c r="AG35" i="17" s="1"/>
  <c r="AI50" i="17"/>
  <c r="AI56" i="17"/>
  <c r="AI57" i="17"/>
  <c r="AI38" i="17"/>
  <c r="AI43" i="17"/>
  <c r="AI51" i="17"/>
  <c r="AI39" i="17"/>
  <c r="AI44" i="17"/>
  <c r="AH5" i="17"/>
  <c r="AH37" i="17" s="1"/>
  <c r="AI8" i="17"/>
  <c r="AH40" i="17"/>
  <c r="AI13" i="17"/>
  <c r="AH10" i="17"/>
  <c r="AH42" i="17" s="1"/>
  <c r="AH45" i="17"/>
  <c r="AI4" i="17"/>
  <c r="AH36" i="17"/>
  <c r="AA55" i="17"/>
  <c r="AB23" i="17"/>
  <c r="AI27" i="17"/>
  <c r="AI59" i="17" s="1"/>
  <c r="AH26" i="17"/>
  <c r="AH58" i="17" s="1"/>
  <c r="AI37" i="9"/>
  <c r="AH20" i="17"/>
  <c r="AH52" i="17" s="1"/>
  <c r="AK50" i="1"/>
  <c r="AK51" i="1" s="1"/>
  <c r="S107" i="11"/>
  <c r="N107" i="11"/>
  <c r="M107" i="11"/>
  <c r="O107" i="11"/>
  <c r="L107" i="11"/>
  <c r="P107" i="11"/>
  <c r="K107" i="11"/>
  <c r="Q107" i="11"/>
  <c r="J107" i="11"/>
  <c r="H107" i="11"/>
  <c r="G101" i="11"/>
  <c r="I107" i="11"/>
  <c r="B43" i="11"/>
  <c r="AL59" i="1"/>
  <c r="AK38" i="1"/>
  <c r="B94" i="11"/>
  <c r="S94" i="11" s="1"/>
  <c r="K25" i="11"/>
  <c r="B108" i="11"/>
  <c r="S108" i="11" s="1"/>
  <c r="T10" i="11"/>
  <c r="T11" i="11" s="1"/>
  <c r="T88" i="11"/>
  <c r="U23" i="11"/>
  <c r="G107" i="11" l="1"/>
  <c r="G105" i="11"/>
  <c r="G99" i="11"/>
  <c r="G95" i="11"/>
  <c r="G94" i="11"/>
  <c r="G97" i="11"/>
  <c r="G96" i="11"/>
  <c r="G98" i="11"/>
  <c r="H94" i="11"/>
  <c r="G102" i="11"/>
  <c r="G106" i="11"/>
  <c r="T94" i="11"/>
  <c r="T97" i="11"/>
  <c r="T95" i="11"/>
  <c r="T107" i="11"/>
  <c r="T96" i="11"/>
  <c r="T98" i="11"/>
  <c r="T108" i="11"/>
  <c r="N94" i="11"/>
  <c r="M94" i="11"/>
  <c r="L94" i="11"/>
  <c r="O94" i="11"/>
  <c r="P94" i="11"/>
  <c r="K94" i="11"/>
  <c r="J94" i="11"/>
  <c r="Q94" i="11"/>
  <c r="R94" i="11"/>
  <c r="I94" i="11"/>
  <c r="F88" i="11"/>
  <c r="F105" i="11" s="1"/>
  <c r="G104" i="11"/>
  <c r="U43" i="11"/>
  <c r="O43" i="11"/>
  <c r="P43" i="11"/>
  <c r="Q43" i="11"/>
  <c r="R43" i="11"/>
  <c r="S43" i="11"/>
  <c r="G100" i="11"/>
  <c r="T43" i="11"/>
  <c r="AI10" i="17"/>
  <c r="AI42" i="17" s="1"/>
  <c r="AJ13" i="17"/>
  <c r="AI45" i="17"/>
  <c r="AJ56" i="17"/>
  <c r="AJ57" i="17"/>
  <c r="AJ43" i="17"/>
  <c r="AJ38" i="17"/>
  <c r="AJ50" i="17"/>
  <c r="AJ51" i="17"/>
  <c r="AJ39" i="17"/>
  <c r="AJ44" i="17"/>
  <c r="AJ8" i="17"/>
  <c r="AI5" i="17"/>
  <c r="AI37" i="17" s="1"/>
  <c r="AI40" i="17"/>
  <c r="AH3" i="17"/>
  <c r="AH35" i="17" s="1"/>
  <c r="AJ4" i="17"/>
  <c r="AI36" i="17"/>
  <c r="AJ9" i="17"/>
  <c r="AI41" i="17"/>
  <c r="AB55" i="17"/>
  <c r="AC23" i="17"/>
  <c r="AI26" i="17"/>
  <c r="AI58" i="17" s="1"/>
  <c r="AJ27" i="17"/>
  <c r="AJ59" i="17" s="1"/>
  <c r="AJ37" i="9"/>
  <c r="AI20" i="17"/>
  <c r="AI52" i="17" s="1"/>
  <c r="AL50" i="1"/>
  <c r="AL51" i="1" s="1"/>
  <c r="N108" i="11"/>
  <c r="M108" i="11"/>
  <c r="L108" i="11"/>
  <c r="O108" i="11"/>
  <c r="P108" i="11"/>
  <c r="K108" i="11"/>
  <c r="J108" i="11"/>
  <c r="Q108" i="11"/>
  <c r="I108" i="11"/>
  <c r="R108" i="11"/>
  <c r="H108" i="11"/>
  <c r="G108" i="11"/>
  <c r="F101" i="11"/>
  <c r="B44" i="11"/>
  <c r="U44" i="11" s="1"/>
  <c r="AM59" i="1"/>
  <c r="AL38" i="1"/>
  <c r="B93" i="11"/>
  <c r="G93" i="11" s="1"/>
  <c r="L25" i="11"/>
  <c r="B109" i="11"/>
  <c r="U10" i="11"/>
  <c r="U11" i="11" s="1"/>
  <c r="V23" i="11"/>
  <c r="U88" i="11"/>
  <c r="F109" i="11" l="1"/>
  <c r="F102" i="11"/>
  <c r="F107" i="11"/>
  <c r="E88" i="11"/>
  <c r="E101" i="11" s="1"/>
  <c r="F106" i="11"/>
  <c r="T109" i="11"/>
  <c r="F93" i="11"/>
  <c r="F96" i="11"/>
  <c r="F97" i="11"/>
  <c r="F98" i="11"/>
  <c r="F95" i="11"/>
  <c r="F99" i="11"/>
  <c r="F94" i="11"/>
  <c r="N93" i="11"/>
  <c r="M93" i="11"/>
  <c r="L93" i="11"/>
  <c r="O93" i="11"/>
  <c r="K93" i="11"/>
  <c r="P93" i="11"/>
  <c r="J93" i="11"/>
  <c r="Q93" i="11"/>
  <c r="I93" i="11"/>
  <c r="R93" i="11"/>
  <c r="H93" i="11"/>
  <c r="S93" i="11"/>
  <c r="F100" i="11"/>
  <c r="U96" i="11"/>
  <c r="U93" i="11"/>
  <c r="U94" i="11"/>
  <c r="U95" i="11"/>
  <c r="U97" i="11"/>
  <c r="U98" i="11"/>
  <c r="U108" i="11"/>
  <c r="U109" i="11"/>
  <c r="O44" i="11"/>
  <c r="P44" i="11"/>
  <c r="Q44" i="11"/>
  <c r="R44" i="11"/>
  <c r="S44" i="11"/>
  <c r="T44" i="11"/>
  <c r="F103" i="11"/>
  <c r="T93" i="11"/>
  <c r="V44" i="11"/>
  <c r="F108" i="11"/>
  <c r="F104" i="11"/>
  <c r="AK43" i="17"/>
  <c r="AK38" i="17"/>
  <c r="AK56" i="17"/>
  <c r="AK57" i="17"/>
  <c r="AK50" i="17"/>
  <c r="AK51" i="17"/>
  <c r="AK39" i="17"/>
  <c r="AK44" i="17"/>
  <c r="AK4" i="17"/>
  <c r="AJ36" i="17"/>
  <c r="AK9" i="17"/>
  <c r="AJ41" i="17"/>
  <c r="AI3" i="17"/>
  <c r="AI35" i="17" s="1"/>
  <c r="AJ10" i="17"/>
  <c r="AJ42" i="17" s="1"/>
  <c r="AJ45" i="17"/>
  <c r="AK13" i="17"/>
  <c r="AJ5" i="17"/>
  <c r="AJ37" i="17" s="1"/>
  <c r="AK8" i="17"/>
  <c r="AJ40" i="17"/>
  <c r="AC55" i="17"/>
  <c r="AD23" i="17"/>
  <c r="AK27" i="17"/>
  <c r="AK59" i="17" s="1"/>
  <c r="AJ26" i="17"/>
  <c r="AJ58" i="17" s="1"/>
  <c r="AK37" i="9"/>
  <c r="AJ20" i="17"/>
  <c r="AJ52" i="17" s="1"/>
  <c r="AM50" i="1"/>
  <c r="AM51" i="1" s="1"/>
  <c r="E106" i="11"/>
  <c r="N109" i="11"/>
  <c r="M109" i="11"/>
  <c r="O109" i="11"/>
  <c r="L109" i="11"/>
  <c r="K109" i="11"/>
  <c r="P109" i="11"/>
  <c r="Q109" i="11"/>
  <c r="J109" i="11"/>
  <c r="H109" i="11"/>
  <c r="R109" i="11"/>
  <c r="I109" i="11"/>
  <c r="G109" i="11"/>
  <c r="S109" i="11"/>
  <c r="B45" i="11"/>
  <c r="AN59" i="1"/>
  <c r="AM38" i="1"/>
  <c r="B92" i="11"/>
  <c r="M25" i="11"/>
  <c r="B110" i="11"/>
  <c r="T110" i="11" s="1"/>
  <c r="V10" i="11"/>
  <c r="V11" i="11" s="1"/>
  <c r="D88" i="11"/>
  <c r="W23" i="11"/>
  <c r="V88" i="11"/>
  <c r="E103" i="11" l="1"/>
  <c r="E100" i="11"/>
  <c r="E108" i="11"/>
  <c r="E95" i="11"/>
  <c r="E97" i="11"/>
  <c r="E102" i="11"/>
  <c r="E94" i="11"/>
  <c r="E99" i="11"/>
  <c r="E109" i="11"/>
  <c r="E107" i="11"/>
  <c r="E98" i="11"/>
  <c r="E104" i="11"/>
  <c r="E96" i="11"/>
  <c r="E105" i="11"/>
  <c r="E93" i="11"/>
  <c r="E110" i="11"/>
  <c r="N92" i="11"/>
  <c r="M92" i="11"/>
  <c r="O92" i="11"/>
  <c r="L92" i="11"/>
  <c r="P92" i="11"/>
  <c r="K92" i="11"/>
  <c r="Q92" i="11"/>
  <c r="J92" i="11"/>
  <c r="R92" i="11"/>
  <c r="I92" i="11"/>
  <c r="S92" i="11"/>
  <c r="H92" i="11"/>
  <c r="T92" i="11"/>
  <c r="G92" i="11"/>
  <c r="U92" i="11"/>
  <c r="V92" i="11"/>
  <c r="V96" i="11"/>
  <c r="V94" i="11"/>
  <c r="V97" i="11"/>
  <c r="V95" i="11"/>
  <c r="V93" i="11"/>
  <c r="V98" i="11"/>
  <c r="V110" i="11"/>
  <c r="V109" i="11"/>
  <c r="U110" i="11"/>
  <c r="W45" i="11"/>
  <c r="O45" i="11"/>
  <c r="P45" i="11"/>
  <c r="Q45" i="11"/>
  <c r="R45" i="11"/>
  <c r="S45" i="11"/>
  <c r="T45" i="11"/>
  <c r="U45" i="11"/>
  <c r="V45" i="11"/>
  <c r="D94" i="11"/>
  <c r="D95" i="11"/>
  <c r="D98" i="11"/>
  <c r="D93" i="11"/>
  <c r="D96" i="11"/>
  <c r="D99" i="11"/>
  <c r="D97" i="11"/>
  <c r="D92" i="11"/>
  <c r="E92" i="11"/>
  <c r="F92" i="11"/>
  <c r="AL9" i="17"/>
  <c r="AK41" i="17"/>
  <c r="AL8" i="17"/>
  <c r="AK40" i="17"/>
  <c r="AK5" i="17"/>
  <c r="AK37" i="17" s="1"/>
  <c r="AL56" i="17"/>
  <c r="AL50" i="17"/>
  <c r="AL57" i="17"/>
  <c r="AL43" i="17"/>
  <c r="AL38" i="17"/>
  <c r="AL51" i="17"/>
  <c r="AL39" i="17"/>
  <c r="AL44" i="17"/>
  <c r="AJ3" i="17"/>
  <c r="AJ35" i="17" s="1"/>
  <c r="AK45" i="17"/>
  <c r="AK10" i="17"/>
  <c r="AK42" i="17" s="1"/>
  <c r="AL13" i="17"/>
  <c r="AK36" i="17"/>
  <c r="AL4" i="17"/>
  <c r="AD55" i="17"/>
  <c r="AE23" i="17"/>
  <c r="AL27" i="17"/>
  <c r="AL59" i="17" s="1"/>
  <c r="AK26" i="17"/>
  <c r="AK58" i="17" s="1"/>
  <c r="AL37" i="9"/>
  <c r="AK20" i="17"/>
  <c r="AK52" i="17" s="1"/>
  <c r="AN50" i="1"/>
  <c r="AN51" i="1" s="1"/>
  <c r="N110" i="11"/>
  <c r="M110" i="11"/>
  <c r="L110" i="11"/>
  <c r="O110" i="11"/>
  <c r="P110" i="11"/>
  <c r="K110" i="11"/>
  <c r="Q110" i="11"/>
  <c r="J110" i="11"/>
  <c r="H110" i="11"/>
  <c r="I110" i="11"/>
  <c r="R110" i="11"/>
  <c r="G110" i="11"/>
  <c r="S110" i="11"/>
  <c r="F110" i="11"/>
  <c r="D101" i="11"/>
  <c r="D102" i="11"/>
  <c r="D100" i="11"/>
  <c r="D105" i="11"/>
  <c r="D109" i="11"/>
  <c r="D110" i="11"/>
  <c r="D103" i="11"/>
  <c r="D106" i="11"/>
  <c r="D108" i="11"/>
  <c r="D107" i="11"/>
  <c r="D104" i="11"/>
  <c r="C88" i="11"/>
  <c r="B46" i="11"/>
  <c r="AO59" i="1"/>
  <c r="AN38" i="1"/>
  <c r="B91" i="11"/>
  <c r="D91" i="11" s="1"/>
  <c r="N25" i="11"/>
  <c r="B111" i="11"/>
  <c r="V111" i="11" s="1"/>
  <c r="W10" i="11"/>
  <c r="W11" i="11" s="1"/>
  <c r="W88" i="11"/>
  <c r="X23" i="11"/>
  <c r="N91" i="11" l="1"/>
  <c r="M91" i="11"/>
  <c r="L91" i="11"/>
  <c r="O91" i="11"/>
  <c r="P91" i="11"/>
  <c r="K91" i="11"/>
  <c r="Q91" i="11"/>
  <c r="J91" i="11"/>
  <c r="R91" i="11"/>
  <c r="I91" i="11"/>
  <c r="S91" i="11"/>
  <c r="H91" i="11"/>
  <c r="G91" i="11"/>
  <c r="T91" i="11"/>
  <c r="F91" i="11"/>
  <c r="E91" i="11"/>
  <c r="X46" i="11"/>
  <c r="O46" i="11"/>
  <c r="P46" i="11"/>
  <c r="Q46" i="11"/>
  <c r="R46" i="11"/>
  <c r="S46" i="11"/>
  <c r="T46" i="11"/>
  <c r="U46" i="11"/>
  <c r="V46" i="11"/>
  <c r="W46" i="11"/>
  <c r="C30" i="17"/>
  <c r="C62" i="17" s="1"/>
  <c r="B30" i="17"/>
  <c r="B62" i="17" s="1"/>
  <c r="W98" i="11"/>
  <c r="W92" i="11"/>
  <c r="W95" i="11"/>
  <c r="W94" i="11"/>
  <c r="W93" i="11"/>
  <c r="W110" i="11"/>
  <c r="W96" i="11"/>
  <c r="W97" i="11"/>
  <c r="W111" i="11"/>
  <c r="T111" i="11"/>
  <c r="U111" i="11"/>
  <c r="AK3" i="17"/>
  <c r="AK35" i="17" s="1"/>
  <c r="AL36" i="17"/>
  <c r="AM4" i="17"/>
  <c r="AM8" i="17"/>
  <c r="AL40" i="17"/>
  <c r="AL5" i="17"/>
  <c r="AL37" i="17" s="1"/>
  <c r="AM56" i="17"/>
  <c r="AM38" i="17"/>
  <c r="AM57" i="17"/>
  <c r="AM50" i="17"/>
  <c r="AM43" i="17"/>
  <c r="AM51" i="17"/>
  <c r="AM39" i="17"/>
  <c r="AM44" i="17"/>
  <c r="AM13" i="17"/>
  <c r="AL45" i="17"/>
  <c r="AL10" i="17"/>
  <c r="AL42" i="17" s="1"/>
  <c r="AM9" i="17"/>
  <c r="AL41" i="17"/>
  <c r="AE55" i="17"/>
  <c r="AF23" i="17"/>
  <c r="AM27" i="17"/>
  <c r="AM59" i="17" s="1"/>
  <c r="AL26" i="17"/>
  <c r="AL58" i="17" s="1"/>
  <c r="AM37" i="9"/>
  <c r="AL20" i="17"/>
  <c r="AL52" i="17" s="1"/>
  <c r="AO50" i="1"/>
  <c r="AO51" i="1" s="1"/>
  <c r="N111" i="11"/>
  <c r="M111" i="11"/>
  <c r="O111" i="11"/>
  <c r="L111" i="11"/>
  <c r="P111" i="11"/>
  <c r="K111" i="11"/>
  <c r="J111" i="11"/>
  <c r="Q111" i="11"/>
  <c r="H111" i="11"/>
  <c r="R111" i="11"/>
  <c r="I111" i="11"/>
  <c r="G111" i="11"/>
  <c r="S111" i="11"/>
  <c r="F111" i="11"/>
  <c r="E111" i="11"/>
  <c r="U91" i="11"/>
  <c r="V91" i="11"/>
  <c r="C98" i="11"/>
  <c r="C91" i="11"/>
  <c r="C92" i="11"/>
  <c r="C100" i="11"/>
  <c r="C105" i="11"/>
  <c r="C99" i="11"/>
  <c r="C96" i="11"/>
  <c r="C104" i="11"/>
  <c r="C95" i="11"/>
  <c r="C97" i="11"/>
  <c r="C103" i="11"/>
  <c r="C106" i="11"/>
  <c r="C94" i="11"/>
  <c r="C109" i="11"/>
  <c r="C101" i="11"/>
  <c r="C102" i="11"/>
  <c r="C108" i="11"/>
  <c r="C111" i="11"/>
  <c r="C107" i="11"/>
  <c r="C110" i="11"/>
  <c r="C93" i="11"/>
  <c r="D111" i="11"/>
  <c r="W91" i="11"/>
  <c r="B47" i="11"/>
  <c r="X47" i="11" s="1"/>
  <c r="AP59" i="1"/>
  <c r="AO38" i="1"/>
  <c r="B90" i="11"/>
  <c r="B112" i="11"/>
  <c r="W112" i="11" s="1"/>
  <c r="X10" i="11"/>
  <c r="X11" i="11" s="1"/>
  <c r="X88" i="11"/>
  <c r="Y23" i="11"/>
  <c r="T112" i="11" l="1"/>
  <c r="U112" i="11"/>
  <c r="V112" i="11"/>
  <c r="O47" i="11"/>
  <c r="P47" i="11"/>
  <c r="Q47" i="11"/>
  <c r="R47" i="11"/>
  <c r="S47" i="11"/>
  <c r="T47" i="11"/>
  <c r="U47" i="11"/>
  <c r="V47" i="11"/>
  <c r="W47" i="11"/>
  <c r="C112" i="11"/>
  <c r="X95" i="11"/>
  <c r="X99" i="11"/>
  <c r="X98" i="11"/>
  <c r="X93" i="11"/>
  <c r="X96" i="11"/>
  <c r="X92" i="11"/>
  <c r="X111" i="11"/>
  <c r="X94" i="11"/>
  <c r="X97" i="11"/>
  <c r="X112" i="11"/>
  <c r="W90" i="11"/>
  <c r="N90" i="11"/>
  <c r="M90" i="11"/>
  <c r="L90" i="11"/>
  <c r="O90" i="11"/>
  <c r="K90" i="11"/>
  <c r="P90" i="11"/>
  <c r="J90" i="11"/>
  <c r="Q90" i="11"/>
  <c r="R90" i="11"/>
  <c r="I90" i="11"/>
  <c r="S90" i="11"/>
  <c r="H90" i="11"/>
  <c r="T90" i="11"/>
  <c r="G90" i="11"/>
  <c r="E90" i="11"/>
  <c r="F90" i="11"/>
  <c r="D90" i="11"/>
  <c r="C90" i="11"/>
  <c r="Y47" i="11"/>
  <c r="AL3" i="17"/>
  <c r="AL35" i="17" s="1"/>
  <c r="AN38" i="17"/>
  <c r="AN43" i="17"/>
  <c r="AN50" i="17"/>
  <c r="AN57" i="17"/>
  <c r="AN56" i="17"/>
  <c r="AN51" i="17"/>
  <c r="AN39" i="17"/>
  <c r="AN44" i="17"/>
  <c r="AM10" i="17"/>
  <c r="AM42" i="17" s="1"/>
  <c r="AN13" i="17"/>
  <c r="AM45" i="17"/>
  <c r="AN8" i="17"/>
  <c r="AM40" i="17"/>
  <c r="AM5" i="17"/>
  <c r="AM37" i="17" s="1"/>
  <c r="AN9" i="17"/>
  <c r="AM41" i="17"/>
  <c r="AN4" i="17"/>
  <c r="AM36" i="17"/>
  <c r="AF55" i="17"/>
  <c r="AG23" i="17"/>
  <c r="AM26" i="17"/>
  <c r="AM58" i="17" s="1"/>
  <c r="AN27" i="17"/>
  <c r="AN59" i="17" s="1"/>
  <c r="AN37" i="9"/>
  <c r="AM20" i="17"/>
  <c r="AM52" i="17" s="1"/>
  <c r="AP50" i="1"/>
  <c r="AP51" i="1" s="1"/>
  <c r="X91" i="11"/>
  <c r="X90" i="11"/>
  <c r="N112" i="11"/>
  <c r="M112" i="11"/>
  <c r="L112" i="11"/>
  <c r="O112" i="11"/>
  <c r="K112" i="11"/>
  <c r="P112" i="11"/>
  <c r="J112" i="11"/>
  <c r="Q112" i="11"/>
  <c r="H112" i="11"/>
  <c r="I112" i="11"/>
  <c r="R112" i="11"/>
  <c r="G112" i="11"/>
  <c r="S112" i="11"/>
  <c r="F112" i="11"/>
  <c r="E112" i="11"/>
  <c r="D112" i="11"/>
  <c r="B89" i="11"/>
  <c r="U90" i="11"/>
  <c r="V90" i="11"/>
  <c r="B48" i="11"/>
  <c r="AQ59" i="1"/>
  <c r="AP38" i="1"/>
  <c r="B113" i="11"/>
  <c r="X113" i="11" s="1"/>
  <c r="Y10" i="11"/>
  <c r="Y11" i="11" s="1"/>
  <c r="Z23" i="11"/>
  <c r="Y88" i="11"/>
  <c r="O48" i="11" l="1"/>
  <c r="P48" i="11"/>
  <c r="Q48" i="11"/>
  <c r="R48" i="11"/>
  <c r="S48" i="11"/>
  <c r="T48" i="11"/>
  <c r="U48" i="11"/>
  <c r="V48" i="11"/>
  <c r="W48" i="11"/>
  <c r="X48" i="11"/>
  <c r="Y48" i="11"/>
  <c r="Z36" i="11"/>
  <c r="Z48" i="11"/>
  <c r="M89" i="11"/>
  <c r="L89" i="11"/>
  <c r="K89" i="11"/>
  <c r="J89" i="11"/>
  <c r="I89" i="11"/>
  <c r="H89" i="11"/>
  <c r="G89" i="11"/>
  <c r="F89" i="11"/>
  <c r="E89" i="11"/>
  <c r="D89" i="11"/>
  <c r="Y113" i="11"/>
  <c r="Y95" i="11"/>
  <c r="Y99" i="11"/>
  <c r="Y96" i="11"/>
  <c r="Y97" i="11"/>
  <c r="Y92" i="11"/>
  <c r="Y98" i="11"/>
  <c r="Y93" i="11"/>
  <c r="Y100" i="11"/>
  <c r="Y94" i="11"/>
  <c r="Y112" i="11"/>
  <c r="T113" i="11"/>
  <c r="U113" i="11"/>
  <c r="V113" i="11"/>
  <c r="W113" i="11"/>
  <c r="AM3" i="17"/>
  <c r="AM35" i="17" s="1"/>
  <c r="AO9" i="17"/>
  <c r="AN41" i="17"/>
  <c r="AO57" i="17"/>
  <c r="AO50" i="17"/>
  <c r="AO43" i="17"/>
  <c r="AO38" i="17"/>
  <c r="AO56" i="17"/>
  <c r="AO51" i="17"/>
  <c r="AO39" i="17"/>
  <c r="AO44" i="17"/>
  <c r="AO8" i="17"/>
  <c r="AN5" i="17"/>
  <c r="AN37" i="17" s="1"/>
  <c r="AN40" i="17"/>
  <c r="AO13" i="17"/>
  <c r="AN45" i="17"/>
  <c r="AN10" i="17"/>
  <c r="AN42" i="17" s="1"/>
  <c r="AO4" i="17"/>
  <c r="AN36" i="17"/>
  <c r="AG55" i="17"/>
  <c r="AH23" i="17"/>
  <c r="AO27" i="17"/>
  <c r="AO59" i="17" s="1"/>
  <c r="AN26" i="17"/>
  <c r="AN58" i="17" s="1"/>
  <c r="AO37" i="9"/>
  <c r="AN20" i="17"/>
  <c r="AN52" i="17" s="1"/>
  <c r="AQ50" i="1"/>
  <c r="AQ51" i="1" s="1"/>
  <c r="N89" i="11"/>
  <c r="O89" i="11"/>
  <c r="P89" i="11"/>
  <c r="Q89" i="11"/>
  <c r="R89" i="11"/>
  <c r="S89" i="11"/>
  <c r="T89" i="11"/>
  <c r="U89" i="11"/>
  <c r="V89" i="11"/>
  <c r="W89" i="11"/>
  <c r="C89" i="11"/>
  <c r="Y90" i="11"/>
  <c r="Y91" i="11"/>
  <c r="Y89" i="11"/>
  <c r="X89" i="11"/>
  <c r="N113" i="11"/>
  <c r="M113" i="11"/>
  <c r="O113" i="11"/>
  <c r="L113" i="11"/>
  <c r="K113" i="11"/>
  <c r="P113" i="11"/>
  <c r="J113" i="11"/>
  <c r="Q113" i="11"/>
  <c r="R113" i="11"/>
  <c r="H113" i="11"/>
  <c r="I113" i="11"/>
  <c r="G113" i="11"/>
  <c r="S113" i="11"/>
  <c r="F113" i="11"/>
  <c r="E113" i="11"/>
  <c r="D113" i="11"/>
  <c r="C113" i="11"/>
  <c r="B49" i="11"/>
  <c r="AR59" i="1"/>
  <c r="AQ38" i="1"/>
  <c r="B114" i="11"/>
  <c r="Y114" i="11" s="1"/>
  <c r="Z10" i="11"/>
  <c r="Z11" i="11" s="1"/>
  <c r="Z88" i="11"/>
  <c r="AA23" i="11"/>
  <c r="Z35" i="11"/>
  <c r="O49" i="11" l="1"/>
  <c r="P49" i="11"/>
  <c r="Q49" i="11"/>
  <c r="R49" i="11"/>
  <c r="S49" i="11"/>
  <c r="T49" i="11"/>
  <c r="U49" i="11"/>
  <c r="V49" i="11"/>
  <c r="W49" i="11"/>
  <c r="X49" i="11"/>
  <c r="Y49" i="11"/>
  <c r="T114" i="11"/>
  <c r="U114" i="11"/>
  <c r="V114" i="11"/>
  <c r="W114" i="11"/>
  <c r="X114" i="11"/>
  <c r="Z49" i="11"/>
  <c r="Z94" i="11"/>
  <c r="Z97" i="11"/>
  <c r="Z100" i="11"/>
  <c r="Z92" i="11"/>
  <c r="Z96" i="11"/>
  <c r="Z95" i="11"/>
  <c r="Z98" i="11"/>
  <c r="Z99" i="11"/>
  <c r="Z93" i="11"/>
  <c r="Z114" i="11"/>
  <c r="Z101" i="11"/>
  <c r="Z113" i="11"/>
  <c r="AA49" i="11"/>
  <c r="AA37" i="11"/>
  <c r="AA36" i="11"/>
  <c r="AP50" i="17"/>
  <c r="AP56" i="17"/>
  <c r="AP38" i="17"/>
  <c r="AP43" i="17"/>
  <c r="AP57" i="17"/>
  <c r="AP51" i="17"/>
  <c r="AP39" i="17"/>
  <c r="AP44" i="17"/>
  <c r="AP13" i="17"/>
  <c r="AO10" i="17"/>
  <c r="AO42" i="17" s="1"/>
  <c r="AO45" i="17"/>
  <c r="AN3" i="17"/>
  <c r="AN35" i="17" s="1"/>
  <c r="AP8" i="17"/>
  <c r="AO40" i="17"/>
  <c r="AO5" i="17"/>
  <c r="AO37" i="17" s="1"/>
  <c r="AP4" i="17"/>
  <c r="AO36" i="17"/>
  <c r="AP9" i="17"/>
  <c r="AO41" i="17"/>
  <c r="AH55" i="17"/>
  <c r="AI23" i="17"/>
  <c r="AP27" i="17"/>
  <c r="AP59" i="17" s="1"/>
  <c r="AO26" i="17"/>
  <c r="AO58" i="17" s="1"/>
  <c r="AP37" i="9"/>
  <c r="AO20" i="17"/>
  <c r="AO52" i="17" s="1"/>
  <c r="AR50" i="1"/>
  <c r="AR51" i="1" s="1"/>
  <c r="N114" i="11"/>
  <c r="M114" i="11"/>
  <c r="L114" i="11"/>
  <c r="O114" i="11"/>
  <c r="K114" i="11"/>
  <c r="P114" i="11"/>
  <c r="Q114" i="11"/>
  <c r="J114" i="11"/>
  <c r="H114" i="11"/>
  <c r="R114" i="11"/>
  <c r="I114" i="11"/>
  <c r="S114" i="11"/>
  <c r="G114" i="11"/>
  <c r="F114" i="11"/>
  <c r="E114" i="11"/>
  <c r="D114" i="11"/>
  <c r="C114" i="11"/>
  <c r="Z91" i="11"/>
  <c r="Z90" i="11"/>
  <c r="Z89" i="11"/>
  <c r="B50" i="11"/>
  <c r="AA50" i="11" s="1"/>
  <c r="AS59" i="1"/>
  <c r="AR38" i="1"/>
  <c r="B115" i="11"/>
  <c r="Z115" i="11" s="1"/>
  <c r="AA10" i="11"/>
  <c r="AA11" i="11" s="1"/>
  <c r="AB23" i="11"/>
  <c r="AA35" i="11"/>
  <c r="AA88" i="11"/>
  <c r="AA94" i="11" l="1"/>
  <c r="AA97" i="11"/>
  <c r="AA100" i="11"/>
  <c r="AA102" i="11"/>
  <c r="AA98" i="11"/>
  <c r="AA92" i="11"/>
  <c r="AA96" i="11"/>
  <c r="AA101" i="11"/>
  <c r="AA95" i="11"/>
  <c r="AA99" i="11"/>
  <c r="AA114" i="11"/>
  <c r="AA115" i="11"/>
  <c r="AA93" i="11"/>
  <c r="AB50" i="11"/>
  <c r="AB36" i="11"/>
  <c r="AB37" i="11"/>
  <c r="AB38" i="11"/>
  <c r="T115" i="11"/>
  <c r="U115" i="11"/>
  <c r="V115" i="11"/>
  <c r="W115" i="11"/>
  <c r="X115" i="11"/>
  <c r="Y115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Q43" i="17"/>
  <c r="AQ38" i="17"/>
  <c r="AQ56" i="17"/>
  <c r="AQ50" i="17"/>
  <c r="AQ57" i="17"/>
  <c r="AQ51" i="17"/>
  <c r="AQ39" i="17"/>
  <c r="AQ44" i="17"/>
  <c r="AP10" i="17"/>
  <c r="AP42" i="17" s="1"/>
  <c r="AQ13" i="17"/>
  <c r="AP45" i="17"/>
  <c r="AP36" i="17"/>
  <c r="AQ4" i="17"/>
  <c r="AP5" i="17"/>
  <c r="AP37" i="17" s="1"/>
  <c r="AQ8" i="17"/>
  <c r="AP40" i="17"/>
  <c r="AP41" i="17"/>
  <c r="AQ9" i="17"/>
  <c r="AO3" i="17"/>
  <c r="AO35" i="17" s="1"/>
  <c r="AI55" i="17"/>
  <c r="AJ23" i="17"/>
  <c r="AQ27" i="17"/>
  <c r="AQ59" i="17" s="1"/>
  <c r="AP26" i="17"/>
  <c r="AP58" i="17" s="1"/>
  <c r="AQ37" i="9"/>
  <c r="AP20" i="17"/>
  <c r="AP52" i="17" s="1"/>
  <c r="AS50" i="1"/>
  <c r="AS51" i="1" s="1"/>
  <c r="N115" i="11"/>
  <c r="M115" i="11"/>
  <c r="O115" i="11"/>
  <c r="L115" i="11"/>
  <c r="P115" i="11"/>
  <c r="K115" i="11"/>
  <c r="J115" i="11"/>
  <c r="Q115" i="11"/>
  <c r="R115" i="11"/>
  <c r="H115" i="11"/>
  <c r="I115" i="11"/>
  <c r="S115" i="11"/>
  <c r="G115" i="11"/>
  <c r="F115" i="11"/>
  <c r="E115" i="11"/>
  <c r="D115" i="11"/>
  <c r="C115" i="11"/>
  <c r="AA90" i="11"/>
  <c r="AA91" i="11"/>
  <c r="AA89" i="11"/>
  <c r="B51" i="11"/>
  <c r="AB51" i="11" s="1"/>
  <c r="AT59" i="1"/>
  <c r="AS38" i="1"/>
  <c r="B116" i="11"/>
  <c r="AA116" i="11" s="1"/>
  <c r="AB10" i="11"/>
  <c r="AB11" i="11" s="1"/>
  <c r="AC23" i="11"/>
  <c r="AB35" i="11"/>
  <c r="AB88" i="11"/>
  <c r="AB93" i="11" l="1"/>
  <c r="AB95" i="11"/>
  <c r="AB99" i="11"/>
  <c r="AB98" i="11"/>
  <c r="AB100" i="11"/>
  <c r="AB92" i="11"/>
  <c r="AB97" i="11"/>
  <c r="AB94" i="11"/>
  <c r="AB96" i="11"/>
  <c r="AB102" i="11"/>
  <c r="AB101" i="11"/>
  <c r="AB116" i="11"/>
  <c r="AB103" i="11"/>
  <c r="AB115" i="11"/>
  <c r="AC38" i="11"/>
  <c r="AC37" i="11"/>
  <c r="AC36" i="11"/>
  <c r="AC51" i="11"/>
  <c r="AC39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T116" i="11"/>
  <c r="U116" i="11"/>
  <c r="V116" i="11"/>
  <c r="W116" i="11"/>
  <c r="X116" i="11"/>
  <c r="Y116" i="11"/>
  <c r="Z116" i="11"/>
  <c r="AP3" i="17"/>
  <c r="AP35" i="17" s="1"/>
  <c r="AR4" i="17"/>
  <c r="AQ36" i="17"/>
  <c r="AR9" i="17"/>
  <c r="AQ41" i="17"/>
  <c r="AQ10" i="17"/>
  <c r="AQ42" i="17" s="1"/>
  <c r="AR13" i="17"/>
  <c r="AQ45" i="17"/>
  <c r="AR8" i="17"/>
  <c r="AQ40" i="17"/>
  <c r="AQ5" i="17"/>
  <c r="AQ37" i="17" s="1"/>
  <c r="AR56" i="17"/>
  <c r="AR57" i="17"/>
  <c r="AR38" i="17"/>
  <c r="AR43" i="17"/>
  <c r="AR50" i="17"/>
  <c r="AR51" i="17"/>
  <c r="AR39" i="17"/>
  <c r="AR44" i="17"/>
  <c r="AJ55" i="17"/>
  <c r="AK23" i="17"/>
  <c r="AQ26" i="17"/>
  <c r="AQ58" i="17" s="1"/>
  <c r="AR27" i="17"/>
  <c r="AR59" i="17" s="1"/>
  <c r="AR37" i="9"/>
  <c r="AQ20" i="17"/>
  <c r="AQ52" i="17" s="1"/>
  <c r="AT50" i="1"/>
  <c r="AT51" i="1" s="1"/>
  <c r="N116" i="11"/>
  <c r="M116" i="11"/>
  <c r="L116" i="11"/>
  <c r="O116" i="11"/>
  <c r="P116" i="11"/>
  <c r="K116" i="11"/>
  <c r="Q116" i="11"/>
  <c r="J116" i="11"/>
  <c r="H116" i="11"/>
  <c r="I116" i="11"/>
  <c r="R116" i="11"/>
  <c r="S116" i="11"/>
  <c r="G116" i="11"/>
  <c r="F116" i="11"/>
  <c r="E116" i="11"/>
  <c r="D116" i="11"/>
  <c r="C116" i="11"/>
  <c r="AB90" i="11"/>
  <c r="AB91" i="11"/>
  <c r="AB89" i="11"/>
  <c r="B52" i="11"/>
  <c r="AC52" i="11" s="1"/>
  <c r="AU59" i="1"/>
  <c r="AT38" i="1"/>
  <c r="B117" i="11"/>
  <c r="AC10" i="11"/>
  <c r="AC11" i="11" s="1"/>
  <c r="AC88" i="11"/>
  <c r="AD23" i="11"/>
  <c r="AC35" i="11"/>
  <c r="AC96" i="11" l="1"/>
  <c r="AC104" i="11"/>
  <c r="AC93" i="11"/>
  <c r="AC103" i="11"/>
  <c r="AC98" i="11"/>
  <c r="AC100" i="11"/>
  <c r="AC92" i="11"/>
  <c r="AC97" i="11"/>
  <c r="AC101" i="11"/>
  <c r="AC94" i="11"/>
  <c r="AC102" i="11"/>
  <c r="AC95" i="11"/>
  <c r="AC99" i="11"/>
  <c r="AC116" i="11"/>
  <c r="AC117" i="11"/>
  <c r="T117" i="11"/>
  <c r="U117" i="11"/>
  <c r="V117" i="11"/>
  <c r="W117" i="11"/>
  <c r="X117" i="11"/>
  <c r="Y117" i="11"/>
  <c r="Z117" i="11"/>
  <c r="AA117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D38" i="11"/>
  <c r="AD37" i="11"/>
  <c r="AD36" i="11"/>
  <c r="AD52" i="11"/>
  <c r="AD40" i="11"/>
  <c r="AD39" i="11"/>
  <c r="AB117" i="11"/>
  <c r="AS56" i="17"/>
  <c r="AS50" i="17"/>
  <c r="AS38" i="17"/>
  <c r="AS43" i="17"/>
  <c r="AS57" i="17"/>
  <c r="AS51" i="17"/>
  <c r="AS39" i="17"/>
  <c r="AS44" i="17"/>
  <c r="AR10" i="17"/>
  <c r="AR42" i="17" s="1"/>
  <c r="AS13" i="17"/>
  <c r="AR45" i="17"/>
  <c r="AR41" i="17"/>
  <c r="AS9" i="17"/>
  <c r="AQ3" i="17"/>
  <c r="AQ35" i="17" s="1"/>
  <c r="AS8" i="17"/>
  <c r="AR40" i="17"/>
  <c r="AR5" i="17"/>
  <c r="AR37" i="17" s="1"/>
  <c r="AS4" i="17"/>
  <c r="AR36" i="17"/>
  <c r="AK55" i="17"/>
  <c r="AL23" i="17"/>
  <c r="AR26" i="17"/>
  <c r="AR58" i="17" s="1"/>
  <c r="AS27" i="17"/>
  <c r="AS59" i="17" s="1"/>
  <c r="AS37" i="9"/>
  <c r="AR20" i="17"/>
  <c r="AR52" i="17" s="1"/>
  <c r="AU50" i="1"/>
  <c r="AU51" i="1" s="1"/>
  <c r="AC91" i="11"/>
  <c r="AC90" i="11"/>
  <c r="AC89" i="11"/>
  <c r="N117" i="11"/>
  <c r="M117" i="11"/>
  <c r="L117" i="11"/>
  <c r="O117" i="11"/>
  <c r="K117" i="11"/>
  <c r="P117" i="11"/>
  <c r="Q117" i="11"/>
  <c r="J117" i="11"/>
  <c r="I117" i="11"/>
  <c r="H117" i="11"/>
  <c r="R117" i="11"/>
  <c r="G117" i="11"/>
  <c r="S117" i="11"/>
  <c r="F117" i="11"/>
  <c r="E117" i="11"/>
  <c r="D117" i="11"/>
  <c r="C117" i="11"/>
  <c r="B53" i="11"/>
  <c r="AD53" i="11" s="1"/>
  <c r="AV59" i="1"/>
  <c r="AU38" i="1"/>
  <c r="B118" i="11"/>
  <c r="AD10" i="11"/>
  <c r="AD11" i="11" s="1"/>
  <c r="AD35" i="11"/>
  <c r="AE23" i="11"/>
  <c r="AD88" i="11"/>
  <c r="O53" i="11" l="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T118" i="11"/>
  <c r="U118" i="11"/>
  <c r="V118" i="11"/>
  <c r="W118" i="11"/>
  <c r="X118" i="11"/>
  <c r="Y118" i="11"/>
  <c r="Z118" i="11"/>
  <c r="AA118" i="11"/>
  <c r="AB118" i="11"/>
  <c r="AD92" i="11"/>
  <c r="AD101" i="11"/>
  <c r="AD96" i="11"/>
  <c r="AD104" i="11"/>
  <c r="AD94" i="11"/>
  <c r="AD97" i="11"/>
  <c r="AD100" i="11"/>
  <c r="AD102" i="11"/>
  <c r="AD93" i="11"/>
  <c r="AD103" i="11"/>
  <c r="AD98" i="11"/>
  <c r="AD105" i="11"/>
  <c r="AD117" i="11"/>
  <c r="AD95" i="11"/>
  <c r="AD118" i="11"/>
  <c r="AD99" i="11"/>
  <c r="AE53" i="11"/>
  <c r="AE39" i="11"/>
  <c r="AE38" i="11"/>
  <c r="AE41" i="11"/>
  <c r="AE36" i="11"/>
  <c r="AE37" i="11"/>
  <c r="AE40" i="11"/>
  <c r="AC118" i="11"/>
  <c r="AT43" i="17"/>
  <c r="AT57" i="17"/>
  <c r="AT38" i="17"/>
  <c r="AT50" i="17"/>
  <c r="AT56" i="17"/>
  <c r="AT51" i="17"/>
  <c r="AT39" i="17"/>
  <c r="AT44" i="17"/>
  <c r="AT8" i="17"/>
  <c r="AS40" i="17"/>
  <c r="AS5" i="17"/>
  <c r="AS37" i="17" s="1"/>
  <c r="AT9" i="17"/>
  <c r="AS41" i="17"/>
  <c r="AR3" i="17"/>
  <c r="AR35" i="17" s="1"/>
  <c r="AT4" i="17"/>
  <c r="AS36" i="17"/>
  <c r="AT13" i="17"/>
  <c r="AS45" i="17"/>
  <c r="AS10" i="17"/>
  <c r="AS42" i="17" s="1"/>
  <c r="AL55" i="17"/>
  <c r="AM23" i="17"/>
  <c r="AS26" i="17"/>
  <c r="AS58" i="17" s="1"/>
  <c r="AT27" i="17"/>
  <c r="AT59" i="17" s="1"/>
  <c r="AT37" i="9"/>
  <c r="AS20" i="17"/>
  <c r="AS52" i="17" s="1"/>
  <c r="AV50" i="1"/>
  <c r="AV51" i="1" s="1"/>
  <c r="AD90" i="11"/>
  <c r="AD89" i="11"/>
  <c r="AD91" i="11"/>
  <c r="N118" i="11"/>
  <c r="M118" i="11"/>
  <c r="L118" i="11"/>
  <c r="O118" i="11"/>
  <c r="K118" i="11"/>
  <c r="P118" i="11"/>
  <c r="J118" i="11"/>
  <c r="Q118" i="11"/>
  <c r="I118" i="11"/>
  <c r="R118" i="11"/>
  <c r="H118" i="11"/>
  <c r="G118" i="11"/>
  <c r="S118" i="11"/>
  <c r="F118" i="11"/>
  <c r="E118" i="11"/>
  <c r="D118" i="11"/>
  <c r="C118" i="11"/>
  <c r="B54" i="11"/>
  <c r="AW59" i="1"/>
  <c r="AV38" i="1"/>
  <c r="B119" i="11"/>
  <c r="AD119" i="11" s="1"/>
  <c r="AE10" i="11"/>
  <c r="AE11" i="11" s="1"/>
  <c r="AE88" i="11"/>
  <c r="AE35" i="11"/>
  <c r="AF23" i="11"/>
  <c r="O54" i="11" l="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39" i="11"/>
  <c r="AF41" i="11"/>
  <c r="AF54" i="11"/>
  <c r="AF37" i="11"/>
  <c r="AF36" i="11"/>
  <c r="AF42" i="11"/>
  <c r="AF40" i="11"/>
  <c r="AF38" i="11"/>
  <c r="T119" i="11"/>
  <c r="U119" i="11"/>
  <c r="V119" i="11"/>
  <c r="W119" i="11"/>
  <c r="X119" i="11"/>
  <c r="Y119" i="11"/>
  <c r="Z119" i="11"/>
  <c r="AA119" i="11"/>
  <c r="AB119" i="11"/>
  <c r="AC119" i="11"/>
  <c r="AE106" i="11"/>
  <c r="AE118" i="11"/>
  <c r="AE119" i="11"/>
  <c r="AU4" i="17"/>
  <c r="AT36" i="17"/>
  <c r="AT41" i="17"/>
  <c r="AU9" i="17"/>
  <c r="AU13" i="17"/>
  <c r="AT45" i="17"/>
  <c r="AT10" i="17"/>
  <c r="AT42" i="17" s="1"/>
  <c r="AU38" i="17"/>
  <c r="AU57" i="17"/>
  <c r="AU50" i="17"/>
  <c r="AU43" i="17"/>
  <c r="AU56" i="17"/>
  <c r="AU51" i="17"/>
  <c r="AU39" i="17"/>
  <c r="AU44" i="17"/>
  <c r="AS3" i="17"/>
  <c r="AS35" i="17" s="1"/>
  <c r="AU8" i="17"/>
  <c r="AT40" i="17"/>
  <c r="AT5" i="17"/>
  <c r="AT37" i="17" s="1"/>
  <c r="AM55" i="17"/>
  <c r="AN23" i="17"/>
  <c r="AT26" i="17"/>
  <c r="AT58" i="17" s="1"/>
  <c r="AU27" i="17"/>
  <c r="AU59" i="17" s="1"/>
  <c r="AU37" i="9"/>
  <c r="AT20" i="17"/>
  <c r="AT52" i="17" s="1"/>
  <c r="AW50" i="1"/>
  <c r="AW51" i="1" s="1"/>
  <c r="N119" i="11"/>
  <c r="M119" i="11"/>
  <c r="O119" i="11"/>
  <c r="L119" i="11"/>
  <c r="K119" i="11"/>
  <c r="P119" i="11"/>
  <c r="J119" i="11"/>
  <c r="Q119" i="11"/>
  <c r="H119" i="11"/>
  <c r="I119" i="11"/>
  <c r="R119" i="11"/>
  <c r="G119" i="11"/>
  <c r="S119" i="11"/>
  <c r="F119" i="11"/>
  <c r="E119" i="11"/>
  <c r="D119" i="11"/>
  <c r="C119" i="11"/>
  <c r="AE99" i="11"/>
  <c r="AE96" i="11"/>
  <c r="AE93" i="11"/>
  <c r="AE102" i="11"/>
  <c r="AE90" i="11"/>
  <c r="AE94" i="11"/>
  <c r="AE105" i="11"/>
  <c r="AE97" i="11"/>
  <c r="AE101" i="11"/>
  <c r="AE103" i="11"/>
  <c r="AE92" i="11"/>
  <c r="AE95" i="11"/>
  <c r="AE100" i="11"/>
  <c r="AE91" i="11"/>
  <c r="AE104" i="11"/>
  <c r="AE98" i="11"/>
  <c r="AE89" i="11"/>
  <c r="B55" i="11"/>
  <c r="AF55" i="11" s="1"/>
  <c r="AX59" i="1"/>
  <c r="AW38" i="1"/>
  <c r="B120" i="11"/>
  <c r="AE120" i="11" s="1"/>
  <c r="AF10" i="11"/>
  <c r="AF11" i="11" s="1"/>
  <c r="AF35" i="11"/>
  <c r="AG23" i="11"/>
  <c r="AF88" i="11"/>
  <c r="AF120" i="11" l="1"/>
  <c r="AF106" i="11"/>
  <c r="AF119" i="11"/>
  <c r="AF107" i="11"/>
  <c r="AG43" i="11"/>
  <c r="AG39" i="11"/>
  <c r="AG38" i="11"/>
  <c r="AG40" i="11"/>
  <c r="AG41" i="11"/>
  <c r="AG55" i="11"/>
  <c r="AG37" i="11"/>
  <c r="AG42" i="11"/>
  <c r="AG36" i="11"/>
  <c r="T120" i="11"/>
  <c r="U120" i="11"/>
  <c r="V120" i="11"/>
  <c r="W120" i="11"/>
  <c r="X120" i="11"/>
  <c r="Y120" i="11"/>
  <c r="Z120" i="11"/>
  <c r="AA120" i="11"/>
  <c r="AB120" i="11"/>
  <c r="AC120" i="11"/>
  <c r="AD120" i="11"/>
  <c r="O55" i="11"/>
  <c r="P55" i="11"/>
  <c r="Q55" i="11"/>
  <c r="R55" i="11"/>
  <c r="S55" i="11"/>
  <c r="T55" i="11"/>
  <c r="U55" i="11"/>
  <c r="V55" i="11"/>
  <c r="W55" i="11"/>
  <c r="X55" i="11"/>
  <c r="Y55" i="11"/>
  <c r="Z55" i="11"/>
  <c r="AA55" i="11"/>
  <c r="AB55" i="11"/>
  <c r="AC55" i="11"/>
  <c r="AD55" i="11"/>
  <c r="AE55" i="11"/>
  <c r="AV43" i="17"/>
  <c r="AV38" i="17"/>
  <c r="AV56" i="17"/>
  <c r="AV50" i="17"/>
  <c r="AV57" i="17"/>
  <c r="AV51" i="17"/>
  <c r="AV39" i="17"/>
  <c r="AV44" i="17"/>
  <c r="AT3" i="17"/>
  <c r="AT35" i="17" s="1"/>
  <c r="AU45" i="17"/>
  <c r="AU10" i="17"/>
  <c r="AU42" i="17" s="1"/>
  <c r="AV13" i="17"/>
  <c r="AV9" i="17"/>
  <c r="AU41" i="17"/>
  <c r="AU40" i="17"/>
  <c r="AV8" i="17"/>
  <c r="AU5" i="17"/>
  <c r="AU37" i="17" s="1"/>
  <c r="AV4" i="17"/>
  <c r="AU36" i="17"/>
  <c r="AN55" i="17"/>
  <c r="AO23" i="17"/>
  <c r="AU26" i="17"/>
  <c r="AU58" i="17" s="1"/>
  <c r="AV27" i="17"/>
  <c r="AV59" i="17" s="1"/>
  <c r="AV37" i="9"/>
  <c r="AU20" i="17"/>
  <c r="AU52" i="17" s="1"/>
  <c r="AX50" i="1"/>
  <c r="AX51" i="1" s="1"/>
  <c r="AF97" i="11"/>
  <c r="AF99" i="11"/>
  <c r="AF94" i="11"/>
  <c r="AF98" i="11"/>
  <c r="AF95" i="11"/>
  <c r="AF93" i="11"/>
  <c r="AF102" i="11"/>
  <c r="AF91" i="11"/>
  <c r="AF100" i="11"/>
  <c r="AF92" i="11"/>
  <c r="AF101" i="11"/>
  <c r="AF103" i="11"/>
  <c r="AF90" i="11"/>
  <c r="AF105" i="11"/>
  <c r="AF96" i="11"/>
  <c r="AF104" i="11"/>
  <c r="AF89" i="11"/>
  <c r="N120" i="11"/>
  <c r="M120" i="11"/>
  <c r="O120" i="11"/>
  <c r="L120" i="11"/>
  <c r="P120" i="11"/>
  <c r="K120" i="11"/>
  <c r="Q120" i="11"/>
  <c r="J120" i="11"/>
  <c r="I120" i="11"/>
  <c r="R120" i="11"/>
  <c r="H120" i="11"/>
  <c r="G120" i="11"/>
  <c r="S120" i="11"/>
  <c r="F120" i="11"/>
  <c r="E120" i="11"/>
  <c r="D120" i="11"/>
  <c r="C120" i="11"/>
  <c r="B56" i="11"/>
  <c r="AY59" i="1"/>
  <c r="AX38" i="1"/>
  <c r="B121" i="11"/>
  <c r="AF121" i="11" s="1"/>
  <c r="AG10" i="11"/>
  <c r="AG11" i="11" s="1"/>
  <c r="AH23" i="11"/>
  <c r="AG35" i="11"/>
  <c r="AG88" i="11"/>
  <c r="O56" i="11" l="1"/>
  <c r="P56" i="11"/>
  <c r="Q56" i="11"/>
  <c r="R56" i="11"/>
  <c r="S56" i="11"/>
  <c r="T56" i="11"/>
  <c r="U56" i="11"/>
  <c r="V56" i="11"/>
  <c r="W56" i="11"/>
  <c r="X56" i="11"/>
  <c r="Y56" i="11"/>
  <c r="Z56" i="11"/>
  <c r="AA56" i="11"/>
  <c r="AB56" i="11"/>
  <c r="AC56" i="11"/>
  <c r="AD56" i="11"/>
  <c r="AE56" i="11"/>
  <c r="AF56" i="11"/>
  <c r="AH40" i="11"/>
  <c r="AH43" i="11"/>
  <c r="AH56" i="11"/>
  <c r="AH44" i="11"/>
  <c r="AH36" i="11"/>
  <c r="AH38" i="11"/>
  <c r="AH39" i="11"/>
  <c r="AH42" i="11"/>
  <c r="AH41" i="11"/>
  <c r="AH37" i="11"/>
  <c r="T121" i="11"/>
  <c r="U121" i="11"/>
  <c r="V121" i="11"/>
  <c r="W121" i="11"/>
  <c r="X121" i="11"/>
  <c r="Y121" i="11"/>
  <c r="Z121" i="11"/>
  <c r="AA121" i="11"/>
  <c r="AB121" i="11"/>
  <c r="AC121" i="11"/>
  <c r="AD121" i="11"/>
  <c r="AE121" i="11"/>
  <c r="AG120" i="11"/>
  <c r="AG107" i="11"/>
  <c r="AG106" i="11"/>
  <c r="AG108" i="11"/>
  <c r="AG121" i="11"/>
  <c r="AG56" i="11"/>
  <c r="AU3" i="17"/>
  <c r="AU35" i="17" s="1"/>
  <c r="AV5" i="17"/>
  <c r="AV37" i="17" s="1"/>
  <c r="AW8" i="17"/>
  <c r="AV40" i="17"/>
  <c r="AW56" i="17"/>
  <c r="AW38" i="17"/>
  <c r="AW43" i="17"/>
  <c r="AW57" i="17"/>
  <c r="AW50" i="17"/>
  <c r="AW51" i="17"/>
  <c r="AW39" i="17"/>
  <c r="AW44" i="17"/>
  <c r="AW9" i="17"/>
  <c r="AV41" i="17"/>
  <c r="AW13" i="17"/>
  <c r="AV10" i="17"/>
  <c r="AV42" i="17" s="1"/>
  <c r="AV45" i="17"/>
  <c r="AV36" i="17"/>
  <c r="AW4" i="17"/>
  <c r="AO55" i="17"/>
  <c r="AP23" i="17"/>
  <c r="AW27" i="17"/>
  <c r="AW59" i="17" s="1"/>
  <c r="AV26" i="17"/>
  <c r="AV58" i="17" s="1"/>
  <c r="AW37" i="9"/>
  <c r="AV20" i="17"/>
  <c r="AV52" i="17" s="1"/>
  <c r="AY50" i="1"/>
  <c r="AY51" i="1" s="1"/>
  <c r="AG97" i="11"/>
  <c r="AG90" i="11"/>
  <c r="AG91" i="11"/>
  <c r="AG92" i="11"/>
  <c r="AG104" i="11"/>
  <c r="AG95" i="11"/>
  <c r="AG98" i="11"/>
  <c r="AG103" i="11"/>
  <c r="AG99" i="11"/>
  <c r="AG96" i="11"/>
  <c r="AG105" i="11"/>
  <c r="AG101" i="11"/>
  <c r="AG100" i="11"/>
  <c r="AG94" i="11"/>
  <c r="AG93" i="11"/>
  <c r="AG102" i="11"/>
  <c r="AG89" i="11"/>
  <c r="N121" i="11"/>
  <c r="M121" i="11"/>
  <c r="L121" i="11"/>
  <c r="O121" i="11"/>
  <c r="K121" i="11"/>
  <c r="P121" i="11"/>
  <c r="Q121" i="11"/>
  <c r="J121" i="11"/>
  <c r="I121" i="11"/>
  <c r="R121" i="11"/>
  <c r="H121" i="11"/>
  <c r="S121" i="11"/>
  <c r="G121" i="11"/>
  <c r="F121" i="11"/>
  <c r="E121" i="11"/>
  <c r="D121" i="11"/>
  <c r="C121" i="11"/>
  <c r="B57" i="11"/>
  <c r="AH57" i="11" s="1"/>
  <c r="AZ59" i="1"/>
  <c r="AY38" i="1"/>
  <c r="B122" i="11"/>
  <c r="AH10" i="11"/>
  <c r="AH11" i="11" s="1"/>
  <c r="AI23" i="11"/>
  <c r="AH35" i="11"/>
  <c r="AH88" i="11"/>
  <c r="T122" i="11" l="1"/>
  <c r="U122" i="11"/>
  <c r="V122" i="11"/>
  <c r="W122" i="11"/>
  <c r="X122" i="11"/>
  <c r="Y122" i="11"/>
  <c r="Z122" i="11"/>
  <c r="AA122" i="11"/>
  <c r="AB122" i="11"/>
  <c r="AC122" i="11"/>
  <c r="AD122" i="11"/>
  <c r="AE122" i="11"/>
  <c r="AF122" i="11"/>
  <c r="AG122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I37" i="11"/>
  <c r="AI43" i="11"/>
  <c r="AI38" i="11"/>
  <c r="AI57" i="11"/>
  <c r="AI42" i="11"/>
  <c r="AI36" i="11"/>
  <c r="AI44" i="11"/>
  <c r="AI40" i="11"/>
  <c r="AI41" i="11"/>
  <c r="AI45" i="11"/>
  <c r="AI39" i="11"/>
  <c r="AH122" i="11"/>
  <c r="AH121" i="11"/>
  <c r="AH108" i="11"/>
  <c r="AH107" i="11"/>
  <c r="AH109" i="11"/>
  <c r="AH106" i="11"/>
  <c r="AX57" i="17"/>
  <c r="AX50" i="17"/>
  <c r="AX43" i="17"/>
  <c r="AX38" i="17"/>
  <c r="AX56" i="17"/>
  <c r="AX51" i="17"/>
  <c r="AX39" i="17"/>
  <c r="AX44" i="17"/>
  <c r="AX9" i="17"/>
  <c r="AW41" i="17"/>
  <c r="AV3" i="17"/>
  <c r="AV35" i="17" s="1"/>
  <c r="AX4" i="17"/>
  <c r="AW36" i="17"/>
  <c r="AW5" i="17"/>
  <c r="AW37" i="17" s="1"/>
  <c r="AW40" i="17"/>
  <c r="AX8" i="17"/>
  <c r="AX13" i="17"/>
  <c r="AW45" i="17"/>
  <c r="AW10" i="17"/>
  <c r="AW42" i="17" s="1"/>
  <c r="AP55" i="17"/>
  <c r="AQ23" i="17"/>
  <c r="AX27" i="17"/>
  <c r="AW26" i="17"/>
  <c r="AW58" i="17" s="1"/>
  <c r="AX37" i="9"/>
  <c r="AW20" i="17"/>
  <c r="AW52" i="17" s="1"/>
  <c r="AZ50" i="1"/>
  <c r="AZ51" i="1" s="1"/>
  <c r="AH94" i="11"/>
  <c r="AH98" i="11"/>
  <c r="AH92" i="11"/>
  <c r="AH95" i="11"/>
  <c r="AH100" i="11"/>
  <c r="AH96" i="11"/>
  <c r="AH101" i="11"/>
  <c r="AH104" i="11"/>
  <c r="AH99" i="11"/>
  <c r="AH93" i="11"/>
  <c r="AH103" i="11"/>
  <c r="AH105" i="11"/>
  <c r="AH102" i="11"/>
  <c r="AH91" i="11"/>
  <c r="AH97" i="11"/>
  <c r="AH89" i="11"/>
  <c r="AH90" i="11"/>
  <c r="N122" i="11"/>
  <c r="M122" i="11"/>
  <c r="O122" i="11"/>
  <c r="L122" i="11"/>
  <c r="P122" i="11"/>
  <c r="K122" i="11"/>
  <c r="Q122" i="11"/>
  <c r="J122" i="11"/>
  <c r="H122" i="11"/>
  <c r="R122" i="11"/>
  <c r="I122" i="11"/>
  <c r="G122" i="11"/>
  <c r="S122" i="11"/>
  <c r="F122" i="11"/>
  <c r="E122" i="11"/>
  <c r="D122" i="11"/>
  <c r="C122" i="11"/>
  <c r="B58" i="11"/>
  <c r="BA59" i="1"/>
  <c r="AZ38" i="1"/>
  <c r="B123" i="11"/>
  <c r="AI10" i="11"/>
  <c r="AI11" i="11" s="1"/>
  <c r="AI88" i="11"/>
  <c r="AJ23" i="11"/>
  <c r="AI35" i="11"/>
  <c r="AJ38" i="11" l="1"/>
  <c r="AJ42" i="11"/>
  <c r="AJ36" i="11"/>
  <c r="AJ40" i="11"/>
  <c r="AJ39" i="11"/>
  <c r="AJ43" i="11"/>
  <c r="AJ46" i="11"/>
  <c r="AJ58" i="11"/>
  <c r="AJ45" i="11"/>
  <c r="AJ41" i="11"/>
  <c r="AJ37" i="11"/>
  <c r="AJ44" i="11"/>
  <c r="T123" i="11"/>
  <c r="U123" i="11"/>
  <c r="V123" i="11"/>
  <c r="W123" i="11"/>
  <c r="X123" i="11"/>
  <c r="Y123" i="11"/>
  <c r="Z123" i="11"/>
  <c r="AA123" i="11"/>
  <c r="AB123" i="11"/>
  <c r="AC123" i="11"/>
  <c r="AD123" i="11"/>
  <c r="AE123" i="11"/>
  <c r="AF123" i="11"/>
  <c r="AG123" i="11"/>
  <c r="AH123" i="11"/>
  <c r="O58" i="11"/>
  <c r="P58" i="11"/>
  <c r="Q58" i="11"/>
  <c r="R58" i="11"/>
  <c r="S58" i="11"/>
  <c r="T58" i="11"/>
  <c r="U58" i="11"/>
  <c r="V58" i="11"/>
  <c r="W58" i="11"/>
  <c r="X58" i="11"/>
  <c r="Y58" i="11"/>
  <c r="Z58" i="11"/>
  <c r="AA58" i="11"/>
  <c r="AB58" i="11"/>
  <c r="AC58" i="11"/>
  <c r="AD58" i="11"/>
  <c r="AE58" i="11"/>
  <c r="AF58" i="11"/>
  <c r="AG58" i="11"/>
  <c r="AH58" i="11"/>
  <c r="AI122" i="11"/>
  <c r="AI109" i="11"/>
  <c r="AI108" i="11"/>
  <c r="AI110" i="11"/>
  <c r="AI107" i="11"/>
  <c r="AI106" i="11"/>
  <c r="AI123" i="11"/>
  <c r="AI58" i="11"/>
  <c r="AX36" i="17"/>
  <c r="AY4" i="17"/>
  <c r="AW3" i="17"/>
  <c r="AW35" i="17" s="1"/>
  <c r="AY13" i="17"/>
  <c r="AX45" i="17"/>
  <c r="AX10" i="17"/>
  <c r="AX42" i="17" s="1"/>
  <c r="AY43" i="17"/>
  <c r="AY56" i="17"/>
  <c r="AY57" i="17"/>
  <c r="AY38" i="17"/>
  <c r="AY50" i="17"/>
  <c r="AY51" i="17"/>
  <c r="AY39" i="17"/>
  <c r="AY44" i="17"/>
  <c r="AY8" i="17"/>
  <c r="AX40" i="17"/>
  <c r="AX5" i="17"/>
  <c r="AX37" i="17" s="1"/>
  <c r="AY9" i="17"/>
  <c r="AX41" i="17"/>
  <c r="AX26" i="17"/>
  <c r="AX58" i="17" s="1"/>
  <c r="AX59" i="17"/>
  <c r="AQ55" i="17"/>
  <c r="AR23" i="17"/>
  <c r="AY27" i="17"/>
  <c r="AY59" i="17" s="1"/>
  <c r="AY37" i="9"/>
  <c r="AX20" i="17"/>
  <c r="AX52" i="17" s="1"/>
  <c r="BA50" i="1"/>
  <c r="BA51" i="1" s="1"/>
  <c r="N123" i="11"/>
  <c r="M123" i="11"/>
  <c r="L123" i="11"/>
  <c r="O123" i="11"/>
  <c r="P123" i="11"/>
  <c r="K123" i="11"/>
  <c r="J123" i="11"/>
  <c r="Q123" i="11"/>
  <c r="H123" i="11"/>
  <c r="I123" i="11"/>
  <c r="R123" i="11"/>
  <c r="G123" i="11"/>
  <c r="S123" i="11"/>
  <c r="F123" i="11"/>
  <c r="E123" i="11"/>
  <c r="D123" i="11"/>
  <c r="C123" i="11"/>
  <c r="AI90" i="11"/>
  <c r="AI91" i="11"/>
  <c r="AI94" i="11"/>
  <c r="AI98" i="11"/>
  <c r="AI93" i="11"/>
  <c r="AI92" i="11"/>
  <c r="AI96" i="11"/>
  <c r="AI101" i="11"/>
  <c r="AI105" i="11"/>
  <c r="AI95" i="11"/>
  <c r="AI102" i="11"/>
  <c r="AI100" i="11"/>
  <c r="AI104" i="11"/>
  <c r="AI97" i="11"/>
  <c r="AI99" i="11"/>
  <c r="AI103" i="11"/>
  <c r="AI89" i="11"/>
  <c r="B59" i="11"/>
  <c r="BB59" i="1"/>
  <c r="BA38" i="1"/>
  <c r="B124" i="11"/>
  <c r="AJ10" i="11"/>
  <c r="AJ11" i="11" s="1"/>
  <c r="AJ88" i="11"/>
  <c r="AK23" i="11"/>
  <c r="AJ35" i="11"/>
  <c r="T124" i="11" l="1"/>
  <c r="U124" i="11"/>
  <c r="V124" i="11"/>
  <c r="W124" i="11"/>
  <c r="X124" i="11"/>
  <c r="Y124" i="11"/>
  <c r="Z124" i="11"/>
  <c r="AA124" i="11"/>
  <c r="AB124" i="11"/>
  <c r="AC124" i="11"/>
  <c r="AD124" i="11"/>
  <c r="AE124" i="11"/>
  <c r="AF124" i="11"/>
  <c r="AG124" i="11"/>
  <c r="AH124" i="11"/>
  <c r="O59" i="11"/>
  <c r="P59" i="11"/>
  <c r="Q59" i="11"/>
  <c r="R59" i="11"/>
  <c r="S59" i="11"/>
  <c r="T59" i="11"/>
  <c r="U59" i="11"/>
  <c r="V59" i="11"/>
  <c r="W59" i="11"/>
  <c r="X59" i="11"/>
  <c r="Y59" i="11"/>
  <c r="Z59" i="11"/>
  <c r="AA59" i="11"/>
  <c r="AB59" i="11"/>
  <c r="AC59" i="11"/>
  <c r="AD59" i="11"/>
  <c r="AE59" i="11"/>
  <c r="AF59" i="11"/>
  <c r="AG59" i="11"/>
  <c r="AH59" i="11"/>
  <c r="AI59" i="11"/>
  <c r="AJ123" i="11"/>
  <c r="AJ106" i="11"/>
  <c r="AJ124" i="11"/>
  <c r="AJ111" i="11"/>
  <c r="AJ109" i="11"/>
  <c r="AJ108" i="11"/>
  <c r="AJ110" i="11"/>
  <c r="AJ107" i="11"/>
  <c r="AK38" i="11"/>
  <c r="AK37" i="11"/>
  <c r="AK44" i="11"/>
  <c r="AK39" i="11"/>
  <c r="AK41" i="11"/>
  <c r="AK59" i="11"/>
  <c r="AK42" i="11"/>
  <c r="AK47" i="11"/>
  <c r="AK45" i="11"/>
  <c r="AK43" i="11"/>
  <c r="AK36" i="11"/>
  <c r="AK40" i="11"/>
  <c r="AK46" i="11"/>
  <c r="AI124" i="11"/>
  <c r="AJ59" i="11"/>
  <c r="AZ56" i="17"/>
  <c r="AZ57" i="17"/>
  <c r="AZ50" i="17"/>
  <c r="AZ43" i="17"/>
  <c r="AZ38" i="17"/>
  <c r="AZ51" i="17"/>
  <c r="AZ39" i="17"/>
  <c r="AZ44" i="17"/>
  <c r="AZ13" i="17"/>
  <c r="AY45" i="17"/>
  <c r="AY10" i="17"/>
  <c r="AY42" i="17" s="1"/>
  <c r="AY5" i="17"/>
  <c r="AY37" i="17" s="1"/>
  <c r="AZ8" i="17"/>
  <c r="AY40" i="17"/>
  <c r="AZ9" i="17"/>
  <c r="AY41" i="17"/>
  <c r="AX3" i="17"/>
  <c r="AX35" i="17" s="1"/>
  <c r="AZ4" i="17"/>
  <c r="AY36" i="17"/>
  <c r="AR55" i="17"/>
  <c r="AS23" i="17"/>
  <c r="AY26" i="17"/>
  <c r="AY58" i="17" s="1"/>
  <c r="AZ27" i="17"/>
  <c r="AZ59" i="17" s="1"/>
  <c r="AZ37" i="9"/>
  <c r="AY20" i="17"/>
  <c r="AY52" i="17" s="1"/>
  <c r="BB50" i="1"/>
  <c r="BB51" i="1" s="1"/>
  <c r="AJ92" i="11"/>
  <c r="AJ95" i="11"/>
  <c r="AJ90" i="11"/>
  <c r="AJ91" i="11"/>
  <c r="AJ96" i="11"/>
  <c r="AJ97" i="11"/>
  <c r="AJ100" i="11"/>
  <c r="AJ103" i="11"/>
  <c r="AJ102" i="11"/>
  <c r="AJ99" i="11"/>
  <c r="AJ93" i="11"/>
  <c r="AJ104" i="11"/>
  <c r="AJ94" i="11"/>
  <c r="AJ105" i="11"/>
  <c r="AJ101" i="11"/>
  <c r="AJ89" i="11"/>
  <c r="AJ98" i="11"/>
  <c r="N124" i="11"/>
  <c r="M124" i="11"/>
  <c r="O124" i="11"/>
  <c r="L124" i="11"/>
  <c r="P124" i="11"/>
  <c r="K124" i="11"/>
  <c r="Q124" i="11"/>
  <c r="J124" i="11"/>
  <c r="I124" i="11"/>
  <c r="H124" i="11"/>
  <c r="R124" i="11"/>
  <c r="G124" i="11"/>
  <c r="S124" i="11"/>
  <c r="F124" i="11"/>
  <c r="E124" i="11"/>
  <c r="D124" i="11"/>
  <c r="C124" i="11"/>
  <c r="B60" i="11"/>
  <c r="AK60" i="11" s="1"/>
  <c r="BC59" i="1"/>
  <c r="BB38" i="1"/>
  <c r="B125" i="11"/>
  <c r="AK10" i="11"/>
  <c r="AK11" i="11" s="1"/>
  <c r="AK88" i="11"/>
  <c r="AL23" i="11"/>
  <c r="AK35" i="11"/>
  <c r="T125" i="11" l="1"/>
  <c r="U125" i="11"/>
  <c r="V125" i="11"/>
  <c r="W125" i="11"/>
  <c r="X125" i="11"/>
  <c r="Y125" i="11"/>
  <c r="Z125" i="11"/>
  <c r="AA125" i="11"/>
  <c r="AB125" i="11"/>
  <c r="AC125" i="11"/>
  <c r="AD125" i="11"/>
  <c r="AE125" i="11"/>
  <c r="AF125" i="11"/>
  <c r="AG125" i="11"/>
  <c r="AH125" i="11"/>
  <c r="AI125" i="11"/>
  <c r="O60" i="11"/>
  <c r="P60" i="11"/>
  <c r="Q60" i="11"/>
  <c r="R60" i="11"/>
  <c r="S60" i="11"/>
  <c r="T60" i="11"/>
  <c r="U60" i="11"/>
  <c r="V60" i="11"/>
  <c r="W60" i="11"/>
  <c r="X60" i="11"/>
  <c r="Y60" i="11"/>
  <c r="Z60" i="11"/>
  <c r="AA60" i="11"/>
  <c r="AB60" i="11"/>
  <c r="AC60" i="11"/>
  <c r="AD60" i="11"/>
  <c r="AE60" i="11"/>
  <c r="AF60" i="11"/>
  <c r="AG60" i="11"/>
  <c r="AH60" i="11"/>
  <c r="AI60" i="11"/>
  <c r="AJ60" i="11"/>
  <c r="AJ125" i="11"/>
  <c r="AL39" i="11"/>
  <c r="AL43" i="11"/>
  <c r="AL37" i="11"/>
  <c r="AL41" i="11"/>
  <c r="AL40" i="11"/>
  <c r="AL47" i="11"/>
  <c r="AL44" i="11"/>
  <c r="AL45" i="11"/>
  <c r="AL60" i="11"/>
  <c r="AL38" i="11"/>
  <c r="AL48" i="11"/>
  <c r="AL42" i="11"/>
  <c r="AL36" i="11"/>
  <c r="AL46" i="11"/>
  <c r="AK108" i="11"/>
  <c r="AK109" i="11"/>
  <c r="AK125" i="11"/>
  <c r="AK112" i="11"/>
  <c r="AK106" i="11"/>
  <c r="AK111" i="11"/>
  <c r="AK124" i="11"/>
  <c r="AK110" i="11"/>
  <c r="AK107" i="11"/>
  <c r="AZ5" i="17"/>
  <c r="AZ37" i="17" s="1"/>
  <c r="BA8" i="17"/>
  <c r="AZ40" i="17"/>
  <c r="AZ36" i="17"/>
  <c r="BA4" i="17"/>
  <c r="BA57" i="17"/>
  <c r="BA56" i="17"/>
  <c r="BA50" i="17"/>
  <c r="BA43" i="17"/>
  <c r="BA38" i="17"/>
  <c r="BA51" i="17"/>
  <c r="BA39" i="17"/>
  <c r="BA44" i="17"/>
  <c r="BA9" i="17"/>
  <c r="BA41" i="17" s="1"/>
  <c r="AZ41" i="17"/>
  <c r="AY3" i="17"/>
  <c r="AY35" i="17" s="1"/>
  <c r="AZ45" i="17"/>
  <c r="BA13" i="17"/>
  <c r="AZ10" i="17"/>
  <c r="AZ42" i="17" s="1"/>
  <c r="AS55" i="17"/>
  <c r="AT23" i="17"/>
  <c r="BA27" i="17"/>
  <c r="AZ26" i="17"/>
  <c r="AZ58" i="17" s="1"/>
  <c r="BA37" i="9"/>
  <c r="AZ20" i="17"/>
  <c r="AZ52" i="17" s="1"/>
  <c r="BC50" i="1"/>
  <c r="BC51" i="1" s="1"/>
  <c r="AK93" i="11"/>
  <c r="AK92" i="11"/>
  <c r="AK95" i="11"/>
  <c r="AK100" i="11"/>
  <c r="AK99" i="11"/>
  <c r="AK97" i="11"/>
  <c r="AK103" i="11"/>
  <c r="AK90" i="11"/>
  <c r="AK96" i="11"/>
  <c r="AK91" i="11"/>
  <c r="AK98" i="11"/>
  <c r="AK94" i="11"/>
  <c r="AK102" i="11"/>
  <c r="AK101" i="11"/>
  <c r="AK105" i="11"/>
  <c r="AK89" i="11"/>
  <c r="AK104" i="11"/>
  <c r="N125" i="11"/>
  <c r="M125" i="11"/>
  <c r="O125" i="11"/>
  <c r="L125" i="11"/>
  <c r="K125" i="11"/>
  <c r="P125" i="11"/>
  <c r="J125" i="11"/>
  <c r="Q125" i="11"/>
  <c r="I125" i="11"/>
  <c r="R125" i="11"/>
  <c r="H125" i="11"/>
  <c r="G125" i="11"/>
  <c r="S125" i="11"/>
  <c r="F125" i="11"/>
  <c r="E125" i="11"/>
  <c r="D125" i="11"/>
  <c r="C125" i="11"/>
  <c r="B61" i="11"/>
  <c r="BC38" i="1"/>
  <c r="B126" i="11"/>
  <c r="AL10" i="11"/>
  <c r="AL11" i="11" s="1"/>
  <c r="AL35" i="11"/>
  <c r="AM23" i="11"/>
  <c r="AL88" i="11"/>
  <c r="AL109" i="11" l="1"/>
  <c r="AL110" i="11"/>
  <c r="AL107" i="11"/>
  <c r="AL108" i="11"/>
  <c r="AL113" i="11"/>
  <c r="AL106" i="11"/>
  <c r="AL125" i="11"/>
  <c r="AL111" i="11"/>
  <c r="AL112" i="11"/>
  <c r="AL126" i="11"/>
  <c r="T126" i="11"/>
  <c r="U126" i="11"/>
  <c r="V126" i="11"/>
  <c r="W126" i="11"/>
  <c r="X126" i="11"/>
  <c r="Y126" i="11"/>
  <c r="Z126" i="11"/>
  <c r="AA126" i="11"/>
  <c r="AB126" i="11"/>
  <c r="AC126" i="11"/>
  <c r="AD126" i="11"/>
  <c r="AE126" i="11"/>
  <c r="AF126" i="11"/>
  <c r="AG126" i="11"/>
  <c r="AH126" i="11"/>
  <c r="AI126" i="11"/>
  <c r="AJ126" i="11"/>
  <c r="O61" i="11"/>
  <c r="P61" i="11"/>
  <c r="Q61" i="11"/>
  <c r="R61" i="11"/>
  <c r="S61" i="11"/>
  <c r="T61" i="11"/>
  <c r="U61" i="11"/>
  <c r="V61" i="11"/>
  <c r="W61" i="11"/>
  <c r="X61" i="11"/>
  <c r="Y61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AM45" i="11"/>
  <c r="AM37" i="11"/>
  <c r="AM40" i="11"/>
  <c r="AM47" i="11"/>
  <c r="AM39" i="11"/>
  <c r="AM44" i="11"/>
  <c r="AM43" i="11"/>
  <c r="AM46" i="11"/>
  <c r="AM61" i="11"/>
  <c r="AM49" i="11"/>
  <c r="AM36" i="11"/>
  <c r="AM38" i="11"/>
  <c r="AM48" i="11"/>
  <c r="AM42" i="11"/>
  <c r="AM41" i="11"/>
  <c r="AK126" i="11"/>
  <c r="AL61" i="11"/>
  <c r="AZ3" i="17"/>
  <c r="AZ35" i="17" s="1"/>
  <c r="BA36" i="17"/>
  <c r="BA45" i="17"/>
  <c r="BA10" i="17"/>
  <c r="BA42" i="17" s="1"/>
  <c r="BA40" i="17"/>
  <c r="BA5" i="17"/>
  <c r="BA37" i="17" s="1"/>
  <c r="BA26" i="17"/>
  <c r="BA58" i="17" s="1"/>
  <c r="BA59" i="17"/>
  <c r="AT55" i="17"/>
  <c r="AU23" i="17"/>
  <c r="BB37" i="9"/>
  <c r="BA20" i="17"/>
  <c r="BA52" i="17" s="1"/>
  <c r="AL96" i="11"/>
  <c r="AL93" i="11"/>
  <c r="AL97" i="11"/>
  <c r="AL91" i="11"/>
  <c r="AL98" i="11"/>
  <c r="AL99" i="11"/>
  <c r="AL105" i="11"/>
  <c r="AL100" i="11"/>
  <c r="AL90" i="11"/>
  <c r="AL94" i="11"/>
  <c r="AL104" i="11"/>
  <c r="AL101" i="11"/>
  <c r="AL102" i="11"/>
  <c r="AL89" i="11"/>
  <c r="AL103" i="11"/>
  <c r="AL92" i="11"/>
  <c r="AL95" i="11"/>
  <c r="N126" i="11"/>
  <c r="M126" i="11"/>
  <c r="O126" i="11"/>
  <c r="L126" i="11"/>
  <c r="P126" i="11"/>
  <c r="K126" i="11"/>
  <c r="J126" i="11"/>
  <c r="Q126" i="11"/>
  <c r="R126" i="11"/>
  <c r="H126" i="11"/>
  <c r="I126" i="11"/>
  <c r="G126" i="11"/>
  <c r="S126" i="11"/>
  <c r="F126" i="11"/>
  <c r="E126" i="11"/>
  <c r="D126" i="11"/>
  <c r="C126" i="11"/>
  <c r="B62" i="11"/>
  <c r="B127" i="11"/>
  <c r="AM10" i="11"/>
  <c r="AM11" i="11" s="1"/>
  <c r="AM35" i="11"/>
  <c r="AN23" i="11"/>
  <c r="AM88" i="11"/>
  <c r="AM126" i="11" l="1"/>
  <c r="AM108" i="11"/>
  <c r="AM111" i="11"/>
  <c r="AM110" i="11"/>
  <c r="AM113" i="11"/>
  <c r="AM107" i="11"/>
  <c r="AM109" i="11"/>
  <c r="AM127" i="11"/>
  <c r="AM112" i="11"/>
  <c r="AM106" i="11"/>
  <c r="AM114" i="11"/>
  <c r="T127" i="11"/>
  <c r="U127" i="11"/>
  <c r="V127" i="11"/>
  <c r="W127" i="11"/>
  <c r="X127" i="11"/>
  <c r="Y127" i="11"/>
  <c r="Z127" i="11"/>
  <c r="AA127" i="11"/>
  <c r="AB127" i="11"/>
  <c r="AC127" i="11"/>
  <c r="AD127" i="11"/>
  <c r="AE127" i="11"/>
  <c r="AF127" i="11"/>
  <c r="AG127" i="11"/>
  <c r="AH127" i="11"/>
  <c r="AI127" i="11"/>
  <c r="AJ127" i="11"/>
  <c r="AK127" i="11"/>
  <c r="AL127" i="11"/>
  <c r="AN36" i="11"/>
  <c r="AN40" i="11"/>
  <c r="AN38" i="11"/>
  <c r="AN42" i="11"/>
  <c r="AN62" i="11"/>
  <c r="AN41" i="11"/>
  <c r="AN50" i="11"/>
  <c r="AN45" i="11"/>
  <c r="AN37" i="11"/>
  <c r="AN47" i="11"/>
  <c r="AN39" i="11"/>
  <c r="AN44" i="11"/>
  <c r="AN43" i="11"/>
  <c r="AN46" i="11"/>
  <c r="AN48" i="11"/>
  <c r="AN49" i="11"/>
  <c r="O62" i="11"/>
  <c r="P62" i="11"/>
  <c r="Q62" i="11"/>
  <c r="R62" i="11"/>
  <c r="S62" i="11"/>
  <c r="T62" i="11"/>
  <c r="U62" i="1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AL62" i="11"/>
  <c r="AM62" i="11"/>
  <c r="BA3" i="17"/>
  <c r="BA35" i="17" s="1"/>
  <c r="AU55" i="17"/>
  <c r="AV23" i="17"/>
  <c r="AM99" i="11"/>
  <c r="AM96" i="11"/>
  <c r="AM102" i="11"/>
  <c r="AM91" i="11"/>
  <c r="AM98" i="11"/>
  <c r="AM105" i="11"/>
  <c r="AM93" i="11"/>
  <c r="AM101" i="11"/>
  <c r="AM103" i="11"/>
  <c r="AM104" i="11"/>
  <c r="AM95" i="11"/>
  <c r="AM90" i="11"/>
  <c r="AM92" i="11"/>
  <c r="AM94" i="11"/>
  <c r="AM97" i="11"/>
  <c r="AM100" i="11"/>
  <c r="AM89" i="11"/>
  <c r="N127" i="11"/>
  <c r="M127" i="11"/>
  <c r="L127" i="11"/>
  <c r="O127" i="11"/>
  <c r="P127" i="11"/>
  <c r="K127" i="11"/>
  <c r="Q127" i="11"/>
  <c r="J127" i="11"/>
  <c r="H127" i="11"/>
  <c r="R127" i="11"/>
  <c r="I127" i="11"/>
  <c r="G127" i="11"/>
  <c r="S127" i="11"/>
  <c r="F127" i="11"/>
  <c r="E127" i="11"/>
  <c r="D127" i="11"/>
  <c r="C127" i="11"/>
  <c r="B63" i="11"/>
  <c r="AN63" i="11" s="1"/>
  <c r="B128" i="11"/>
  <c r="AM128" i="11" s="1"/>
  <c r="AN10" i="11"/>
  <c r="AN11" i="11" s="1"/>
  <c r="AO23" i="11"/>
  <c r="AN35" i="11"/>
  <c r="AN88" i="11"/>
  <c r="O63" i="11" l="1"/>
  <c r="P63" i="11"/>
  <c r="Q63" i="11"/>
  <c r="R63" i="11"/>
  <c r="S63" i="11"/>
  <c r="T63" i="11"/>
  <c r="U63" i="11"/>
  <c r="V63" i="11"/>
  <c r="W63" i="11"/>
  <c r="X63" i="11"/>
  <c r="Y63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AL63" i="11"/>
  <c r="AM63" i="11"/>
  <c r="AO36" i="11"/>
  <c r="AO49" i="11"/>
  <c r="AO63" i="11"/>
  <c r="AO41" i="11"/>
  <c r="AO50" i="11"/>
  <c r="AO51" i="11"/>
  <c r="AO40" i="11"/>
  <c r="AO45" i="11"/>
  <c r="AO48" i="11"/>
  <c r="AO39" i="11"/>
  <c r="AO42" i="11"/>
  <c r="AO44" i="11"/>
  <c r="AO43" i="11"/>
  <c r="AO46" i="11"/>
  <c r="AO47" i="11"/>
  <c r="AO38" i="11"/>
  <c r="AO37" i="11"/>
  <c r="AN114" i="11"/>
  <c r="AN127" i="11"/>
  <c r="AN106" i="11"/>
  <c r="AN110" i="11"/>
  <c r="AN113" i="11"/>
  <c r="AN128" i="11"/>
  <c r="AN107" i="11"/>
  <c r="AN108" i="11"/>
  <c r="AN109" i="11"/>
  <c r="AN111" i="11"/>
  <c r="AN115" i="11"/>
  <c r="AN112" i="11"/>
  <c r="T128" i="11"/>
  <c r="U128" i="11"/>
  <c r="V128" i="11"/>
  <c r="W128" i="11"/>
  <c r="X128" i="11"/>
  <c r="Y128" i="11"/>
  <c r="Z128" i="11"/>
  <c r="AA128" i="11"/>
  <c r="AB128" i="11"/>
  <c r="AC128" i="11"/>
  <c r="AD128" i="11"/>
  <c r="AE128" i="11"/>
  <c r="AF128" i="11"/>
  <c r="AG128" i="11"/>
  <c r="AH128" i="11"/>
  <c r="AI128" i="11"/>
  <c r="AJ128" i="11"/>
  <c r="AK128" i="11"/>
  <c r="AL128" i="11"/>
  <c r="AV55" i="17"/>
  <c r="AW23" i="17"/>
  <c r="N128" i="11"/>
  <c r="M128" i="11"/>
  <c r="O128" i="11"/>
  <c r="L128" i="11"/>
  <c r="P128" i="11"/>
  <c r="K128" i="11"/>
  <c r="Q128" i="11"/>
  <c r="J128" i="11"/>
  <c r="R128" i="11"/>
  <c r="I128" i="11"/>
  <c r="H128" i="11"/>
  <c r="G128" i="11"/>
  <c r="S128" i="11"/>
  <c r="F128" i="11"/>
  <c r="E128" i="11"/>
  <c r="D128" i="11"/>
  <c r="C128" i="11"/>
  <c r="AN97" i="11"/>
  <c r="AN99" i="11"/>
  <c r="AN94" i="11"/>
  <c r="AN98" i="11"/>
  <c r="AN102" i="11"/>
  <c r="AN95" i="11"/>
  <c r="AN100" i="11"/>
  <c r="AN90" i="11"/>
  <c r="AN93" i="11"/>
  <c r="AN105" i="11"/>
  <c r="AN104" i="11"/>
  <c r="AN101" i="11"/>
  <c r="AN103" i="11"/>
  <c r="AN91" i="11"/>
  <c r="AN92" i="11"/>
  <c r="AN96" i="11"/>
  <c r="AN89" i="11"/>
  <c r="B64" i="11"/>
  <c r="B129" i="11"/>
  <c r="AN129" i="11" s="1"/>
  <c r="AO10" i="11"/>
  <c r="AO11" i="11" s="1"/>
  <c r="AP23" i="11"/>
  <c r="AO35" i="11"/>
  <c r="AO88" i="11"/>
  <c r="T129" i="11" l="1"/>
  <c r="U129" i="11"/>
  <c r="V129" i="11"/>
  <c r="W129" i="11"/>
  <c r="X129" i="11"/>
  <c r="Y129" i="11"/>
  <c r="Z129" i="11"/>
  <c r="AA129" i="11"/>
  <c r="AB129" i="11"/>
  <c r="AC129" i="11"/>
  <c r="AD129" i="11"/>
  <c r="AE129" i="11"/>
  <c r="AF129" i="11"/>
  <c r="AG129" i="11"/>
  <c r="AH129" i="11"/>
  <c r="AI129" i="11"/>
  <c r="AJ129" i="11"/>
  <c r="AK129" i="11"/>
  <c r="AL129" i="11"/>
  <c r="AM129" i="11"/>
  <c r="AO107" i="11"/>
  <c r="AO112" i="11"/>
  <c r="AO111" i="11"/>
  <c r="AO115" i="11"/>
  <c r="AO106" i="11"/>
  <c r="AO128" i="11"/>
  <c r="AO110" i="11"/>
  <c r="AO113" i="11"/>
  <c r="AO116" i="11"/>
  <c r="AO114" i="11"/>
  <c r="AO108" i="11"/>
  <c r="AO129" i="11"/>
  <c r="AO109" i="11"/>
  <c r="AP37" i="11"/>
  <c r="AP41" i="11"/>
  <c r="AP39" i="11"/>
  <c r="AP36" i="11"/>
  <c r="AP42" i="11"/>
  <c r="AP46" i="11"/>
  <c r="AP49" i="11"/>
  <c r="AP52" i="11"/>
  <c r="AP64" i="11"/>
  <c r="AP50" i="11"/>
  <c r="AP51" i="11"/>
  <c r="AP43" i="11"/>
  <c r="AP47" i="11"/>
  <c r="AP40" i="11"/>
  <c r="AP38" i="11"/>
  <c r="AP44" i="11"/>
  <c r="AP48" i="11"/>
  <c r="AP45" i="11"/>
  <c r="O64" i="11"/>
  <c r="P64" i="11"/>
  <c r="Q64" i="11"/>
  <c r="R64" i="11"/>
  <c r="S64" i="11"/>
  <c r="T64" i="11"/>
  <c r="U64" i="11"/>
  <c r="V64" i="11"/>
  <c r="W64" i="11"/>
  <c r="X64" i="11"/>
  <c r="Y64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AL64" i="11"/>
  <c r="AM64" i="11"/>
  <c r="AN64" i="11"/>
  <c r="AO64" i="11"/>
  <c r="AW55" i="17"/>
  <c r="AX23" i="17"/>
  <c r="AO97" i="11"/>
  <c r="AO90" i="11"/>
  <c r="AO91" i="11"/>
  <c r="AO104" i="11"/>
  <c r="AO99" i="11"/>
  <c r="AO92" i="11"/>
  <c r="AO103" i="11"/>
  <c r="AO102" i="11"/>
  <c r="AO95" i="11"/>
  <c r="AO100" i="11"/>
  <c r="AO93" i="11"/>
  <c r="AO96" i="11"/>
  <c r="AO101" i="11"/>
  <c r="AO94" i="11"/>
  <c r="AO98" i="11"/>
  <c r="AO89" i="11"/>
  <c r="AO105" i="11"/>
  <c r="N129" i="11"/>
  <c r="M129" i="11"/>
  <c r="L129" i="11"/>
  <c r="O129" i="11"/>
  <c r="K129" i="11"/>
  <c r="P129" i="11"/>
  <c r="Q129" i="11"/>
  <c r="J129" i="11"/>
  <c r="R129" i="11"/>
  <c r="H129" i="11"/>
  <c r="I129" i="11"/>
  <c r="S129" i="11"/>
  <c r="G129" i="11"/>
  <c r="F129" i="11"/>
  <c r="E129" i="11"/>
  <c r="D129" i="11"/>
  <c r="C129" i="11"/>
  <c r="B65" i="11"/>
  <c r="AP65" i="11" s="1"/>
  <c r="B130" i="11"/>
  <c r="AP10" i="11"/>
  <c r="AP11" i="11" s="1"/>
  <c r="AQ23" i="11"/>
  <c r="AP35" i="11"/>
  <c r="AP88" i="11"/>
  <c r="AQ37" i="11" l="1"/>
  <c r="AQ43" i="11"/>
  <c r="AQ48" i="11"/>
  <c r="AQ53" i="11"/>
  <c r="AQ36" i="11"/>
  <c r="AQ42" i="11"/>
  <c r="AQ46" i="11"/>
  <c r="AQ41" i="11"/>
  <c r="AQ49" i="11"/>
  <c r="AQ52" i="11"/>
  <c r="AQ40" i="11"/>
  <c r="AQ45" i="11"/>
  <c r="AQ51" i="11"/>
  <c r="AQ47" i="11"/>
  <c r="AQ50" i="11"/>
  <c r="AQ38" i="11"/>
  <c r="AQ44" i="11"/>
  <c r="AQ39" i="11"/>
  <c r="AQ65" i="11"/>
  <c r="T130" i="11"/>
  <c r="U130" i="11"/>
  <c r="V130" i="11"/>
  <c r="W130" i="11"/>
  <c r="X130" i="11"/>
  <c r="Y130" i="11"/>
  <c r="Z130" i="11"/>
  <c r="AA130" i="11"/>
  <c r="AB130" i="11"/>
  <c r="AC130" i="11"/>
  <c r="AD130" i="11"/>
  <c r="AE130" i="11"/>
  <c r="AF130" i="11"/>
  <c r="AG130" i="11"/>
  <c r="AH130" i="11"/>
  <c r="AI130" i="11"/>
  <c r="AJ130" i="11"/>
  <c r="AK130" i="11"/>
  <c r="AL130" i="11"/>
  <c r="AM130" i="11"/>
  <c r="AN130" i="11"/>
  <c r="O65" i="11"/>
  <c r="P65" i="11"/>
  <c r="Q65" i="11"/>
  <c r="R65" i="11"/>
  <c r="S65" i="11"/>
  <c r="T65" i="11"/>
  <c r="U65" i="11"/>
  <c r="V65" i="11"/>
  <c r="W65" i="11"/>
  <c r="X65" i="11"/>
  <c r="Y65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AL65" i="11"/>
  <c r="AM65" i="11"/>
  <c r="AN65" i="11"/>
  <c r="AO65" i="11"/>
  <c r="AP130" i="11"/>
  <c r="AP111" i="11"/>
  <c r="AP115" i="11"/>
  <c r="AP106" i="11"/>
  <c r="AP107" i="11"/>
  <c r="AP113" i="11"/>
  <c r="AP114" i="11"/>
  <c r="AP129" i="11"/>
  <c r="AP109" i="11"/>
  <c r="AP117" i="11"/>
  <c r="AP110" i="11"/>
  <c r="AP112" i="11"/>
  <c r="AP116" i="11"/>
  <c r="AP108" i="11"/>
  <c r="AO130" i="11"/>
  <c r="AX55" i="17"/>
  <c r="AY23" i="17"/>
  <c r="AP94" i="11"/>
  <c r="AP98" i="11"/>
  <c r="AP92" i="11"/>
  <c r="AP95" i="11"/>
  <c r="AP100" i="11"/>
  <c r="AP90" i="11"/>
  <c r="AP93" i="11"/>
  <c r="AP101" i="11"/>
  <c r="AP104" i="11"/>
  <c r="AP96" i="11"/>
  <c r="AP91" i="11"/>
  <c r="AP102" i="11"/>
  <c r="AP99" i="11"/>
  <c r="AP103" i="11"/>
  <c r="AP105" i="11"/>
  <c r="AP97" i="11"/>
  <c r="AP89" i="11"/>
  <c r="N130" i="11"/>
  <c r="M130" i="11"/>
  <c r="L130" i="11"/>
  <c r="O130" i="11"/>
  <c r="P130" i="11"/>
  <c r="K130" i="11"/>
  <c r="Q130" i="11"/>
  <c r="J130" i="11"/>
  <c r="H130" i="11"/>
  <c r="R130" i="11"/>
  <c r="I130" i="11"/>
  <c r="S130" i="11"/>
  <c r="G130" i="11"/>
  <c r="F130" i="11"/>
  <c r="E130" i="11"/>
  <c r="D130" i="11"/>
  <c r="C130" i="11"/>
  <c r="B66" i="11"/>
  <c r="B131" i="11"/>
  <c r="AP131" i="11" s="1"/>
  <c r="AQ10" i="11"/>
  <c r="AQ11" i="11" s="1"/>
  <c r="AQ35" i="11"/>
  <c r="AR23" i="11"/>
  <c r="AQ88" i="11"/>
  <c r="O66" i="11" l="1"/>
  <c r="P66" i="11"/>
  <c r="Q66" i="11"/>
  <c r="R66" i="11"/>
  <c r="S66" i="11"/>
  <c r="T66" i="11"/>
  <c r="U66" i="11"/>
  <c r="V66" i="11"/>
  <c r="W66" i="11"/>
  <c r="X66" i="11"/>
  <c r="Y66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AL66" i="11"/>
  <c r="AM66" i="11"/>
  <c r="AN66" i="11"/>
  <c r="AO66" i="11"/>
  <c r="AP66" i="11"/>
  <c r="AQ66" i="11"/>
  <c r="AQ131" i="11"/>
  <c r="AQ130" i="11"/>
  <c r="AQ132" i="11"/>
  <c r="AQ107" i="11"/>
  <c r="AQ106" i="11"/>
  <c r="AQ110" i="11"/>
  <c r="AQ114" i="11"/>
  <c r="AQ118" i="11"/>
  <c r="AQ115" i="11"/>
  <c r="AQ108" i="11"/>
  <c r="AQ113" i="11"/>
  <c r="AQ116" i="11"/>
  <c r="AQ112" i="11"/>
  <c r="AQ111" i="11"/>
  <c r="AQ117" i="11"/>
  <c r="AQ109" i="11"/>
  <c r="AR38" i="11"/>
  <c r="AR42" i="11"/>
  <c r="AR67" i="11"/>
  <c r="AR36" i="11"/>
  <c r="AR40" i="11"/>
  <c r="AR43" i="11"/>
  <c r="AR48" i="11"/>
  <c r="AR53" i="11"/>
  <c r="AR46" i="11"/>
  <c r="AR37" i="11"/>
  <c r="AR51" i="11"/>
  <c r="AR47" i="11"/>
  <c r="AR50" i="11"/>
  <c r="AR54" i="11"/>
  <c r="AR44" i="11"/>
  <c r="AR45" i="11"/>
  <c r="AR39" i="11"/>
  <c r="AR49" i="11"/>
  <c r="AR66" i="11"/>
  <c r="AR41" i="11"/>
  <c r="AR52" i="11"/>
  <c r="T131" i="11"/>
  <c r="U131" i="11"/>
  <c r="V131" i="11"/>
  <c r="W131" i="11"/>
  <c r="X131" i="11"/>
  <c r="Y131" i="11"/>
  <c r="Z131" i="11"/>
  <c r="AA131" i="11"/>
  <c r="AB131" i="11"/>
  <c r="AC131" i="11"/>
  <c r="AD131" i="11"/>
  <c r="AE131" i="11"/>
  <c r="AF131" i="11"/>
  <c r="AG131" i="11"/>
  <c r="AH131" i="11"/>
  <c r="AI131" i="11"/>
  <c r="AJ131" i="11"/>
  <c r="AK131" i="11"/>
  <c r="AL131" i="11"/>
  <c r="AM131" i="11"/>
  <c r="AN131" i="11"/>
  <c r="AO131" i="11"/>
  <c r="AY55" i="17"/>
  <c r="AZ23" i="17"/>
  <c r="N131" i="11"/>
  <c r="M131" i="11"/>
  <c r="O131" i="11"/>
  <c r="L131" i="11"/>
  <c r="P131" i="11"/>
  <c r="K131" i="11"/>
  <c r="J131" i="11"/>
  <c r="Q131" i="11"/>
  <c r="H131" i="11"/>
  <c r="I131" i="11"/>
  <c r="R131" i="11"/>
  <c r="S131" i="11"/>
  <c r="G131" i="11"/>
  <c r="F131" i="11"/>
  <c r="E131" i="11"/>
  <c r="D131" i="11"/>
  <c r="C131" i="11"/>
  <c r="AQ90" i="11"/>
  <c r="AQ91" i="11"/>
  <c r="AQ94" i="11"/>
  <c r="AQ98" i="11"/>
  <c r="AQ93" i="11"/>
  <c r="AQ101" i="11"/>
  <c r="AQ100" i="11"/>
  <c r="AQ105" i="11"/>
  <c r="AQ95" i="11"/>
  <c r="AQ96" i="11"/>
  <c r="AQ97" i="11"/>
  <c r="AQ92" i="11"/>
  <c r="AQ104" i="11"/>
  <c r="AQ99" i="11"/>
  <c r="AQ103" i="11"/>
  <c r="AQ102" i="11"/>
  <c r="AQ89" i="11"/>
  <c r="B67" i="11"/>
  <c r="B132" i="11"/>
  <c r="AR10" i="11"/>
  <c r="AR11" i="11" s="1"/>
  <c r="AR35" i="11"/>
  <c r="AS23" i="11"/>
  <c r="AR88" i="11"/>
  <c r="AR132" i="11" l="1"/>
  <c r="AR110" i="11"/>
  <c r="AR115" i="11"/>
  <c r="AR108" i="11"/>
  <c r="AR113" i="11"/>
  <c r="AR118" i="11"/>
  <c r="AR114" i="11"/>
  <c r="AR116" i="11"/>
  <c r="AR112" i="11"/>
  <c r="AR117" i="11"/>
  <c r="AR131" i="11"/>
  <c r="AR106" i="11"/>
  <c r="AR107" i="11"/>
  <c r="AR111" i="11"/>
  <c r="AR119" i="11"/>
  <c r="AR109" i="11"/>
  <c r="AS38" i="11"/>
  <c r="AS44" i="11"/>
  <c r="AS36" i="11"/>
  <c r="AS42" i="11"/>
  <c r="AS43" i="11"/>
  <c r="AS48" i="11"/>
  <c r="AS53" i="11"/>
  <c r="AS46" i="11"/>
  <c r="AS52" i="11"/>
  <c r="AS47" i="11"/>
  <c r="AS37" i="11"/>
  <c r="AS40" i="11"/>
  <c r="AS50" i="11"/>
  <c r="AS41" i="11"/>
  <c r="AS45" i="11"/>
  <c r="AS55" i="11"/>
  <c r="AS39" i="11"/>
  <c r="AS51" i="11"/>
  <c r="AS67" i="11"/>
  <c r="AS49" i="11"/>
  <c r="AS54" i="11"/>
  <c r="T132" i="11"/>
  <c r="U132" i="11"/>
  <c r="V132" i="11"/>
  <c r="W132" i="11"/>
  <c r="X132" i="11"/>
  <c r="Y132" i="11"/>
  <c r="Z132" i="11"/>
  <c r="AA132" i="11"/>
  <c r="AB132" i="11"/>
  <c r="AC132" i="11"/>
  <c r="AD132" i="11"/>
  <c r="AE132" i="11"/>
  <c r="AF132" i="11"/>
  <c r="AG132" i="11"/>
  <c r="AH132" i="11"/>
  <c r="AI132" i="11"/>
  <c r="AJ132" i="11"/>
  <c r="AK132" i="11"/>
  <c r="AL132" i="11"/>
  <c r="AM132" i="11"/>
  <c r="AN132" i="11"/>
  <c r="AO132" i="11"/>
  <c r="AP132" i="11"/>
  <c r="O67" i="11"/>
  <c r="P67" i="11"/>
  <c r="Q67" i="11"/>
  <c r="R67" i="11"/>
  <c r="S67" i="11"/>
  <c r="T67" i="11"/>
  <c r="U67" i="11"/>
  <c r="V67" i="11"/>
  <c r="W67" i="11"/>
  <c r="X67" i="11"/>
  <c r="Y67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AL67" i="11"/>
  <c r="AM67" i="11"/>
  <c r="AN67" i="11"/>
  <c r="AO67" i="11"/>
  <c r="AP67" i="11"/>
  <c r="AQ67" i="11"/>
  <c r="AZ55" i="17"/>
  <c r="BA23" i="17"/>
  <c r="BA55" i="17" s="1"/>
  <c r="N132" i="11"/>
  <c r="M132" i="11"/>
  <c r="L132" i="11"/>
  <c r="O132" i="11"/>
  <c r="P132" i="11"/>
  <c r="K132" i="11"/>
  <c r="J132" i="11"/>
  <c r="Q132" i="11"/>
  <c r="I132" i="11"/>
  <c r="H132" i="11"/>
  <c r="R132" i="11"/>
  <c r="S132" i="11"/>
  <c r="G132" i="11"/>
  <c r="F132" i="11"/>
  <c r="E132" i="11"/>
  <c r="D132" i="11"/>
  <c r="C132" i="11"/>
  <c r="AR92" i="11"/>
  <c r="AR95" i="11"/>
  <c r="AR90" i="11"/>
  <c r="AR91" i="11"/>
  <c r="AR96" i="11"/>
  <c r="AR94" i="11"/>
  <c r="AR103" i="11"/>
  <c r="AR93" i="11"/>
  <c r="AR97" i="11"/>
  <c r="AR102" i="11"/>
  <c r="AR98" i="11"/>
  <c r="AR100" i="11"/>
  <c r="AR101" i="11"/>
  <c r="AR105" i="11"/>
  <c r="AR99" i="11"/>
  <c r="AR104" i="11"/>
  <c r="AR89" i="11"/>
  <c r="B68" i="11"/>
  <c r="AS68" i="11" s="1"/>
  <c r="B133" i="11"/>
  <c r="AS10" i="11"/>
  <c r="AS11" i="11" s="1"/>
  <c r="AS35" i="11"/>
  <c r="AT23" i="11"/>
  <c r="AS88" i="11"/>
  <c r="T133" i="11" l="1"/>
  <c r="U133" i="11"/>
  <c r="V133" i="11"/>
  <c r="W133" i="11"/>
  <c r="X133" i="11"/>
  <c r="Y133" i="11"/>
  <c r="Z133" i="11"/>
  <c r="AA133" i="11"/>
  <c r="AB133" i="11"/>
  <c r="AC133" i="11"/>
  <c r="AD133" i="11"/>
  <c r="AE133" i="11"/>
  <c r="AF133" i="11"/>
  <c r="AG133" i="11"/>
  <c r="AH133" i="11"/>
  <c r="AI133" i="11"/>
  <c r="AJ133" i="11"/>
  <c r="AK133" i="11"/>
  <c r="AL133" i="11"/>
  <c r="AM133" i="11"/>
  <c r="AN133" i="11"/>
  <c r="AO133" i="11"/>
  <c r="AP133" i="11"/>
  <c r="AQ133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AL68" i="11"/>
  <c r="AM68" i="11"/>
  <c r="AN68" i="11"/>
  <c r="AO68" i="11"/>
  <c r="AP68" i="11"/>
  <c r="AQ68" i="11"/>
  <c r="AR68" i="11"/>
  <c r="AS132" i="11"/>
  <c r="AS134" i="11"/>
  <c r="AS133" i="11"/>
  <c r="AS107" i="11"/>
  <c r="AS111" i="11"/>
  <c r="AS115" i="11"/>
  <c r="AS112" i="11"/>
  <c r="AS117" i="11"/>
  <c r="AS110" i="11"/>
  <c r="AS114" i="11"/>
  <c r="AS108" i="11"/>
  <c r="AS118" i="11"/>
  <c r="AS116" i="11"/>
  <c r="AS120" i="11"/>
  <c r="AS109" i="11"/>
  <c r="AS119" i="11"/>
  <c r="AS106" i="11"/>
  <c r="AS113" i="11"/>
  <c r="AT39" i="11"/>
  <c r="AT37" i="11"/>
  <c r="AT41" i="11"/>
  <c r="AT47" i="11"/>
  <c r="AT54" i="11"/>
  <c r="AT38" i="11"/>
  <c r="AT44" i="11"/>
  <c r="AT56" i="11"/>
  <c r="AT45" i="11"/>
  <c r="AT55" i="11"/>
  <c r="AT42" i="11"/>
  <c r="AT68" i="11"/>
  <c r="AT48" i="11"/>
  <c r="AT53" i="11"/>
  <c r="AT52" i="11"/>
  <c r="AT36" i="11"/>
  <c r="AT40" i="11"/>
  <c r="AT43" i="11"/>
  <c r="AT46" i="11"/>
  <c r="AT51" i="11"/>
  <c r="AT49" i="11"/>
  <c r="AT50" i="11"/>
  <c r="AR133" i="11"/>
  <c r="N133" i="11"/>
  <c r="M133" i="11"/>
  <c r="L133" i="11"/>
  <c r="O133" i="11"/>
  <c r="K133" i="11"/>
  <c r="P133" i="11"/>
  <c r="Q133" i="11"/>
  <c r="J133" i="11"/>
  <c r="H133" i="11"/>
  <c r="R133" i="11"/>
  <c r="I133" i="11"/>
  <c r="S133" i="11"/>
  <c r="G133" i="11"/>
  <c r="F133" i="11"/>
  <c r="E133" i="11"/>
  <c r="D133" i="11"/>
  <c r="C133" i="11"/>
  <c r="AS93" i="11"/>
  <c r="AS92" i="11"/>
  <c r="AS95" i="11"/>
  <c r="AS100" i="11"/>
  <c r="AS99" i="11"/>
  <c r="AS90" i="11"/>
  <c r="AS94" i="11"/>
  <c r="AS103" i="11"/>
  <c r="AS91" i="11"/>
  <c r="AS98" i="11"/>
  <c r="AS97" i="11"/>
  <c r="AS105" i="11"/>
  <c r="AS102" i="11"/>
  <c r="AS104" i="11"/>
  <c r="AS89" i="11"/>
  <c r="AS96" i="11"/>
  <c r="AS101" i="11"/>
  <c r="B69" i="11"/>
  <c r="AT69" i="11" s="1"/>
  <c r="B134" i="11"/>
  <c r="AT10" i="11"/>
  <c r="AT11" i="11" s="1"/>
  <c r="AT35" i="11"/>
  <c r="AU23" i="11"/>
  <c r="AT88" i="11"/>
  <c r="T134" i="11" l="1"/>
  <c r="U134" i="11"/>
  <c r="V134" i="11"/>
  <c r="W134" i="11"/>
  <c r="X134" i="11"/>
  <c r="Y134" i="11"/>
  <c r="Z134" i="11"/>
  <c r="AA134" i="11"/>
  <c r="AB134" i="11"/>
  <c r="AC134" i="11"/>
  <c r="AD134" i="11"/>
  <c r="AE134" i="11"/>
  <c r="AF134" i="11"/>
  <c r="AG134" i="11"/>
  <c r="AH134" i="11"/>
  <c r="AI134" i="11"/>
  <c r="AJ134" i="11"/>
  <c r="AK134" i="11"/>
  <c r="AL134" i="11"/>
  <c r="AM134" i="11"/>
  <c r="AN134" i="11"/>
  <c r="AO134" i="11"/>
  <c r="AP134" i="11"/>
  <c r="AQ134" i="11"/>
  <c r="AR134" i="11"/>
  <c r="O69" i="11"/>
  <c r="P69" i="11"/>
  <c r="Q69" i="11"/>
  <c r="R69" i="11"/>
  <c r="S69" i="11"/>
  <c r="T69" i="11"/>
  <c r="U69" i="11"/>
  <c r="V69" i="11"/>
  <c r="W69" i="11"/>
  <c r="X69" i="11"/>
  <c r="Y69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AL69" i="11"/>
  <c r="AM69" i="11"/>
  <c r="AN69" i="11"/>
  <c r="AO69" i="11"/>
  <c r="AP69" i="11"/>
  <c r="AQ69" i="11"/>
  <c r="AR69" i="11"/>
  <c r="AS69" i="11"/>
  <c r="AT134" i="11"/>
  <c r="AT119" i="11"/>
  <c r="AT133" i="11"/>
  <c r="AT106" i="11"/>
  <c r="AT107" i="11"/>
  <c r="AT120" i="11"/>
  <c r="AT112" i="11"/>
  <c r="AT117" i="11"/>
  <c r="AT110" i="11"/>
  <c r="AT115" i="11"/>
  <c r="AT109" i="11"/>
  <c r="AT121" i="11"/>
  <c r="AT108" i="11"/>
  <c r="AT118" i="11"/>
  <c r="AT113" i="11"/>
  <c r="AT111" i="11"/>
  <c r="AT116" i="11"/>
  <c r="AT114" i="11"/>
  <c r="AU39" i="11"/>
  <c r="AU45" i="11"/>
  <c r="AU56" i="11"/>
  <c r="AU47" i="11"/>
  <c r="AU54" i="11"/>
  <c r="AU38" i="11"/>
  <c r="AU44" i="11"/>
  <c r="AU41" i="11"/>
  <c r="AU49" i="11"/>
  <c r="AU50" i="11"/>
  <c r="AU57" i="11"/>
  <c r="AU36" i="11"/>
  <c r="AU42" i="11"/>
  <c r="AU43" i="11"/>
  <c r="AU46" i="11"/>
  <c r="AU52" i="11"/>
  <c r="AU69" i="11"/>
  <c r="AU37" i="11"/>
  <c r="AU53" i="11"/>
  <c r="AU40" i="11"/>
  <c r="AU55" i="11"/>
  <c r="AU51" i="11"/>
  <c r="AU48" i="11"/>
  <c r="AT96" i="11"/>
  <c r="AT93" i="11"/>
  <c r="AT97" i="11"/>
  <c r="AT95" i="11"/>
  <c r="AT105" i="11"/>
  <c r="AT91" i="11"/>
  <c r="AT98" i="11"/>
  <c r="AT99" i="11"/>
  <c r="AT104" i="11"/>
  <c r="AT94" i="11"/>
  <c r="AT101" i="11"/>
  <c r="AT92" i="11"/>
  <c r="AT89" i="11"/>
  <c r="AT90" i="11"/>
  <c r="AT103" i="11"/>
  <c r="AT102" i="11"/>
  <c r="AT100" i="11"/>
  <c r="N134" i="11"/>
  <c r="M134" i="11"/>
  <c r="O134" i="11"/>
  <c r="L134" i="11"/>
  <c r="P134" i="11"/>
  <c r="K134" i="11"/>
  <c r="J134" i="11"/>
  <c r="Q134" i="11"/>
  <c r="H134" i="11"/>
  <c r="R134" i="11"/>
  <c r="I134" i="11"/>
  <c r="S134" i="11"/>
  <c r="G134" i="11"/>
  <c r="F134" i="11"/>
  <c r="E134" i="11"/>
  <c r="D134" i="11"/>
  <c r="C134" i="11"/>
  <c r="B70" i="11"/>
  <c r="AU70" i="11" s="1"/>
  <c r="B135" i="11"/>
  <c r="AU10" i="11"/>
  <c r="AU11" i="11" s="1"/>
  <c r="AV23" i="11"/>
  <c r="AU35" i="11"/>
  <c r="AU88" i="11"/>
  <c r="T135" i="11" l="1"/>
  <c r="U135" i="11"/>
  <c r="V135" i="11"/>
  <c r="W135" i="11"/>
  <c r="X135" i="11"/>
  <c r="Y135" i="11"/>
  <c r="Z135" i="11"/>
  <c r="AA135" i="11"/>
  <c r="AB135" i="11"/>
  <c r="AC135" i="11"/>
  <c r="AD135" i="11"/>
  <c r="AE135" i="11"/>
  <c r="AF135" i="11"/>
  <c r="AG135" i="11"/>
  <c r="AH135" i="11"/>
  <c r="AI135" i="11"/>
  <c r="AJ135" i="11"/>
  <c r="AK135" i="11"/>
  <c r="AL135" i="11"/>
  <c r="AM135" i="11"/>
  <c r="AN135" i="11"/>
  <c r="AO135" i="11"/>
  <c r="AP135" i="11"/>
  <c r="AQ135" i="11"/>
  <c r="AR135" i="11"/>
  <c r="AS135" i="11"/>
  <c r="AT135" i="11"/>
  <c r="AV36" i="11"/>
  <c r="AV40" i="11"/>
  <c r="AV38" i="11"/>
  <c r="AV42" i="11"/>
  <c r="AV70" i="11"/>
  <c r="AV50" i="11"/>
  <c r="AV51" i="11"/>
  <c r="AV39" i="11"/>
  <c r="AV45" i="11"/>
  <c r="AV56" i="11"/>
  <c r="AV47" i="11"/>
  <c r="AV54" i="11"/>
  <c r="AV44" i="11"/>
  <c r="AV48" i="11"/>
  <c r="AV46" i="11"/>
  <c r="AV52" i="11"/>
  <c r="AV41" i="11"/>
  <c r="AV49" i="11"/>
  <c r="AV37" i="11"/>
  <c r="AV53" i="11"/>
  <c r="AV57" i="11"/>
  <c r="AV58" i="11"/>
  <c r="AV55" i="11"/>
  <c r="AV43" i="11"/>
  <c r="O70" i="11"/>
  <c r="P70" i="11"/>
  <c r="Q70" i="11"/>
  <c r="R70" i="11"/>
  <c r="S70" i="11"/>
  <c r="T70" i="11"/>
  <c r="U70" i="11"/>
  <c r="V70" i="11"/>
  <c r="W70" i="11"/>
  <c r="X70" i="11"/>
  <c r="Y70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AL70" i="11"/>
  <c r="AM70" i="11"/>
  <c r="AN70" i="11"/>
  <c r="AO70" i="11"/>
  <c r="AP70" i="11"/>
  <c r="AQ70" i="11"/>
  <c r="AR70" i="11"/>
  <c r="AS70" i="11"/>
  <c r="AT70" i="11"/>
  <c r="AU134" i="11"/>
  <c r="AU108" i="11"/>
  <c r="AU112" i="11"/>
  <c r="AU116" i="11"/>
  <c r="AU121" i="11"/>
  <c r="AU109" i="11"/>
  <c r="AU114" i="11"/>
  <c r="AU106" i="11"/>
  <c r="AU107" i="11"/>
  <c r="AU117" i="11"/>
  <c r="AU135" i="11"/>
  <c r="AU111" i="11"/>
  <c r="AU113" i="11"/>
  <c r="AU119" i="11"/>
  <c r="AU110" i="11"/>
  <c r="AU120" i="11"/>
  <c r="AU115" i="11"/>
  <c r="AU118" i="11"/>
  <c r="AU122" i="11"/>
  <c r="AU99" i="11"/>
  <c r="AU96" i="11"/>
  <c r="AU92" i="11"/>
  <c r="AU100" i="11"/>
  <c r="AU102" i="11"/>
  <c r="AU95" i="11"/>
  <c r="AU105" i="11"/>
  <c r="AU101" i="11"/>
  <c r="AU91" i="11"/>
  <c r="AU97" i="11"/>
  <c r="AU98" i="11"/>
  <c r="AU90" i="11"/>
  <c r="AU93" i="11"/>
  <c r="AU94" i="11"/>
  <c r="AU103" i="11"/>
  <c r="AU104" i="11"/>
  <c r="AU89" i="11"/>
  <c r="N135" i="11"/>
  <c r="M135" i="11"/>
  <c r="L135" i="11"/>
  <c r="O135" i="11"/>
  <c r="K135" i="11"/>
  <c r="P135" i="11"/>
  <c r="J135" i="11"/>
  <c r="Q135" i="11"/>
  <c r="I135" i="11"/>
  <c r="R135" i="11"/>
  <c r="H135" i="11"/>
  <c r="S135" i="11"/>
  <c r="G135" i="11"/>
  <c r="F135" i="11"/>
  <c r="E135" i="11"/>
  <c r="D135" i="11"/>
  <c r="C135" i="11"/>
  <c r="B71" i="11"/>
  <c r="B136" i="11"/>
  <c r="AV10" i="11"/>
  <c r="AV11" i="11" s="1"/>
  <c r="AW23" i="11"/>
  <c r="AV35" i="11"/>
  <c r="AV88" i="11"/>
  <c r="T136" i="11" l="1"/>
  <c r="U136" i="11"/>
  <c r="V136" i="11"/>
  <c r="W136" i="11"/>
  <c r="X136" i="11"/>
  <c r="Y136" i="11"/>
  <c r="Z136" i="11"/>
  <c r="AA136" i="11"/>
  <c r="AB136" i="11"/>
  <c r="AC136" i="11"/>
  <c r="AD136" i="11"/>
  <c r="AE136" i="11"/>
  <c r="AF136" i="11"/>
  <c r="AG136" i="11"/>
  <c r="AH136" i="11"/>
  <c r="AI136" i="11"/>
  <c r="AJ136" i="11"/>
  <c r="AK136" i="11"/>
  <c r="AL136" i="11"/>
  <c r="AM136" i="11"/>
  <c r="AN136" i="11"/>
  <c r="AO136" i="11"/>
  <c r="AP136" i="11"/>
  <c r="AQ136" i="11"/>
  <c r="AR136" i="11"/>
  <c r="AS136" i="11"/>
  <c r="AT136" i="11"/>
  <c r="O71" i="11"/>
  <c r="P71" i="11"/>
  <c r="Q71" i="11"/>
  <c r="R71" i="11"/>
  <c r="S71" i="11"/>
  <c r="T71" i="11"/>
  <c r="U71" i="11"/>
  <c r="V71" i="11"/>
  <c r="W71" i="11"/>
  <c r="X71" i="11"/>
  <c r="Y71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AL71" i="11"/>
  <c r="AM71" i="11"/>
  <c r="AN71" i="11"/>
  <c r="AO71" i="11"/>
  <c r="AP71" i="11"/>
  <c r="AQ71" i="11"/>
  <c r="AR71" i="11"/>
  <c r="AS71" i="11"/>
  <c r="AT71" i="11"/>
  <c r="AU71" i="11"/>
  <c r="AU136" i="11"/>
  <c r="AV135" i="11"/>
  <c r="AV119" i="11"/>
  <c r="AV109" i="11"/>
  <c r="AV114" i="11"/>
  <c r="AV106" i="11"/>
  <c r="AV107" i="11"/>
  <c r="AV112" i="11"/>
  <c r="AV120" i="11"/>
  <c r="AV121" i="11"/>
  <c r="AV122" i="11"/>
  <c r="AV136" i="11"/>
  <c r="AV115" i="11"/>
  <c r="AV117" i="11"/>
  <c r="AV111" i="11"/>
  <c r="AV113" i="11"/>
  <c r="AV123" i="11"/>
  <c r="AV110" i="11"/>
  <c r="AV108" i="11"/>
  <c r="AV116" i="11"/>
  <c r="AV118" i="11"/>
  <c r="AW36" i="11"/>
  <c r="AW37" i="11"/>
  <c r="AW40" i="11"/>
  <c r="AW49" i="11"/>
  <c r="AW52" i="11"/>
  <c r="AW71" i="11"/>
  <c r="AW50" i="11"/>
  <c r="AW51" i="11"/>
  <c r="AW39" i="11"/>
  <c r="AW45" i="11"/>
  <c r="AW56" i="11"/>
  <c r="AW54" i="11"/>
  <c r="AW58" i="11"/>
  <c r="AW38" i="11"/>
  <c r="AW55" i="11"/>
  <c r="AW43" i="11"/>
  <c r="AW44" i="11"/>
  <c r="AW48" i="11"/>
  <c r="AW59" i="11"/>
  <c r="AW41" i="11"/>
  <c r="AW53" i="11"/>
  <c r="AW57" i="11"/>
  <c r="AW42" i="11"/>
  <c r="AW46" i="11"/>
  <c r="AW47" i="11"/>
  <c r="AV71" i="11"/>
  <c r="N136" i="11"/>
  <c r="M136" i="11"/>
  <c r="O136" i="11"/>
  <c r="L136" i="11"/>
  <c r="P136" i="11"/>
  <c r="K136" i="11"/>
  <c r="Q136" i="11"/>
  <c r="J136" i="11"/>
  <c r="R136" i="11"/>
  <c r="H136" i="11"/>
  <c r="I136" i="11"/>
  <c r="G136" i="11"/>
  <c r="S136" i="11"/>
  <c r="F136" i="11"/>
  <c r="E136" i="11"/>
  <c r="D136" i="11"/>
  <c r="C136" i="11"/>
  <c r="AV97" i="11"/>
  <c r="AV99" i="11"/>
  <c r="AV94" i="11"/>
  <c r="AV98" i="11"/>
  <c r="AV96" i="11"/>
  <c r="AV92" i="11"/>
  <c r="AV100" i="11"/>
  <c r="AV102" i="11"/>
  <c r="AV105" i="11"/>
  <c r="AV90" i="11"/>
  <c r="AV91" i="11"/>
  <c r="AV93" i="11"/>
  <c r="AV101" i="11"/>
  <c r="AV103" i="11"/>
  <c r="AV104" i="11"/>
  <c r="AV95" i="11"/>
  <c r="AV89" i="11"/>
  <c r="B72" i="11"/>
  <c r="AW72" i="11" s="1"/>
  <c r="B137" i="11"/>
  <c r="AW10" i="11"/>
  <c r="AW11" i="11" s="1"/>
  <c r="AX23" i="11"/>
  <c r="AW35" i="11"/>
  <c r="AW88" i="11"/>
  <c r="AW136" i="11" l="1"/>
  <c r="AW137" i="11"/>
  <c r="AW106" i="11"/>
  <c r="AW109" i="11"/>
  <c r="AW113" i="11"/>
  <c r="AW117" i="11"/>
  <c r="AW111" i="11"/>
  <c r="AW116" i="11"/>
  <c r="AW119" i="11"/>
  <c r="AW114" i="11"/>
  <c r="AW123" i="11"/>
  <c r="AW107" i="11"/>
  <c r="AW115" i="11"/>
  <c r="AW121" i="11"/>
  <c r="AW112" i="11"/>
  <c r="AW124" i="11"/>
  <c r="AW108" i="11"/>
  <c r="AW120" i="11"/>
  <c r="AW122" i="11"/>
  <c r="AW110" i="11"/>
  <c r="AW118" i="11"/>
  <c r="AX58" i="11"/>
  <c r="AX37" i="11"/>
  <c r="AX41" i="11"/>
  <c r="AX39" i="11"/>
  <c r="AX46" i="11"/>
  <c r="AX55" i="11"/>
  <c r="AX40" i="11"/>
  <c r="AX49" i="11"/>
  <c r="AX52" i="11"/>
  <c r="AX72" i="11"/>
  <c r="AX50" i="11"/>
  <c r="AX51" i="11"/>
  <c r="AX42" i="11"/>
  <c r="AX43" i="11"/>
  <c r="AX47" i="11"/>
  <c r="AX57" i="11"/>
  <c r="AX36" i="11"/>
  <c r="AX38" i="11"/>
  <c r="AX54" i="11"/>
  <c r="AX56" i="11"/>
  <c r="AX59" i="11"/>
  <c r="AX45" i="11"/>
  <c r="AX60" i="11"/>
  <c r="AX44" i="11"/>
  <c r="AX48" i="11"/>
  <c r="AX53" i="11"/>
  <c r="O72" i="11"/>
  <c r="P72" i="11"/>
  <c r="Q72" i="11"/>
  <c r="R72" i="11"/>
  <c r="S72" i="11"/>
  <c r="T72" i="11"/>
  <c r="U72" i="11"/>
  <c r="V72" i="11"/>
  <c r="W72" i="11"/>
  <c r="X72" i="11"/>
  <c r="Y72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AL72" i="11"/>
  <c r="AM72" i="11"/>
  <c r="AN72" i="11"/>
  <c r="AO72" i="11"/>
  <c r="AP72" i="11"/>
  <c r="AQ72" i="11"/>
  <c r="AR72" i="11"/>
  <c r="AS72" i="11"/>
  <c r="AT72" i="11"/>
  <c r="AU72" i="11"/>
  <c r="AV72" i="11"/>
  <c r="T137" i="11"/>
  <c r="U137" i="11"/>
  <c r="V137" i="11"/>
  <c r="W137" i="11"/>
  <c r="X137" i="11"/>
  <c r="Y137" i="11"/>
  <c r="Z137" i="11"/>
  <c r="AA137" i="11"/>
  <c r="AB137" i="11"/>
  <c r="AC137" i="11"/>
  <c r="AD137" i="11"/>
  <c r="AE137" i="11"/>
  <c r="AF137" i="11"/>
  <c r="AG137" i="11"/>
  <c r="AH137" i="11"/>
  <c r="AI137" i="11"/>
  <c r="AJ137" i="11"/>
  <c r="AK137" i="11"/>
  <c r="AL137" i="11"/>
  <c r="AM137" i="11"/>
  <c r="AN137" i="11"/>
  <c r="AO137" i="11"/>
  <c r="AP137" i="11"/>
  <c r="AQ137" i="11"/>
  <c r="AR137" i="11"/>
  <c r="AS137" i="11"/>
  <c r="AT137" i="11"/>
  <c r="AU137" i="11"/>
  <c r="AV137" i="11"/>
  <c r="AW97" i="11"/>
  <c r="AW90" i="11"/>
  <c r="AW91" i="11"/>
  <c r="AW104" i="11"/>
  <c r="AW96" i="11"/>
  <c r="AW103" i="11"/>
  <c r="AW92" i="11"/>
  <c r="AW94" i="11"/>
  <c r="AW95" i="11"/>
  <c r="AW99" i="11"/>
  <c r="AW100" i="11"/>
  <c r="AW98" i="11"/>
  <c r="AW105" i="11"/>
  <c r="AW101" i="11"/>
  <c r="AW93" i="11"/>
  <c r="AW102" i="11"/>
  <c r="AW89" i="11"/>
  <c r="N137" i="11"/>
  <c r="M137" i="11"/>
  <c r="L137" i="11"/>
  <c r="O137" i="11"/>
  <c r="K137" i="11"/>
  <c r="P137" i="11"/>
  <c r="Q137" i="11"/>
  <c r="J137" i="11"/>
  <c r="H137" i="11"/>
  <c r="I137" i="11"/>
  <c r="R137" i="11"/>
  <c r="S137" i="11"/>
  <c r="G137" i="11"/>
  <c r="F137" i="11"/>
  <c r="E137" i="11"/>
  <c r="D137" i="11"/>
  <c r="C137" i="11"/>
  <c r="B73" i="11"/>
  <c r="B138" i="11"/>
  <c r="AX10" i="11"/>
  <c r="AX11" i="11" s="1"/>
  <c r="AY23" i="11"/>
  <c r="AX35" i="11"/>
  <c r="AX88" i="11"/>
  <c r="AX138" i="11" l="1"/>
  <c r="AX137" i="11"/>
  <c r="AX120" i="11"/>
  <c r="AX118" i="11"/>
  <c r="AX111" i="11"/>
  <c r="AX116" i="11"/>
  <c r="AX109" i="11"/>
  <c r="AX119" i="11"/>
  <c r="AX107" i="11"/>
  <c r="AX117" i="11"/>
  <c r="AX113" i="11"/>
  <c r="AX115" i="11"/>
  <c r="AX121" i="11"/>
  <c r="AX123" i="11"/>
  <c r="AX125" i="11"/>
  <c r="AX124" i="11"/>
  <c r="AX112" i="11"/>
  <c r="AX108" i="11"/>
  <c r="AX110" i="11"/>
  <c r="AX106" i="11"/>
  <c r="AX122" i="11"/>
  <c r="AX114" i="11"/>
  <c r="AY59" i="11"/>
  <c r="AY58" i="11"/>
  <c r="AY37" i="11"/>
  <c r="AY60" i="11"/>
  <c r="AY61" i="11"/>
  <c r="AY41" i="11"/>
  <c r="AY43" i="11"/>
  <c r="AY48" i="11"/>
  <c r="AY53" i="11"/>
  <c r="AY46" i="11"/>
  <c r="AY55" i="11"/>
  <c r="AY40" i="11"/>
  <c r="AY49" i="11"/>
  <c r="AY52" i="11"/>
  <c r="AY36" i="11"/>
  <c r="AY38" i="11"/>
  <c r="AY51" i="11"/>
  <c r="AY42" i="11"/>
  <c r="AY47" i="11"/>
  <c r="AY50" i="11"/>
  <c r="AY73" i="11"/>
  <c r="AY44" i="11"/>
  <c r="AY54" i="11"/>
  <c r="AY56" i="11"/>
  <c r="AY39" i="11"/>
  <c r="AY45" i="11"/>
  <c r="AY57" i="11"/>
  <c r="T138" i="11"/>
  <c r="U138" i="11"/>
  <c r="V138" i="11"/>
  <c r="W138" i="11"/>
  <c r="X138" i="11"/>
  <c r="Y138" i="11"/>
  <c r="Z138" i="11"/>
  <c r="AA138" i="11"/>
  <c r="AB138" i="11"/>
  <c r="AC138" i="11"/>
  <c r="AD138" i="11"/>
  <c r="AE138" i="11"/>
  <c r="AF138" i="11"/>
  <c r="AG138" i="11"/>
  <c r="AH138" i="11"/>
  <c r="AI138" i="11"/>
  <c r="AJ138" i="11"/>
  <c r="AK138" i="11"/>
  <c r="AL138" i="11"/>
  <c r="AM138" i="11"/>
  <c r="AN138" i="11"/>
  <c r="AO138" i="11"/>
  <c r="AP138" i="11"/>
  <c r="AQ138" i="11"/>
  <c r="AR138" i="11"/>
  <c r="AS138" i="11"/>
  <c r="AT138" i="11"/>
  <c r="AU138" i="11"/>
  <c r="AV138" i="11"/>
  <c r="AW138" i="11"/>
  <c r="O73" i="11"/>
  <c r="P73" i="11"/>
  <c r="Q73" i="11"/>
  <c r="R73" i="11"/>
  <c r="S73" i="11"/>
  <c r="T73" i="11"/>
  <c r="U73" i="11"/>
  <c r="V73" i="11"/>
  <c r="W73" i="11"/>
  <c r="X73" i="11"/>
  <c r="Y73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X94" i="11"/>
  <c r="AX98" i="11"/>
  <c r="AX92" i="11"/>
  <c r="AX95" i="11"/>
  <c r="AX100" i="11"/>
  <c r="AX91" i="11"/>
  <c r="AX97" i="11"/>
  <c r="AX101" i="11"/>
  <c r="AX104" i="11"/>
  <c r="AX90" i="11"/>
  <c r="AX93" i="11"/>
  <c r="AX96" i="11"/>
  <c r="AX99" i="11"/>
  <c r="AX102" i="11"/>
  <c r="AX103" i="11"/>
  <c r="AX105" i="11"/>
  <c r="AX89" i="11"/>
  <c r="N138" i="11"/>
  <c r="M138" i="11"/>
  <c r="L138" i="11"/>
  <c r="O138" i="11"/>
  <c r="K138" i="11"/>
  <c r="P138" i="11"/>
  <c r="J138" i="11"/>
  <c r="Q138" i="11"/>
  <c r="H138" i="11"/>
  <c r="I138" i="11"/>
  <c r="R138" i="11"/>
  <c r="G138" i="11"/>
  <c r="S138" i="11"/>
  <c r="F138" i="11"/>
  <c r="E138" i="11"/>
  <c r="D138" i="11"/>
  <c r="C138" i="11"/>
  <c r="B74" i="11"/>
  <c r="AY74" i="11" s="1"/>
  <c r="B139" i="11"/>
  <c r="AY10" i="11"/>
  <c r="AY11" i="11" s="1"/>
  <c r="AZ23" i="11"/>
  <c r="AY35" i="11"/>
  <c r="AY88" i="11"/>
  <c r="T139" i="11" l="1"/>
  <c r="U139" i="11"/>
  <c r="V139" i="11"/>
  <c r="W139" i="11"/>
  <c r="X139" i="11"/>
  <c r="Y139" i="11"/>
  <c r="Z139" i="11"/>
  <c r="AA139" i="11"/>
  <c r="AB139" i="11"/>
  <c r="AC139" i="11"/>
  <c r="AD139" i="11"/>
  <c r="AE139" i="11"/>
  <c r="AF139" i="11"/>
  <c r="AG139" i="11"/>
  <c r="AH139" i="11"/>
  <c r="AI139" i="11"/>
  <c r="AJ139" i="11"/>
  <c r="AK139" i="11"/>
  <c r="AL139" i="11"/>
  <c r="AM139" i="11"/>
  <c r="AN139" i="11"/>
  <c r="AO139" i="11"/>
  <c r="AP139" i="11"/>
  <c r="AQ139" i="11"/>
  <c r="AR139" i="11"/>
  <c r="AS139" i="11"/>
  <c r="AT139" i="11"/>
  <c r="AU139" i="11"/>
  <c r="AV139" i="11"/>
  <c r="AW139" i="11"/>
  <c r="O74" i="11"/>
  <c r="P74" i="11"/>
  <c r="Q74" i="11"/>
  <c r="R74" i="11"/>
  <c r="S74" i="11"/>
  <c r="T74" i="11"/>
  <c r="U74" i="11"/>
  <c r="V74" i="11"/>
  <c r="W74" i="11"/>
  <c r="X74" i="11"/>
  <c r="Y74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139" i="11"/>
  <c r="AY138" i="11"/>
  <c r="AY106" i="11"/>
  <c r="AY110" i="11"/>
  <c r="AY114" i="11"/>
  <c r="AY118" i="11"/>
  <c r="AY108" i="11"/>
  <c r="AY113" i="11"/>
  <c r="AY111" i="11"/>
  <c r="AY116" i="11"/>
  <c r="AY124" i="11"/>
  <c r="AY109" i="11"/>
  <c r="AY119" i="11"/>
  <c r="AY107" i="11"/>
  <c r="AY117" i="11"/>
  <c r="AY115" i="11"/>
  <c r="AY121" i="11"/>
  <c r="AY123" i="11"/>
  <c r="AY125" i="11"/>
  <c r="AY122" i="11"/>
  <c r="AY112" i="11"/>
  <c r="AY120" i="11"/>
  <c r="AY126" i="11"/>
  <c r="AX139" i="11"/>
  <c r="AZ60" i="11"/>
  <c r="AZ38" i="11"/>
  <c r="AZ42" i="11"/>
  <c r="AZ59" i="11"/>
  <c r="AZ36" i="11"/>
  <c r="AZ40" i="11"/>
  <c r="AZ57" i="11"/>
  <c r="AZ61" i="11"/>
  <c r="AZ62" i="11"/>
  <c r="AZ37" i="11"/>
  <c r="AZ41" i="11"/>
  <c r="AZ43" i="11"/>
  <c r="AZ48" i="11"/>
  <c r="AZ53" i="11"/>
  <c r="AZ46" i="11"/>
  <c r="AZ55" i="11"/>
  <c r="AZ39" i="11"/>
  <c r="AZ51" i="11"/>
  <c r="AZ54" i="11"/>
  <c r="AZ56" i="11"/>
  <c r="AZ45" i="11"/>
  <c r="AZ58" i="11"/>
  <c r="AZ47" i="11"/>
  <c r="AZ49" i="11"/>
  <c r="AZ50" i="11"/>
  <c r="AZ74" i="11"/>
  <c r="AZ44" i="11"/>
  <c r="AZ52" i="11"/>
  <c r="AY90" i="11"/>
  <c r="AY91" i="11"/>
  <c r="AY94" i="11"/>
  <c r="AY98" i="11"/>
  <c r="AY93" i="11"/>
  <c r="AY99" i="11"/>
  <c r="AY97" i="11"/>
  <c r="AY101" i="11"/>
  <c r="AY105" i="11"/>
  <c r="AY102" i="11"/>
  <c r="AY103" i="11"/>
  <c r="AY100" i="11"/>
  <c r="AY104" i="11"/>
  <c r="AY96" i="11"/>
  <c r="AY95" i="11"/>
  <c r="AY89" i="11"/>
  <c r="AY92" i="11"/>
  <c r="N139" i="11"/>
  <c r="M139" i="11"/>
  <c r="O139" i="11"/>
  <c r="L139" i="11"/>
  <c r="K139" i="11"/>
  <c r="P139" i="11"/>
  <c r="Q139" i="11"/>
  <c r="J139" i="11"/>
  <c r="I139" i="11"/>
  <c r="H139" i="11"/>
  <c r="R139" i="11"/>
  <c r="S139" i="11"/>
  <c r="G139" i="11"/>
  <c r="F139" i="11"/>
  <c r="E139" i="11"/>
  <c r="D139" i="11"/>
  <c r="C139" i="11"/>
  <c r="B75" i="11"/>
  <c r="B140" i="11"/>
  <c r="AZ10" i="11"/>
  <c r="AZ11" i="11" s="1"/>
  <c r="BA23" i="11"/>
  <c r="AZ35" i="11"/>
  <c r="AZ88" i="11"/>
  <c r="O75" i="11" l="1"/>
  <c r="P75" i="11"/>
  <c r="Q75" i="11"/>
  <c r="R75" i="11"/>
  <c r="S75" i="11"/>
  <c r="T75" i="11"/>
  <c r="U75" i="11"/>
  <c r="V75" i="11"/>
  <c r="W75" i="11"/>
  <c r="X75" i="11"/>
  <c r="Y75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61" i="11"/>
  <c r="BA60" i="11"/>
  <c r="BA58" i="11"/>
  <c r="BA59" i="11"/>
  <c r="BA42" i="11"/>
  <c r="BA44" i="11"/>
  <c r="BA57" i="11"/>
  <c r="BA62" i="11"/>
  <c r="BA63" i="11"/>
  <c r="BA37" i="11"/>
  <c r="BA41" i="11"/>
  <c r="BA43" i="11"/>
  <c r="BA48" i="11"/>
  <c r="BA53" i="11"/>
  <c r="BA46" i="11"/>
  <c r="BA52" i="11"/>
  <c r="BA75" i="11"/>
  <c r="BA49" i="11"/>
  <c r="BA54" i="11"/>
  <c r="BA36" i="11"/>
  <c r="BA38" i="11"/>
  <c r="BA47" i="11"/>
  <c r="BA50" i="11"/>
  <c r="BA40" i="11"/>
  <c r="BA56" i="11"/>
  <c r="BA39" i="11"/>
  <c r="BA51" i="11"/>
  <c r="BA45" i="11"/>
  <c r="BA55" i="11"/>
  <c r="T140" i="11"/>
  <c r="U140" i="11"/>
  <c r="V140" i="11"/>
  <c r="W140" i="11"/>
  <c r="X140" i="11"/>
  <c r="Y140" i="11"/>
  <c r="Z140" i="11"/>
  <c r="AA140" i="11"/>
  <c r="AB140" i="11"/>
  <c r="AC140" i="11"/>
  <c r="AD140" i="11"/>
  <c r="AE140" i="11"/>
  <c r="AF140" i="11"/>
  <c r="AG140" i="11"/>
  <c r="AH140" i="11"/>
  <c r="AI140" i="11"/>
  <c r="AJ140" i="11"/>
  <c r="AK140" i="11"/>
  <c r="AL140" i="11"/>
  <c r="AM140" i="11"/>
  <c r="AN140" i="11"/>
  <c r="AO140" i="11"/>
  <c r="AP140" i="11"/>
  <c r="AQ140" i="11"/>
  <c r="AR140" i="11"/>
  <c r="AS140" i="11"/>
  <c r="AT140" i="11"/>
  <c r="AU140" i="11"/>
  <c r="AV140" i="11"/>
  <c r="AW140" i="11"/>
  <c r="AX140" i="11"/>
  <c r="AY140" i="11"/>
  <c r="AZ123" i="11"/>
  <c r="AZ124" i="11"/>
  <c r="AZ115" i="11"/>
  <c r="AZ108" i="11"/>
  <c r="AZ113" i="11"/>
  <c r="AZ118" i="11"/>
  <c r="AZ122" i="11"/>
  <c r="AZ127" i="11"/>
  <c r="AZ109" i="11"/>
  <c r="AZ111" i="11"/>
  <c r="AZ119" i="11"/>
  <c r="AZ107" i="11"/>
  <c r="AZ117" i="11"/>
  <c r="AZ106" i="11"/>
  <c r="AZ110" i="11"/>
  <c r="AZ121" i="11"/>
  <c r="AZ125" i="11"/>
  <c r="AZ139" i="11"/>
  <c r="AZ120" i="11"/>
  <c r="AZ140" i="11"/>
  <c r="AZ116" i="11"/>
  <c r="AZ112" i="11"/>
  <c r="AZ126" i="11"/>
  <c r="AZ114" i="11"/>
  <c r="N140" i="11"/>
  <c r="M140" i="11"/>
  <c r="L140" i="11"/>
  <c r="O140" i="11"/>
  <c r="K140" i="11"/>
  <c r="P140" i="11"/>
  <c r="Q140" i="11"/>
  <c r="J140" i="11"/>
  <c r="I140" i="11"/>
  <c r="R140" i="11"/>
  <c r="H140" i="11"/>
  <c r="G140" i="11"/>
  <c r="S140" i="11"/>
  <c r="F140" i="11"/>
  <c r="E140" i="11"/>
  <c r="D140" i="11"/>
  <c r="C140" i="11"/>
  <c r="AZ92" i="11"/>
  <c r="AZ95" i="11"/>
  <c r="AZ90" i="11"/>
  <c r="AZ91" i="11"/>
  <c r="AZ96" i="11"/>
  <c r="AZ98" i="11"/>
  <c r="AZ103" i="11"/>
  <c r="AZ99" i="11"/>
  <c r="AZ94" i="11"/>
  <c r="AZ102" i="11"/>
  <c r="AZ101" i="11"/>
  <c r="AZ104" i="11"/>
  <c r="AZ105" i="11"/>
  <c r="AZ97" i="11"/>
  <c r="AZ100" i="11"/>
  <c r="AZ93" i="11"/>
  <c r="AZ89" i="11"/>
  <c r="B76" i="11"/>
  <c r="BA76" i="11" s="1"/>
  <c r="B141" i="11"/>
  <c r="AZ141" i="11" s="1"/>
  <c r="BA10" i="11"/>
  <c r="BA11" i="11" s="1"/>
  <c r="BB23" i="11"/>
  <c r="BA35" i="11"/>
  <c r="BA88" i="11"/>
  <c r="BA141" i="11" l="1"/>
  <c r="BA107" i="11"/>
  <c r="BA111" i="11"/>
  <c r="BA115" i="11"/>
  <c r="BA122" i="11"/>
  <c r="BA125" i="11"/>
  <c r="BA110" i="11"/>
  <c r="BA108" i="11"/>
  <c r="BA113" i="11"/>
  <c r="BA118" i="11"/>
  <c r="BA106" i="11"/>
  <c r="BA112" i="11"/>
  <c r="BA120" i="11"/>
  <c r="BA124" i="11"/>
  <c r="BA127" i="11"/>
  <c r="BA128" i="11"/>
  <c r="BA109" i="11"/>
  <c r="BA119" i="11"/>
  <c r="BA114" i="11"/>
  <c r="BA126" i="11"/>
  <c r="BA117" i="11"/>
  <c r="BA116" i="11"/>
  <c r="BA123" i="11"/>
  <c r="BA121" i="11"/>
  <c r="BA140" i="11"/>
  <c r="BB62" i="11"/>
  <c r="BB39" i="11"/>
  <c r="BB61" i="11"/>
  <c r="BB58" i="11"/>
  <c r="BB37" i="11"/>
  <c r="BB41" i="11"/>
  <c r="BB36" i="11"/>
  <c r="BB47" i="11"/>
  <c r="BB54" i="11"/>
  <c r="BB59" i="11"/>
  <c r="BB60" i="11"/>
  <c r="BB42" i="11"/>
  <c r="BB44" i="11"/>
  <c r="BB57" i="11"/>
  <c r="BB63" i="11"/>
  <c r="BB45" i="11"/>
  <c r="BB55" i="11"/>
  <c r="BB76" i="11"/>
  <c r="BB48" i="11"/>
  <c r="BB49" i="11"/>
  <c r="BB40" i="11"/>
  <c r="BB64" i="11"/>
  <c r="BB43" i="11"/>
  <c r="BB46" i="11"/>
  <c r="BB52" i="11"/>
  <c r="BB56" i="11"/>
  <c r="BB53" i="11"/>
  <c r="BB38" i="11"/>
  <c r="BB51" i="11"/>
  <c r="BB50" i="11"/>
  <c r="T141" i="11"/>
  <c r="U141" i="11"/>
  <c r="V141" i="11"/>
  <c r="W141" i="11"/>
  <c r="X141" i="11"/>
  <c r="Y141" i="11"/>
  <c r="Z141" i="11"/>
  <c r="AA141" i="11"/>
  <c r="AB141" i="11"/>
  <c r="AC141" i="11"/>
  <c r="AD141" i="11"/>
  <c r="AE141" i="11"/>
  <c r="AF141" i="11"/>
  <c r="AG141" i="11"/>
  <c r="AH141" i="11"/>
  <c r="AI141" i="11"/>
  <c r="AJ141" i="11"/>
  <c r="AK141" i="11"/>
  <c r="AL141" i="11"/>
  <c r="AM141" i="11"/>
  <c r="AN141" i="11"/>
  <c r="AO141" i="11"/>
  <c r="AP141" i="11"/>
  <c r="AQ141" i="11"/>
  <c r="AR141" i="11"/>
  <c r="AS141" i="11"/>
  <c r="AT141" i="11"/>
  <c r="AU141" i="11"/>
  <c r="AV141" i="11"/>
  <c r="AW141" i="11"/>
  <c r="AX141" i="11"/>
  <c r="AY141" i="11"/>
  <c r="O76" i="11"/>
  <c r="P76" i="11"/>
  <c r="Q76" i="11"/>
  <c r="R76" i="11"/>
  <c r="S76" i="11"/>
  <c r="T76" i="11"/>
  <c r="U76" i="11"/>
  <c r="V76" i="11"/>
  <c r="W76" i="11"/>
  <c r="X76" i="11"/>
  <c r="Y76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93" i="11"/>
  <c r="BA92" i="11"/>
  <c r="BA95" i="11"/>
  <c r="BA100" i="11"/>
  <c r="BA99" i="11"/>
  <c r="BA91" i="11"/>
  <c r="BA98" i="11"/>
  <c r="BA103" i="11"/>
  <c r="BA97" i="11"/>
  <c r="BA94" i="11"/>
  <c r="BA96" i="11"/>
  <c r="BA105" i="11"/>
  <c r="BA101" i="11"/>
  <c r="BA104" i="11"/>
  <c r="BA89" i="11"/>
  <c r="BA102" i="11"/>
  <c r="BA90" i="11"/>
  <c r="N141" i="11"/>
  <c r="M141" i="11"/>
  <c r="L141" i="11"/>
  <c r="O141" i="11"/>
  <c r="P141" i="11"/>
  <c r="K141" i="11"/>
  <c r="Q141" i="11"/>
  <c r="J141" i="11"/>
  <c r="H141" i="11"/>
  <c r="I141" i="11"/>
  <c r="R141" i="11"/>
  <c r="G141" i="11"/>
  <c r="S141" i="11"/>
  <c r="F141" i="11"/>
  <c r="E141" i="11"/>
  <c r="D141" i="11"/>
  <c r="C141" i="11"/>
  <c r="B77" i="11"/>
  <c r="BB77" i="11" s="1"/>
  <c r="B142" i="11"/>
  <c r="BA142" i="11" s="1"/>
  <c r="BB10" i="11"/>
  <c r="BB11" i="11" s="1"/>
  <c r="BC23" i="11"/>
  <c r="BB35" i="11"/>
  <c r="BB88" i="11"/>
  <c r="BB141" i="11" l="1"/>
  <c r="BB142" i="11"/>
  <c r="BB119" i="11"/>
  <c r="BB128" i="11"/>
  <c r="BB112" i="11"/>
  <c r="BB117" i="11"/>
  <c r="BB121" i="11"/>
  <c r="BB110" i="11"/>
  <c r="BB115" i="11"/>
  <c r="BB114" i="11"/>
  <c r="BB116" i="11"/>
  <c r="BB126" i="11"/>
  <c r="BB124" i="11"/>
  <c r="BB129" i="11"/>
  <c r="BB106" i="11"/>
  <c r="BB120" i="11"/>
  <c r="BB122" i="11"/>
  <c r="BB127" i="11"/>
  <c r="BB111" i="11"/>
  <c r="BB113" i="11"/>
  <c r="BB118" i="11"/>
  <c r="BB108" i="11"/>
  <c r="BB109" i="11"/>
  <c r="BB107" i="11"/>
  <c r="BB125" i="11"/>
  <c r="BB123" i="11"/>
  <c r="BC63" i="11"/>
  <c r="BC62" i="11"/>
  <c r="BC59" i="11"/>
  <c r="BC77" i="11"/>
  <c r="BC38" i="11"/>
  <c r="BC45" i="11"/>
  <c r="BC56" i="11"/>
  <c r="BC58" i="11"/>
  <c r="BC36" i="11"/>
  <c r="BC47" i="11"/>
  <c r="BC54" i="11"/>
  <c r="BC60" i="11"/>
  <c r="BC61" i="11"/>
  <c r="BC42" i="11"/>
  <c r="BC44" i="11"/>
  <c r="BC64" i="11"/>
  <c r="BC39" i="11"/>
  <c r="BC57" i="11"/>
  <c r="BC41" i="11"/>
  <c r="BC37" i="11"/>
  <c r="BC40" i="11"/>
  <c r="BC65" i="11"/>
  <c r="BC55" i="11"/>
  <c r="BC48" i="11"/>
  <c r="BC50" i="11"/>
  <c r="BC43" i="11"/>
  <c r="BC46" i="11"/>
  <c r="BC52" i="11"/>
  <c r="BC51" i="11"/>
  <c r="BC49" i="11"/>
  <c r="BC53" i="11"/>
  <c r="T142" i="11"/>
  <c r="U142" i="11"/>
  <c r="V142" i="11"/>
  <c r="W142" i="11"/>
  <c r="X142" i="11"/>
  <c r="Y142" i="11"/>
  <c r="Z142" i="11"/>
  <c r="AA142" i="11"/>
  <c r="AB142" i="11"/>
  <c r="AC142" i="11"/>
  <c r="AD142" i="11"/>
  <c r="AE142" i="11"/>
  <c r="AF142" i="11"/>
  <c r="AG142" i="11"/>
  <c r="AH142" i="11"/>
  <c r="AI142" i="11"/>
  <c r="AJ142" i="11"/>
  <c r="AK142" i="11"/>
  <c r="AL142" i="11"/>
  <c r="AM142" i="11"/>
  <c r="AN142" i="11"/>
  <c r="AO142" i="11"/>
  <c r="AP142" i="11"/>
  <c r="AQ142" i="11"/>
  <c r="AR142" i="11"/>
  <c r="AS142" i="11"/>
  <c r="AT142" i="11"/>
  <c r="AU142" i="11"/>
  <c r="AV142" i="11"/>
  <c r="AW142" i="11"/>
  <c r="AX142" i="11"/>
  <c r="AY142" i="11"/>
  <c r="AZ142" i="11"/>
  <c r="O77" i="11"/>
  <c r="P77" i="11"/>
  <c r="Q77" i="11"/>
  <c r="R77" i="11"/>
  <c r="S77" i="11"/>
  <c r="T77" i="11"/>
  <c r="U77" i="11"/>
  <c r="V77" i="11"/>
  <c r="W77" i="11"/>
  <c r="X77" i="11"/>
  <c r="Y77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N142" i="11"/>
  <c r="M142" i="11"/>
  <c r="O142" i="11"/>
  <c r="L142" i="11"/>
  <c r="P142" i="11"/>
  <c r="K142" i="11"/>
  <c r="J142" i="11"/>
  <c r="Q142" i="11"/>
  <c r="I142" i="11"/>
  <c r="R142" i="11"/>
  <c r="H142" i="11"/>
  <c r="S142" i="11"/>
  <c r="G142" i="11"/>
  <c r="F142" i="11"/>
  <c r="E142" i="11"/>
  <c r="D142" i="11"/>
  <c r="C142" i="11"/>
  <c r="BB96" i="11"/>
  <c r="BB93" i="11"/>
  <c r="BB97" i="11"/>
  <c r="BB105" i="11"/>
  <c r="BB95" i="11"/>
  <c r="BB100" i="11"/>
  <c r="BB104" i="11"/>
  <c r="BB99" i="11"/>
  <c r="BB92" i="11"/>
  <c r="BB102" i="11"/>
  <c r="BB89" i="11"/>
  <c r="BB98" i="11"/>
  <c r="BB101" i="11"/>
  <c r="BB90" i="11"/>
  <c r="BB91" i="11"/>
  <c r="BB103" i="11"/>
  <c r="BB94" i="11"/>
  <c r="B78" i="11"/>
  <c r="B143" i="11"/>
  <c r="BB143" i="11" s="1"/>
  <c r="BC10" i="11"/>
  <c r="BC11" i="11" s="1"/>
  <c r="BD23" i="11"/>
  <c r="BC35" i="11"/>
  <c r="BC88" i="11"/>
  <c r="BD64" i="11" l="1"/>
  <c r="BD78" i="11"/>
  <c r="BD36" i="11"/>
  <c r="BD40" i="11"/>
  <c r="BD63" i="11"/>
  <c r="BD60" i="11"/>
  <c r="BD38" i="11"/>
  <c r="BD42" i="11"/>
  <c r="BD50" i="11"/>
  <c r="BD51" i="11"/>
  <c r="BD45" i="11"/>
  <c r="BD56" i="11"/>
  <c r="BD58" i="11"/>
  <c r="BD59" i="11"/>
  <c r="BD47" i="11"/>
  <c r="BD54" i="11"/>
  <c r="BD65" i="11"/>
  <c r="BD53" i="11"/>
  <c r="BD44" i="11"/>
  <c r="BD48" i="11"/>
  <c r="BD49" i="11"/>
  <c r="BD62" i="11"/>
  <c r="BD39" i="11"/>
  <c r="BD57" i="11"/>
  <c r="BD52" i="11"/>
  <c r="BD61" i="11"/>
  <c r="BD55" i="11"/>
  <c r="BD43" i="11"/>
  <c r="BD46" i="11"/>
  <c r="BD41" i="11"/>
  <c r="BD37" i="11"/>
  <c r="BD66" i="11"/>
  <c r="O78" i="11"/>
  <c r="P78" i="11"/>
  <c r="Q78" i="11"/>
  <c r="R78" i="11"/>
  <c r="S78" i="11"/>
  <c r="T78" i="11"/>
  <c r="U78" i="11"/>
  <c r="V78" i="11"/>
  <c r="W78" i="11"/>
  <c r="X78" i="11"/>
  <c r="Y78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BB78" i="11"/>
  <c r="T143" i="11"/>
  <c r="U143" i="11"/>
  <c r="V143" i="11"/>
  <c r="W143" i="11"/>
  <c r="X143" i="11"/>
  <c r="Y143" i="11"/>
  <c r="Z143" i="11"/>
  <c r="AA143" i="11"/>
  <c r="AB143" i="11"/>
  <c r="AC143" i="11"/>
  <c r="AD143" i="11"/>
  <c r="AE143" i="11"/>
  <c r="AF143" i="11"/>
  <c r="AG143" i="11"/>
  <c r="AH143" i="11"/>
  <c r="AI143" i="11"/>
  <c r="AJ143" i="11"/>
  <c r="AK143" i="11"/>
  <c r="AL143" i="11"/>
  <c r="AM143" i="11"/>
  <c r="AN143" i="11"/>
  <c r="AO143" i="11"/>
  <c r="AP143" i="11"/>
  <c r="AQ143" i="11"/>
  <c r="AR143" i="11"/>
  <c r="AS143" i="11"/>
  <c r="AT143" i="11"/>
  <c r="AU143" i="11"/>
  <c r="AV143" i="11"/>
  <c r="AW143" i="11"/>
  <c r="AX143" i="11"/>
  <c r="AY143" i="11"/>
  <c r="AZ143" i="11"/>
  <c r="BA143" i="11"/>
  <c r="BC78" i="11"/>
  <c r="BC130" i="11"/>
  <c r="BC143" i="11"/>
  <c r="BC142" i="11"/>
  <c r="BC108" i="11"/>
  <c r="BC112" i="11"/>
  <c r="BC116" i="11"/>
  <c r="BC121" i="11"/>
  <c r="BC126" i="11"/>
  <c r="BC107" i="11"/>
  <c r="BC120" i="11"/>
  <c r="BC122" i="11"/>
  <c r="BC117" i="11"/>
  <c r="BC110" i="11"/>
  <c r="BC115" i="11"/>
  <c r="BC125" i="11"/>
  <c r="BC127" i="11"/>
  <c r="BC118" i="11"/>
  <c r="BC114" i="11"/>
  <c r="BC128" i="11"/>
  <c r="BC106" i="11"/>
  <c r="BC124" i="11"/>
  <c r="BC119" i="11"/>
  <c r="BC129" i="11"/>
  <c r="BC113" i="11"/>
  <c r="BC111" i="11"/>
  <c r="BC109" i="11"/>
  <c r="BC123" i="11"/>
  <c r="N143" i="11"/>
  <c r="M143" i="11"/>
  <c r="L143" i="11"/>
  <c r="O143" i="11"/>
  <c r="K143" i="11"/>
  <c r="P143" i="11"/>
  <c r="J143" i="11"/>
  <c r="Q143" i="11"/>
  <c r="R143" i="11"/>
  <c r="H143" i="11"/>
  <c r="I143" i="11"/>
  <c r="S143" i="11"/>
  <c r="G143" i="11"/>
  <c r="F143" i="11"/>
  <c r="E143" i="11"/>
  <c r="D143" i="11"/>
  <c r="C143" i="11"/>
  <c r="BC99" i="11"/>
  <c r="BC96" i="11"/>
  <c r="BC90" i="11"/>
  <c r="BC94" i="11"/>
  <c r="BC102" i="11"/>
  <c r="BC105" i="11"/>
  <c r="BC92" i="11"/>
  <c r="BC101" i="11"/>
  <c r="BC93" i="11"/>
  <c r="BC104" i="11"/>
  <c r="BC97" i="11"/>
  <c r="BC103" i="11"/>
  <c r="BC91" i="11"/>
  <c r="BC95" i="11"/>
  <c r="BC89" i="11"/>
  <c r="BC98" i="11"/>
  <c r="BC100" i="11"/>
  <c r="B79" i="11"/>
  <c r="BD79" i="11" s="1"/>
  <c r="B144" i="11"/>
  <c r="BC144" i="11" s="1"/>
  <c r="BD10" i="11"/>
  <c r="BD11" i="11" s="1"/>
  <c r="BE23" i="11"/>
  <c r="BD35" i="11"/>
  <c r="BD88" i="11"/>
  <c r="T144" i="11" l="1"/>
  <c r="U144" i="11"/>
  <c r="V144" i="11"/>
  <c r="W144" i="11"/>
  <c r="X144" i="11"/>
  <c r="Y144" i="11"/>
  <c r="Z144" i="11"/>
  <c r="AA144" i="11"/>
  <c r="AB144" i="11"/>
  <c r="AC144" i="11"/>
  <c r="AD144" i="11"/>
  <c r="AE144" i="11"/>
  <c r="AF144" i="11"/>
  <c r="AG144" i="11"/>
  <c r="AH144" i="11"/>
  <c r="AI144" i="11"/>
  <c r="AJ144" i="11"/>
  <c r="AK144" i="11"/>
  <c r="AL144" i="11"/>
  <c r="AM144" i="11"/>
  <c r="AN144" i="11"/>
  <c r="AO144" i="11"/>
  <c r="AP144" i="11"/>
  <c r="AQ144" i="11"/>
  <c r="AR144" i="11"/>
  <c r="AS144" i="11"/>
  <c r="AT144" i="11"/>
  <c r="AU144" i="11"/>
  <c r="AV144" i="11"/>
  <c r="AW144" i="11"/>
  <c r="AX144" i="11"/>
  <c r="AY144" i="11"/>
  <c r="AZ144" i="11"/>
  <c r="BA144" i="11"/>
  <c r="BB144" i="11"/>
  <c r="BE65" i="11"/>
  <c r="BE64" i="11"/>
  <c r="BE36" i="11"/>
  <c r="BE61" i="11"/>
  <c r="BE39" i="11"/>
  <c r="BE49" i="11"/>
  <c r="BE52" i="11"/>
  <c r="BE58" i="11"/>
  <c r="BE38" i="11"/>
  <c r="BE50" i="11"/>
  <c r="BE51" i="11"/>
  <c r="BE45" i="11"/>
  <c r="BE56" i="11"/>
  <c r="BE66" i="11"/>
  <c r="BE43" i="11"/>
  <c r="BE46" i="11"/>
  <c r="BE54" i="11"/>
  <c r="BE63" i="11"/>
  <c r="BE53" i="11"/>
  <c r="BE60" i="11"/>
  <c r="BE79" i="11"/>
  <c r="BE41" i="11"/>
  <c r="BE48" i="11"/>
  <c r="BE67" i="11"/>
  <c r="BE62" i="11"/>
  <c r="BE42" i="11"/>
  <c r="BE57" i="11"/>
  <c r="BE55" i="11"/>
  <c r="BE59" i="11"/>
  <c r="BE47" i="11"/>
  <c r="BE37" i="11"/>
  <c r="BE44" i="11"/>
  <c r="BE40" i="11"/>
  <c r="O79" i="11"/>
  <c r="P79" i="11"/>
  <c r="Q79" i="11"/>
  <c r="R79" i="11"/>
  <c r="S79" i="11"/>
  <c r="T79" i="11"/>
  <c r="U79" i="11"/>
  <c r="V79" i="11"/>
  <c r="W79" i="11"/>
  <c r="X79" i="11"/>
  <c r="Y79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BB79" i="11"/>
  <c r="BC79" i="11"/>
  <c r="BD130" i="11"/>
  <c r="BD131" i="11"/>
  <c r="BD143" i="11"/>
  <c r="BD144" i="11"/>
  <c r="BD106" i="11"/>
  <c r="BD109" i="11"/>
  <c r="BD114" i="11"/>
  <c r="BD107" i="11"/>
  <c r="BD112" i="11"/>
  <c r="BD117" i="11"/>
  <c r="BD108" i="11"/>
  <c r="BD110" i="11"/>
  <c r="BD116" i="11"/>
  <c r="BD118" i="11"/>
  <c r="BD126" i="11"/>
  <c r="BD120" i="11"/>
  <c r="BD122" i="11"/>
  <c r="BD124" i="11"/>
  <c r="BD127" i="11"/>
  <c r="BD123" i="11"/>
  <c r="BD125" i="11"/>
  <c r="BD115" i="11"/>
  <c r="BD128" i="11"/>
  <c r="BD113" i="11"/>
  <c r="BD121" i="11"/>
  <c r="BD111" i="11"/>
  <c r="BD129" i="11"/>
  <c r="BD119" i="11"/>
  <c r="BD97" i="11"/>
  <c r="BD99" i="11"/>
  <c r="BD94" i="11"/>
  <c r="BD98" i="11"/>
  <c r="BD93" i="11"/>
  <c r="BD90" i="11"/>
  <c r="BD102" i="11"/>
  <c r="BD96" i="11"/>
  <c r="BD104" i="11"/>
  <c r="BD92" i="11"/>
  <c r="BD95" i="11"/>
  <c r="BD103" i="11"/>
  <c r="BD91" i="11"/>
  <c r="BD105" i="11"/>
  <c r="BD100" i="11"/>
  <c r="BD101" i="11"/>
  <c r="BD89" i="11"/>
  <c r="N144" i="11"/>
  <c r="M144" i="11"/>
  <c r="O144" i="11"/>
  <c r="L144" i="11"/>
  <c r="P144" i="11"/>
  <c r="K144" i="11"/>
  <c r="Q144" i="11"/>
  <c r="J144" i="11"/>
  <c r="H144" i="11"/>
  <c r="I144" i="11"/>
  <c r="R144" i="11"/>
  <c r="G144" i="11"/>
  <c r="S144" i="11"/>
  <c r="F144" i="11"/>
  <c r="E144" i="11"/>
  <c r="D144" i="11"/>
  <c r="C144" i="11"/>
  <c r="B80" i="11"/>
  <c r="BE80" i="11" s="1"/>
  <c r="B145" i="11"/>
  <c r="BD145" i="11" s="1"/>
  <c r="BE10" i="11"/>
  <c r="BE11" i="11" s="1"/>
  <c r="BF23" i="11"/>
  <c r="BE35" i="11"/>
  <c r="BE88" i="11"/>
  <c r="BE132" i="11" l="1"/>
  <c r="BE131" i="11"/>
  <c r="BE106" i="11"/>
  <c r="BE109" i="11"/>
  <c r="BE113" i="11"/>
  <c r="BE117" i="11"/>
  <c r="BE119" i="11"/>
  <c r="BE114" i="11"/>
  <c r="BE145" i="11"/>
  <c r="BE107" i="11"/>
  <c r="BE112" i="11"/>
  <c r="BE120" i="11"/>
  <c r="BE121" i="11"/>
  <c r="BE122" i="11"/>
  <c r="BE130" i="11"/>
  <c r="BE123" i="11"/>
  <c r="BE108" i="11"/>
  <c r="BE110" i="11"/>
  <c r="BE116" i="11"/>
  <c r="BE118" i="11"/>
  <c r="BE126" i="11"/>
  <c r="BE144" i="11"/>
  <c r="BE124" i="11"/>
  <c r="BE125" i="11"/>
  <c r="BE127" i="11"/>
  <c r="BE128" i="11"/>
  <c r="BE111" i="11"/>
  <c r="BE129" i="11"/>
  <c r="BE115" i="11"/>
  <c r="O80" i="11"/>
  <c r="P80" i="11"/>
  <c r="Q80" i="11"/>
  <c r="R80" i="11"/>
  <c r="S80" i="11"/>
  <c r="T80" i="11"/>
  <c r="U80" i="11"/>
  <c r="V80" i="11"/>
  <c r="W80" i="11"/>
  <c r="X80" i="11"/>
  <c r="Y80" i="11"/>
  <c r="Z80" i="11"/>
  <c r="AA80" i="11"/>
  <c r="AB80" i="11"/>
  <c r="AC80" i="11"/>
  <c r="AD80" i="11"/>
  <c r="AE80" i="11"/>
  <c r="AF80" i="11"/>
  <c r="AG80" i="11"/>
  <c r="AH80" i="11"/>
  <c r="AI80" i="11"/>
  <c r="AJ80" i="11"/>
  <c r="AK80" i="11"/>
  <c r="AL80" i="11"/>
  <c r="AM80" i="11"/>
  <c r="AN80" i="11"/>
  <c r="AO80" i="11"/>
  <c r="AP80" i="11"/>
  <c r="AQ80" i="11"/>
  <c r="AR80" i="11"/>
  <c r="AS80" i="11"/>
  <c r="AT80" i="11"/>
  <c r="AU80" i="11"/>
  <c r="AV80" i="11"/>
  <c r="AW80" i="11"/>
  <c r="AX80" i="11"/>
  <c r="AY80" i="11"/>
  <c r="AZ80" i="11"/>
  <c r="BA80" i="11"/>
  <c r="BB80" i="11"/>
  <c r="BC80" i="11"/>
  <c r="BD80" i="11"/>
  <c r="BF58" i="11"/>
  <c r="BF66" i="11"/>
  <c r="BF37" i="11"/>
  <c r="BF41" i="11"/>
  <c r="BF65" i="11"/>
  <c r="BF62" i="11"/>
  <c r="BF39" i="11"/>
  <c r="BF46" i="11"/>
  <c r="BF55" i="11"/>
  <c r="BF80" i="11"/>
  <c r="BF49" i="11"/>
  <c r="BF52" i="11"/>
  <c r="BF36" i="11"/>
  <c r="BF38" i="11"/>
  <c r="BF50" i="11"/>
  <c r="BF51" i="11"/>
  <c r="BF67" i="11"/>
  <c r="BF40" i="11"/>
  <c r="BF61" i="11"/>
  <c r="BF43" i="11"/>
  <c r="BF68" i="11"/>
  <c r="BF64" i="11"/>
  <c r="BF45" i="11"/>
  <c r="BF42" i="11"/>
  <c r="BF59" i="11"/>
  <c r="BF47" i="11"/>
  <c r="BF44" i="11"/>
  <c r="BF63" i="11"/>
  <c r="BF53" i="11"/>
  <c r="BF57" i="11"/>
  <c r="BF60" i="11"/>
  <c r="BF54" i="11"/>
  <c r="BF56" i="11"/>
  <c r="BF48" i="11"/>
  <c r="T145" i="11"/>
  <c r="U145" i="11"/>
  <c r="V145" i="11"/>
  <c r="W145" i="11"/>
  <c r="X145" i="11"/>
  <c r="Y145" i="11"/>
  <c r="Z145" i="11"/>
  <c r="AA145" i="11"/>
  <c r="AB145" i="11"/>
  <c r="AC145" i="11"/>
  <c r="AD145" i="11"/>
  <c r="AE145" i="11"/>
  <c r="AF145" i="11"/>
  <c r="AG145" i="11"/>
  <c r="AH145" i="11"/>
  <c r="AI145" i="11"/>
  <c r="AJ145" i="11"/>
  <c r="AK145" i="11"/>
  <c r="AL145" i="11"/>
  <c r="AM145" i="11"/>
  <c r="AN145" i="11"/>
  <c r="AO145" i="11"/>
  <c r="AP145" i="11"/>
  <c r="AQ145" i="11"/>
  <c r="AR145" i="11"/>
  <c r="AS145" i="11"/>
  <c r="AT145" i="11"/>
  <c r="AU145" i="11"/>
  <c r="AV145" i="11"/>
  <c r="AW145" i="11"/>
  <c r="AX145" i="11"/>
  <c r="AY145" i="11"/>
  <c r="AZ145" i="11"/>
  <c r="BA145" i="11"/>
  <c r="BB145" i="11"/>
  <c r="BC145" i="11"/>
  <c r="BE97" i="11"/>
  <c r="BE90" i="11"/>
  <c r="BE91" i="11"/>
  <c r="BE95" i="11"/>
  <c r="BE100" i="11"/>
  <c r="BE104" i="11"/>
  <c r="BE93" i="11"/>
  <c r="BE94" i="11"/>
  <c r="BE103" i="11"/>
  <c r="BE102" i="11"/>
  <c r="BE101" i="11"/>
  <c r="BE105" i="11"/>
  <c r="BE92" i="11"/>
  <c r="BE96" i="11"/>
  <c r="BE99" i="11"/>
  <c r="BE98" i="11"/>
  <c r="BE89" i="11"/>
  <c r="N145" i="11"/>
  <c r="M145" i="11"/>
  <c r="L145" i="11"/>
  <c r="O145" i="11"/>
  <c r="P145" i="11"/>
  <c r="K145" i="11"/>
  <c r="J145" i="11"/>
  <c r="Q145" i="11"/>
  <c r="H145" i="11"/>
  <c r="I145" i="11"/>
  <c r="R145" i="11"/>
  <c r="S145" i="11"/>
  <c r="G145" i="11"/>
  <c r="F145" i="11"/>
  <c r="E145" i="11"/>
  <c r="D145" i="11"/>
  <c r="C145" i="11"/>
  <c r="B81" i="11"/>
  <c r="BF81" i="11" s="1"/>
  <c r="B146" i="11"/>
  <c r="BE146" i="11" s="1"/>
  <c r="BF10" i="11"/>
  <c r="BF11" i="11" s="1"/>
  <c r="BG23" i="11"/>
  <c r="BF35" i="11"/>
  <c r="BF88" i="11"/>
  <c r="BF131" i="11" l="1"/>
  <c r="BF133" i="11"/>
  <c r="BF132" i="11"/>
  <c r="BF120" i="11"/>
  <c r="BF127" i="11"/>
  <c r="BF130" i="11"/>
  <c r="BF111" i="11"/>
  <c r="BF116" i="11"/>
  <c r="BF146" i="11"/>
  <c r="BF106" i="11"/>
  <c r="BF109" i="11"/>
  <c r="BF114" i="11"/>
  <c r="BF123" i="11"/>
  <c r="BF125" i="11"/>
  <c r="BF126" i="11"/>
  <c r="BF112" i="11"/>
  <c r="BF108" i="11"/>
  <c r="BF110" i="11"/>
  <c r="BF118" i="11"/>
  <c r="BF122" i="11"/>
  <c r="BF129" i="11"/>
  <c r="BF128" i="11"/>
  <c r="BF121" i="11"/>
  <c r="BF145" i="11"/>
  <c r="BF117" i="11"/>
  <c r="BF113" i="11"/>
  <c r="BF115" i="11"/>
  <c r="BF107" i="11"/>
  <c r="BF124" i="11"/>
  <c r="BF119" i="11"/>
  <c r="BG59" i="11"/>
  <c r="BG67" i="11"/>
  <c r="BG58" i="11"/>
  <c r="BG66" i="11"/>
  <c r="BG37" i="11"/>
  <c r="BG63" i="11"/>
  <c r="BG81" i="11"/>
  <c r="BG68" i="11"/>
  <c r="BG69" i="11"/>
  <c r="BG40" i="11"/>
  <c r="BG43" i="11"/>
  <c r="BG48" i="11"/>
  <c r="BG53" i="11"/>
  <c r="BG39" i="11"/>
  <c r="BG46" i="11"/>
  <c r="BG55" i="11"/>
  <c r="BG49" i="11"/>
  <c r="BG52" i="11"/>
  <c r="BG44" i="11"/>
  <c r="BG62" i="11"/>
  <c r="BG38" i="11"/>
  <c r="BG61" i="11"/>
  <c r="BG42" i="11"/>
  <c r="BG57" i="11"/>
  <c r="BG51" i="11"/>
  <c r="BG50" i="11"/>
  <c r="BG65" i="11"/>
  <c r="BG60" i="11"/>
  <c r="BG64" i="11"/>
  <c r="BG36" i="11"/>
  <c r="BG45" i="11"/>
  <c r="BG41" i="11"/>
  <c r="BG47" i="11"/>
  <c r="BG54" i="11"/>
  <c r="BG56" i="11"/>
  <c r="T146" i="11"/>
  <c r="U146" i="11"/>
  <c r="V146" i="11"/>
  <c r="W146" i="11"/>
  <c r="X146" i="11"/>
  <c r="Y146" i="11"/>
  <c r="Z146" i="11"/>
  <c r="AA146" i="11"/>
  <c r="AB146" i="11"/>
  <c r="AC146" i="11"/>
  <c r="AD146" i="11"/>
  <c r="AE146" i="11"/>
  <c r="AF146" i="11"/>
  <c r="AG146" i="11"/>
  <c r="AH146" i="11"/>
  <c r="AI146" i="11"/>
  <c r="AJ146" i="11"/>
  <c r="AK146" i="11"/>
  <c r="AL146" i="11"/>
  <c r="AM146" i="11"/>
  <c r="AN146" i="11"/>
  <c r="AO146" i="11"/>
  <c r="AP146" i="11"/>
  <c r="AQ146" i="11"/>
  <c r="AR146" i="11"/>
  <c r="AS146" i="11"/>
  <c r="AT146" i="11"/>
  <c r="AU146" i="11"/>
  <c r="AV146" i="11"/>
  <c r="AW146" i="11"/>
  <c r="AX146" i="11"/>
  <c r="AY146" i="11"/>
  <c r="AZ146" i="11"/>
  <c r="BA146" i="11"/>
  <c r="BB146" i="11"/>
  <c r="BC146" i="11"/>
  <c r="BD146" i="11"/>
  <c r="O81" i="11"/>
  <c r="P81" i="11"/>
  <c r="Q81" i="11"/>
  <c r="R81" i="11"/>
  <c r="S81" i="11"/>
  <c r="T81" i="11"/>
  <c r="U81" i="11"/>
  <c r="V81" i="11"/>
  <c r="W81" i="11"/>
  <c r="X81" i="11"/>
  <c r="Y81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BB81" i="11"/>
  <c r="BC81" i="11"/>
  <c r="BD81" i="11"/>
  <c r="BE81" i="11"/>
  <c r="N146" i="11"/>
  <c r="M146" i="11"/>
  <c r="O146" i="11"/>
  <c r="L146" i="11"/>
  <c r="P146" i="11"/>
  <c r="K146" i="11"/>
  <c r="Q146" i="11"/>
  <c r="J146" i="11"/>
  <c r="H146" i="11"/>
  <c r="I146" i="11"/>
  <c r="R146" i="11"/>
  <c r="G146" i="11"/>
  <c r="S146" i="11"/>
  <c r="F146" i="11"/>
  <c r="E146" i="11"/>
  <c r="D146" i="11"/>
  <c r="C146" i="11"/>
  <c r="BF94" i="11"/>
  <c r="BF98" i="11"/>
  <c r="BF92" i="11"/>
  <c r="BF95" i="11"/>
  <c r="BF100" i="11"/>
  <c r="BF101" i="11"/>
  <c r="BF104" i="11"/>
  <c r="BF91" i="11"/>
  <c r="BF97" i="11"/>
  <c r="BF90" i="11"/>
  <c r="BF99" i="11"/>
  <c r="BF96" i="11"/>
  <c r="BF103" i="11"/>
  <c r="BF105" i="11"/>
  <c r="BF102" i="11"/>
  <c r="BF93" i="11"/>
  <c r="BF89" i="11"/>
  <c r="B82" i="11"/>
  <c r="BG82" i="11" s="1"/>
  <c r="B147" i="11"/>
  <c r="BG10" i="11"/>
  <c r="BG11" i="11" s="1"/>
  <c r="BH23" i="11"/>
  <c r="BG35" i="11"/>
  <c r="BG88" i="11"/>
  <c r="BH60" i="11" l="1"/>
  <c r="BH68" i="11"/>
  <c r="BH38" i="11"/>
  <c r="BH42" i="11"/>
  <c r="BH59" i="11"/>
  <c r="BH67" i="11"/>
  <c r="BH64" i="11"/>
  <c r="BH36" i="11"/>
  <c r="BH40" i="11"/>
  <c r="BH57" i="11"/>
  <c r="BH69" i="11"/>
  <c r="BH70" i="11"/>
  <c r="BH82" i="11"/>
  <c r="BH43" i="11"/>
  <c r="BH48" i="11"/>
  <c r="BH53" i="11"/>
  <c r="BH39" i="11"/>
  <c r="BH46" i="11"/>
  <c r="BH55" i="11"/>
  <c r="BH58" i="11"/>
  <c r="BH54" i="11"/>
  <c r="BH56" i="11"/>
  <c r="BH62" i="11"/>
  <c r="BH52" i="11"/>
  <c r="BH41" i="11"/>
  <c r="BH66" i="11"/>
  <c r="BH44" i="11"/>
  <c r="BH63" i="11"/>
  <c r="BH45" i="11"/>
  <c r="BH51" i="11"/>
  <c r="BH37" i="11"/>
  <c r="BH65" i="11"/>
  <c r="BH61" i="11"/>
  <c r="BH50" i="11"/>
  <c r="BH49" i="11"/>
  <c r="BH47" i="11"/>
  <c r="T147" i="11"/>
  <c r="U147" i="11"/>
  <c r="V147" i="11"/>
  <c r="W147" i="11"/>
  <c r="X147" i="11"/>
  <c r="Y147" i="11"/>
  <c r="Z147" i="11"/>
  <c r="AA147" i="11"/>
  <c r="AB147" i="11"/>
  <c r="AC147" i="11"/>
  <c r="AD147" i="11"/>
  <c r="AE147" i="11"/>
  <c r="AF147" i="11"/>
  <c r="AG147" i="11"/>
  <c r="AH147" i="11"/>
  <c r="AI147" i="11"/>
  <c r="AJ147" i="11"/>
  <c r="AK147" i="11"/>
  <c r="AL147" i="11"/>
  <c r="AM147" i="11"/>
  <c r="AN147" i="11"/>
  <c r="AO147" i="11"/>
  <c r="AP147" i="11"/>
  <c r="AQ147" i="11"/>
  <c r="AR147" i="11"/>
  <c r="AS147" i="11"/>
  <c r="AT147" i="11"/>
  <c r="AU147" i="11"/>
  <c r="AV147" i="11"/>
  <c r="AW147" i="11"/>
  <c r="AX147" i="11"/>
  <c r="AY147" i="11"/>
  <c r="AZ147" i="11"/>
  <c r="BA147" i="11"/>
  <c r="BB147" i="11"/>
  <c r="BC147" i="11"/>
  <c r="BD147" i="11"/>
  <c r="BE147" i="11"/>
  <c r="BF147" i="11"/>
  <c r="O82" i="11"/>
  <c r="P82" i="11"/>
  <c r="Q82" i="11"/>
  <c r="R82" i="11"/>
  <c r="S82" i="11"/>
  <c r="T82" i="11"/>
  <c r="U82" i="11"/>
  <c r="V82" i="11"/>
  <c r="W82" i="11"/>
  <c r="X82" i="11"/>
  <c r="Y82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BB82" i="11"/>
  <c r="BC82" i="11"/>
  <c r="BD82" i="11"/>
  <c r="BE82" i="11"/>
  <c r="BF82" i="11"/>
  <c r="BG131" i="11"/>
  <c r="BG130" i="11"/>
  <c r="BG146" i="11"/>
  <c r="BG106" i="11"/>
  <c r="BG110" i="11"/>
  <c r="BG114" i="11"/>
  <c r="BG118" i="11"/>
  <c r="BG129" i="11"/>
  <c r="BG132" i="11"/>
  <c r="BG133" i="11"/>
  <c r="BG134" i="11"/>
  <c r="BG111" i="11"/>
  <c r="BG116" i="11"/>
  <c r="BG147" i="11"/>
  <c r="BG109" i="11"/>
  <c r="BG119" i="11"/>
  <c r="BG126" i="11"/>
  <c r="BG121" i="11"/>
  <c r="BG123" i="11"/>
  <c r="BG125" i="11"/>
  <c r="BG112" i="11"/>
  <c r="BG108" i="11"/>
  <c r="BG120" i="11"/>
  <c r="BG115" i="11"/>
  <c r="BG117" i="11"/>
  <c r="BG113" i="11"/>
  <c r="BG122" i="11"/>
  <c r="BG128" i="11"/>
  <c r="BG127" i="11"/>
  <c r="BG107" i="11"/>
  <c r="BG124" i="11"/>
  <c r="BG90" i="11"/>
  <c r="BG91" i="11"/>
  <c r="BG94" i="11"/>
  <c r="BG98" i="11"/>
  <c r="BG93" i="11"/>
  <c r="BG92" i="11"/>
  <c r="BG96" i="11"/>
  <c r="BG95" i="11"/>
  <c r="BG100" i="11"/>
  <c r="BG101" i="11"/>
  <c r="BG99" i="11"/>
  <c r="BG105" i="11"/>
  <c r="BG102" i="11"/>
  <c r="BG104" i="11"/>
  <c r="BG97" i="11"/>
  <c r="BG103" i="11"/>
  <c r="BG89" i="11"/>
  <c r="N147" i="11"/>
  <c r="M147" i="11"/>
  <c r="L147" i="11"/>
  <c r="O147" i="11"/>
  <c r="K147" i="11"/>
  <c r="P147" i="11"/>
  <c r="J147" i="11"/>
  <c r="Q147" i="11"/>
  <c r="H147" i="11"/>
  <c r="R147" i="11"/>
  <c r="I147" i="11"/>
  <c r="S147" i="11"/>
  <c r="G147" i="11"/>
  <c r="F147" i="11"/>
  <c r="E147" i="11"/>
  <c r="D147" i="11"/>
  <c r="C147" i="11"/>
  <c r="B83" i="11"/>
  <c r="B148" i="11"/>
  <c r="BG148" i="11" s="1"/>
  <c r="BH10" i="11"/>
  <c r="BH11" i="11" s="1"/>
  <c r="BI23" i="11"/>
  <c r="BH35" i="11"/>
  <c r="BH88" i="11"/>
  <c r="O83" i="11" l="1"/>
  <c r="P83" i="11"/>
  <c r="Q83" i="11"/>
  <c r="R83" i="11"/>
  <c r="S83" i="11"/>
  <c r="T83" i="11"/>
  <c r="U83" i="11"/>
  <c r="V83" i="11"/>
  <c r="W83" i="11"/>
  <c r="X83" i="11"/>
  <c r="Y83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BB83" i="11"/>
  <c r="BC83" i="11"/>
  <c r="BD83" i="11"/>
  <c r="BE83" i="11"/>
  <c r="BF83" i="11"/>
  <c r="BG83" i="11"/>
  <c r="BH130" i="11"/>
  <c r="BH132" i="11"/>
  <c r="BH131" i="11"/>
  <c r="BH133" i="11"/>
  <c r="BH147" i="11"/>
  <c r="BH148" i="11"/>
  <c r="BH123" i="11"/>
  <c r="BH124" i="11"/>
  <c r="BH108" i="11"/>
  <c r="BH113" i="11"/>
  <c r="BH118" i="11"/>
  <c r="BH134" i="11"/>
  <c r="BH106" i="11"/>
  <c r="BH111" i="11"/>
  <c r="BH116" i="11"/>
  <c r="BH129" i="11"/>
  <c r="BH115" i="11"/>
  <c r="BH128" i="11"/>
  <c r="BH110" i="11"/>
  <c r="BH135" i="11"/>
  <c r="BH121" i="11"/>
  <c r="BH114" i="11"/>
  <c r="BH125" i="11"/>
  <c r="BH112" i="11"/>
  <c r="BH107" i="11"/>
  <c r="BH119" i="11"/>
  <c r="BH126" i="11"/>
  <c r="BH109" i="11"/>
  <c r="BH120" i="11"/>
  <c r="BH122" i="11"/>
  <c r="BH117" i="11"/>
  <c r="BH127" i="11"/>
  <c r="T148" i="11"/>
  <c r="U148" i="11"/>
  <c r="V148" i="11"/>
  <c r="W148" i="11"/>
  <c r="X148" i="11"/>
  <c r="Y148" i="11"/>
  <c r="Z148" i="11"/>
  <c r="AA148" i="11"/>
  <c r="AB148" i="11"/>
  <c r="AC148" i="11"/>
  <c r="AD148" i="11"/>
  <c r="AE148" i="11"/>
  <c r="AF148" i="11"/>
  <c r="AG148" i="11"/>
  <c r="AH148" i="11"/>
  <c r="AI148" i="11"/>
  <c r="AJ148" i="11"/>
  <c r="AK148" i="11"/>
  <c r="AL148" i="11"/>
  <c r="AM148" i="11"/>
  <c r="AN148" i="11"/>
  <c r="AO148" i="11"/>
  <c r="AP148" i="11"/>
  <c r="AQ148" i="11"/>
  <c r="AR148" i="11"/>
  <c r="AS148" i="11"/>
  <c r="AT148" i="11"/>
  <c r="AU148" i="11"/>
  <c r="AV148" i="11"/>
  <c r="AW148" i="11"/>
  <c r="AX148" i="11"/>
  <c r="AY148" i="11"/>
  <c r="AZ148" i="11"/>
  <c r="BA148" i="11"/>
  <c r="BB148" i="11"/>
  <c r="BC148" i="11"/>
  <c r="BD148" i="11"/>
  <c r="BE148" i="11"/>
  <c r="BF148" i="11"/>
  <c r="BH83" i="11"/>
  <c r="BI61" i="11"/>
  <c r="BI69" i="11"/>
  <c r="BI60" i="11"/>
  <c r="BI68" i="11"/>
  <c r="BI83" i="11"/>
  <c r="BI65" i="11"/>
  <c r="BI66" i="11"/>
  <c r="BI67" i="11"/>
  <c r="BI41" i="11"/>
  <c r="BI44" i="11"/>
  <c r="BI40" i="11"/>
  <c r="BI57" i="11"/>
  <c r="BI70" i="11"/>
  <c r="BI71" i="11"/>
  <c r="BI43" i="11"/>
  <c r="BI48" i="11"/>
  <c r="BI53" i="11"/>
  <c r="BI37" i="11"/>
  <c r="BI47" i="11"/>
  <c r="BI49" i="11"/>
  <c r="BI50" i="11"/>
  <c r="BI36" i="11"/>
  <c r="BI38" i="11"/>
  <c r="BI45" i="11"/>
  <c r="BI55" i="11"/>
  <c r="BI62" i="11"/>
  <c r="BI52" i="11"/>
  <c r="BI58" i="11"/>
  <c r="BI54" i="11"/>
  <c r="BI56" i="11"/>
  <c r="BI59" i="11"/>
  <c r="BI39" i="11"/>
  <c r="BI64" i="11"/>
  <c r="BI63" i="11"/>
  <c r="BI42" i="11"/>
  <c r="BI46" i="11"/>
  <c r="BI51" i="11"/>
  <c r="N148" i="11"/>
  <c r="M148" i="11"/>
  <c r="O148" i="11"/>
  <c r="L148" i="11"/>
  <c r="P148" i="11"/>
  <c r="K148" i="11"/>
  <c r="Q148" i="11"/>
  <c r="J148" i="11"/>
  <c r="H148" i="11"/>
  <c r="I148" i="11"/>
  <c r="R148" i="11"/>
  <c r="S148" i="11"/>
  <c r="G148" i="11"/>
  <c r="F148" i="11"/>
  <c r="E148" i="11"/>
  <c r="D148" i="11"/>
  <c r="C148" i="11"/>
  <c r="BH92" i="11"/>
  <c r="BH95" i="11"/>
  <c r="BH90" i="11"/>
  <c r="BH91" i="11"/>
  <c r="BH96" i="11"/>
  <c r="BH103" i="11"/>
  <c r="BH98" i="11"/>
  <c r="BH102" i="11"/>
  <c r="BH93" i="11"/>
  <c r="BH100" i="11"/>
  <c r="BH105" i="11"/>
  <c r="BH104" i="11"/>
  <c r="BH99" i="11"/>
  <c r="BH89" i="11"/>
  <c r="BH97" i="11"/>
  <c r="BH94" i="11"/>
  <c r="BH101" i="11"/>
  <c r="B84" i="11"/>
  <c r="BI84" i="11" s="1"/>
  <c r="B149" i="11"/>
  <c r="BH149" i="11" s="1"/>
  <c r="BI10" i="11"/>
  <c r="BI11" i="11" s="1"/>
  <c r="BJ23" i="11"/>
  <c r="BI35" i="11"/>
  <c r="BI88" i="11"/>
  <c r="BJ62" i="11" l="1"/>
  <c r="BJ70" i="11"/>
  <c r="BJ39" i="11"/>
  <c r="BJ61" i="11"/>
  <c r="BJ69" i="11"/>
  <c r="BJ84" i="11"/>
  <c r="BJ58" i="11"/>
  <c r="BJ66" i="11"/>
  <c r="BJ37" i="11"/>
  <c r="BJ41" i="11"/>
  <c r="BJ63" i="11"/>
  <c r="BJ64" i="11"/>
  <c r="BJ65" i="11"/>
  <c r="BJ47" i="11"/>
  <c r="BJ54" i="11"/>
  <c r="BJ67" i="11"/>
  <c r="BJ68" i="11"/>
  <c r="BJ44" i="11"/>
  <c r="BJ40" i="11"/>
  <c r="BJ57" i="11"/>
  <c r="BJ48" i="11"/>
  <c r="BJ51" i="11"/>
  <c r="BJ53" i="11"/>
  <c r="BJ38" i="11"/>
  <c r="BJ45" i="11"/>
  <c r="BJ55" i="11"/>
  <c r="BJ43" i="11"/>
  <c r="BJ59" i="11"/>
  <c r="BJ49" i="11"/>
  <c r="BJ50" i="11"/>
  <c r="BJ72" i="11"/>
  <c r="BJ71" i="11"/>
  <c r="BJ42" i="11"/>
  <c r="BJ46" i="11"/>
  <c r="BJ56" i="11"/>
  <c r="BJ36" i="11"/>
  <c r="BJ60" i="11"/>
  <c r="BJ52" i="11"/>
  <c r="BI130" i="11"/>
  <c r="BI134" i="11"/>
  <c r="BI132" i="11"/>
  <c r="BI133" i="11"/>
  <c r="BI148" i="11"/>
  <c r="BI107" i="11"/>
  <c r="BI111" i="11"/>
  <c r="BI115" i="11"/>
  <c r="BI122" i="11"/>
  <c r="BI125" i="11"/>
  <c r="BI131" i="11"/>
  <c r="BI108" i="11"/>
  <c r="BI113" i="11"/>
  <c r="BI118" i="11"/>
  <c r="BI124" i="11"/>
  <c r="BI128" i="11"/>
  <c r="BI117" i="11"/>
  <c r="BI119" i="11"/>
  <c r="BI129" i="11"/>
  <c r="BI136" i="11"/>
  <c r="BI135" i="11"/>
  <c r="BI121" i="11"/>
  <c r="BI123" i="11"/>
  <c r="BI106" i="11"/>
  <c r="BI114" i="11"/>
  <c r="BI116" i="11"/>
  <c r="BI127" i="11"/>
  <c r="BI109" i="11"/>
  <c r="BI112" i="11"/>
  <c r="BI110" i="11"/>
  <c r="BI149" i="11"/>
  <c r="BI126" i="11"/>
  <c r="BI120" i="11"/>
  <c r="T149" i="11"/>
  <c r="U149" i="11"/>
  <c r="V149" i="11"/>
  <c r="W149" i="11"/>
  <c r="X149" i="11"/>
  <c r="Y149" i="11"/>
  <c r="Z149" i="11"/>
  <c r="AA149" i="11"/>
  <c r="AB149" i="11"/>
  <c r="AC149" i="11"/>
  <c r="AD149" i="11"/>
  <c r="AE149" i="11"/>
  <c r="AF149" i="11"/>
  <c r="AG149" i="11"/>
  <c r="AH149" i="11"/>
  <c r="AI149" i="11"/>
  <c r="AJ149" i="11"/>
  <c r="AK149" i="11"/>
  <c r="AL149" i="11"/>
  <c r="AM149" i="11"/>
  <c r="AN149" i="11"/>
  <c r="AO149" i="11"/>
  <c r="AP149" i="11"/>
  <c r="AQ149" i="11"/>
  <c r="AR149" i="11"/>
  <c r="AS149" i="11"/>
  <c r="AT149" i="11"/>
  <c r="AU149" i="11"/>
  <c r="AV149" i="11"/>
  <c r="AW149" i="11"/>
  <c r="AX149" i="11"/>
  <c r="AY149" i="11"/>
  <c r="AZ149" i="11"/>
  <c r="BA149" i="11"/>
  <c r="BB149" i="11"/>
  <c r="BC149" i="11"/>
  <c r="BD149" i="11"/>
  <c r="BE149" i="11"/>
  <c r="BF149" i="11"/>
  <c r="BG149" i="11"/>
  <c r="O84" i="11"/>
  <c r="P84" i="11"/>
  <c r="Q84" i="11"/>
  <c r="R84" i="11"/>
  <c r="S84" i="11"/>
  <c r="T84" i="11"/>
  <c r="U84" i="11"/>
  <c r="V84" i="11"/>
  <c r="W84" i="11"/>
  <c r="X84" i="11"/>
  <c r="Y84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BB84" i="11"/>
  <c r="BC84" i="11"/>
  <c r="BD84" i="11"/>
  <c r="BE84" i="11"/>
  <c r="BF84" i="11"/>
  <c r="BG84" i="11"/>
  <c r="BH84" i="11"/>
  <c r="N149" i="11"/>
  <c r="M149" i="11"/>
  <c r="L149" i="11"/>
  <c r="O149" i="11"/>
  <c r="P149" i="11"/>
  <c r="K149" i="11"/>
  <c r="Q149" i="11"/>
  <c r="J149" i="11"/>
  <c r="I149" i="11"/>
  <c r="R149" i="11"/>
  <c r="H149" i="11"/>
  <c r="G149" i="11"/>
  <c r="S149" i="11"/>
  <c r="F149" i="11"/>
  <c r="E149" i="11"/>
  <c r="D149" i="11"/>
  <c r="C149" i="11"/>
  <c r="BI93" i="11"/>
  <c r="BI92" i="11"/>
  <c r="BI95" i="11"/>
  <c r="BI100" i="11"/>
  <c r="BI99" i="11"/>
  <c r="BI97" i="11"/>
  <c r="BI96" i="11"/>
  <c r="BI103" i="11"/>
  <c r="BI101" i="11"/>
  <c r="BI105" i="11"/>
  <c r="BI91" i="11"/>
  <c r="BI98" i="11"/>
  <c r="BI102" i="11"/>
  <c r="BI94" i="11"/>
  <c r="BI104" i="11"/>
  <c r="BI90" i="11"/>
  <c r="BI89" i="11"/>
  <c r="B85" i="11"/>
  <c r="BJ85" i="11" s="1"/>
  <c r="B150" i="11"/>
  <c r="BI150" i="11" s="1"/>
  <c r="BJ10" i="11"/>
  <c r="BJ11" i="11" s="1"/>
  <c r="BK23" i="11"/>
  <c r="BJ35" i="11"/>
  <c r="BJ88" i="11"/>
  <c r="BK63" i="11" l="1"/>
  <c r="BK71" i="11"/>
  <c r="BK62" i="11"/>
  <c r="BK70" i="11"/>
  <c r="BK59" i="11"/>
  <c r="BK67" i="11"/>
  <c r="BK37" i="11"/>
  <c r="BK42" i="11"/>
  <c r="BK45" i="11"/>
  <c r="BK56" i="11"/>
  <c r="BK54" i="11"/>
  <c r="BK64" i="11"/>
  <c r="BK65" i="11"/>
  <c r="BK66" i="11"/>
  <c r="BK41" i="11"/>
  <c r="BK47" i="11"/>
  <c r="BK68" i="11"/>
  <c r="BK69" i="11"/>
  <c r="BK44" i="11"/>
  <c r="BK85" i="11"/>
  <c r="BK39" i="11"/>
  <c r="BK73" i="11"/>
  <c r="BK72" i="11"/>
  <c r="BK36" i="11"/>
  <c r="BK57" i="11"/>
  <c r="BK61" i="11"/>
  <c r="BK40" i="11"/>
  <c r="BK48" i="11"/>
  <c r="BK51" i="11"/>
  <c r="BK53" i="11"/>
  <c r="BK38" i="11"/>
  <c r="BK55" i="11"/>
  <c r="BK60" i="11"/>
  <c r="BK58" i="11"/>
  <c r="BK49" i="11"/>
  <c r="BK50" i="11"/>
  <c r="BK43" i="11"/>
  <c r="BK46" i="11"/>
  <c r="BK52" i="11"/>
  <c r="BJ133" i="11"/>
  <c r="BJ131" i="11"/>
  <c r="BJ135" i="11"/>
  <c r="BJ136" i="11"/>
  <c r="BJ132" i="11"/>
  <c r="BJ137" i="11"/>
  <c r="BJ150" i="11"/>
  <c r="BJ130" i="11"/>
  <c r="BJ119" i="11"/>
  <c r="BJ128" i="11"/>
  <c r="BJ110" i="11"/>
  <c r="BJ115" i="11"/>
  <c r="BJ108" i="11"/>
  <c r="BJ113" i="11"/>
  <c r="BJ118" i="11"/>
  <c r="BJ107" i="11"/>
  <c r="BJ109" i="11"/>
  <c r="BJ127" i="11"/>
  <c r="BJ123" i="11"/>
  <c r="BJ117" i="11"/>
  <c r="BJ129" i="11"/>
  <c r="BJ134" i="11"/>
  <c r="BJ121" i="11"/>
  <c r="BJ125" i="11"/>
  <c r="BJ111" i="11"/>
  <c r="BJ124" i="11"/>
  <c r="BJ149" i="11"/>
  <c r="BJ122" i="11"/>
  <c r="BJ106" i="11"/>
  <c r="BJ114" i="11"/>
  <c r="BJ116" i="11"/>
  <c r="BJ126" i="11"/>
  <c r="BJ120" i="11"/>
  <c r="BJ112" i="11"/>
  <c r="T150" i="11"/>
  <c r="U150" i="11"/>
  <c r="V150" i="11"/>
  <c r="W150" i="11"/>
  <c r="X150" i="11"/>
  <c r="Y150" i="11"/>
  <c r="Z150" i="11"/>
  <c r="AA150" i="11"/>
  <c r="AB150" i="11"/>
  <c r="AC150" i="11"/>
  <c r="AD150" i="11"/>
  <c r="AE150" i="11"/>
  <c r="AF150" i="11"/>
  <c r="AG150" i="11"/>
  <c r="AH150" i="11"/>
  <c r="AI150" i="11"/>
  <c r="AJ150" i="11"/>
  <c r="AK150" i="11"/>
  <c r="AL150" i="11"/>
  <c r="AM150" i="11"/>
  <c r="AN150" i="11"/>
  <c r="AO150" i="11"/>
  <c r="AP150" i="11"/>
  <c r="AQ150" i="11"/>
  <c r="AR150" i="11"/>
  <c r="AS150" i="11"/>
  <c r="AT150" i="11"/>
  <c r="AU150" i="11"/>
  <c r="AV150" i="11"/>
  <c r="AW150" i="11"/>
  <c r="AX150" i="11"/>
  <c r="AY150" i="11"/>
  <c r="AZ150" i="11"/>
  <c r="BA150" i="11"/>
  <c r="BB150" i="11"/>
  <c r="BC150" i="11"/>
  <c r="BD150" i="11"/>
  <c r="BE150" i="11"/>
  <c r="BF150" i="11"/>
  <c r="BG150" i="11"/>
  <c r="BH150" i="11"/>
  <c r="O85" i="11"/>
  <c r="O15" i="11" s="1"/>
  <c r="P85" i="11"/>
  <c r="Q85" i="11"/>
  <c r="R85" i="11"/>
  <c r="S85" i="11"/>
  <c r="T85" i="11"/>
  <c r="U85" i="11"/>
  <c r="V85" i="11"/>
  <c r="W85" i="11"/>
  <c r="X85" i="11"/>
  <c r="Y85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BB85" i="11"/>
  <c r="BC85" i="11"/>
  <c r="BD85" i="11"/>
  <c r="BE85" i="11"/>
  <c r="BF85" i="11"/>
  <c r="BG85" i="11"/>
  <c r="BH85" i="11"/>
  <c r="BI85" i="11"/>
  <c r="BJ96" i="11"/>
  <c r="BJ93" i="11"/>
  <c r="BJ97" i="11"/>
  <c r="BJ105" i="11"/>
  <c r="BJ92" i="11"/>
  <c r="BJ104" i="11"/>
  <c r="BJ91" i="11"/>
  <c r="BJ98" i="11"/>
  <c r="BJ90" i="11"/>
  <c r="BJ100" i="11"/>
  <c r="BJ103" i="11"/>
  <c r="BJ101" i="11"/>
  <c r="BJ95" i="11"/>
  <c r="BJ89" i="11"/>
  <c r="BJ102" i="11"/>
  <c r="BJ99" i="11"/>
  <c r="BJ94" i="11"/>
  <c r="N150" i="11"/>
  <c r="M150" i="11"/>
  <c r="O150" i="11"/>
  <c r="L150" i="11"/>
  <c r="P150" i="11"/>
  <c r="K150" i="11"/>
  <c r="Q150" i="11"/>
  <c r="J150" i="11"/>
  <c r="R150" i="11"/>
  <c r="I150" i="11"/>
  <c r="H150" i="11"/>
  <c r="G150" i="11"/>
  <c r="S150" i="11"/>
  <c r="F150" i="11"/>
  <c r="E150" i="11"/>
  <c r="D150" i="11"/>
  <c r="C150" i="11"/>
  <c r="BK10" i="11"/>
  <c r="BK11" i="11" s="1"/>
  <c r="BL23" i="11"/>
  <c r="BK35" i="11"/>
  <c r="BK88" i="11"/>
  <c r="BK133" i="11" l="1"/>
  <c r="BK137" i="11"/>
  <c r="BK136" i="11"/>
  <c r="BK132" i="11"/>
  <c r="BK134" i="11"/>
  <c r="BK135" i="11"/>
  <c r="BK138" i="11"/>
  <c r="BK130" i="11"/>
  <c r="BK108" i="11"/>
  <c r="BK112" i="11"/>
  <c r="BK116" i="11"/>
  <c r="BK121" i="11"/>
  <c r="BK126" i="11"/>
  <c r="BK117" i="11"/>
  <c r="BK131" i="11"/>
  <c r="BK110" i="11"/>
  <c r="BK115" i="11"/>
  <c r="BK111" i="11"/>
  <c r="BK113" i="11"/>
  <c r="BK124" i="11"/>
  <c r="BK107" i="11"/>
  <c r="BK109" i="11"/>
  <c r="BK119" i="11"/>
  <c r="BK127" i="11"/>
  <c r="BK128" i="11"/>
  <c r="BK129" i="11"/>
  <c r="BK150" i="11"/>
  <c r="BK120" i="11"/>
  <c r="BK123" i="11"/>
  <c r="BK118" i="11"/>
  <c r="BK106" i="11"/>
  <c r="BK114" i="11"/>
  <c r="BK122" i="11"/>
  <c r="BK125" i="11"/>
  <c r="BL64" i="11"/>
  <c r="BL72" i="11"/>
  <c r="BL36" i="11"/>
  <c r="BL40" i="11"/>
  <c r="BL63" i="11"/>
  <c r="BL71" i="11"/>
  <c r="BL60" i="11"/>
  <c r="BL68" i="11"/>
  <c r="BL38" i="11"/>
  <c r="BL42" i="11"/>
  <c r="BL61" i="11"/>
  <c r="BL62" i="11"/>
  <c r="BL50" i="11"/>
  <c r="BL51" i="11"/>
  <c r="BL37" i="11"/>
  <c r="BL45" i="11"/>
  <c r="BL56" i="11"/>
  <c r="BL65" i="11"/>
  <c r="BL66" i="11"/>
  <c r="BL67" i="11"/>
  <c r="BL41" i="11"/>
  <c r="BL47" i="11"/>
  <c r="BL54" i="11"/>
  <c r="BL59" i="11"/>
  <c r="BL43" i="11"/>
  <c r="BL46" i="11"/>
  <c r="BL52" i="11"/>
  <c r="BL39" i="11"/>
  <c r="BL73" i="11"/>
  <c r="BL69" i="11"/>
  <c r="BL74" i="11"/>
  <c r="BL53" i="11"/>
  <c r="BL44" i="11"/>
  <c r="BL48" i="11"/>
  <c r="BL58" i="11"/>
  <c r="BL49" i="11"/>
  <c r="BL70" i="11"/>
  <c r="BL57" i="11"/>
  <c r="BL55" i="11"/>
  <c r="BK99" i="11"/>
  <c r="BK96" i="11"/>
  <c r="BK91" i="11"/>
  <c r="BK98" i="11"/>
  <c r="BK102" i="11"/>
  <c r="BK97" i="11"/>
  <c r="BK105" i="11"/>
  <c r="BK90" i="11"/>
  <c r="BK94" i="11"/>
  <c r="BK101" i="11"/>
  <c r="BK103" i="11"/>
  <c r="BK100" i="11"/>
  <c r="BK95" i="11"/>
  <c r="BK104" i="11"/>
  <c r="BK93" i="11"/>
  <c r="BK92" i="11"/>
  <c r="BK89" i="11"/>
  <c r="BL10" i="11"/>
  <c r="BL11" i="11" s="1"/>
  <c r="BL35" i="11"/>
  <c r="BL88" i="11"/>
  <c r="BL132" i="11" l="1"/>
  <c r="BL130" i="11"/>
  <c r="BL134" i="11"/>
  <c r="BL138" i="11"/>
  <c r="BL135" i="11"/>
  <c r="BL136" i="11"/>
  <c r="BL133" i="11"/>
  <c r="BL139" i="11"/>
  <c r="BL107" i="11"/>
  <c r="BL112" i="11"/>
  <c r="BL120" i="11"/>
  <c r="BL121" i="11"/>
  <c r="BL137" i="11"/>
  <c r="BL117" i="11"/>
  <c r="BL131" i="11"/>
  <c r="BL110" i="11"/>
  <c r="BL115" i="11"/>
  <c r="BL125" i="11"/>
  <c r="BL127" i="11"/>
  <c r="BL122" i="11"/>
  <c r="BL111" i="11"/>
  <c r="BL113" i="11"/>
  <c r="BL124" i="11"/>
  <c r="BL109" i="11"/>
  <c r="BL119" i="11"/>
  <c r="BL128" i="11"/>
  <c r="BL129" i="11"/>
  <c r="BL106" i="11"/>
  <c r="BL114" i="11"/>
  <c r="BL126" i="11"/>
  <c r="BL118" i="11"/>
  <c r="BL123" i="11"/>
  <c r="BL108" i="11"/>
  <c r="BL116" i="11"/>
  <c r="BL97" i="11"/>
  <c r="BL99" i="11"/>
  <c r="BL94" i="11"/>
  <c r="BL98" i="11"/>
  <c r="BL91" i="11"/>
  <c r="BL102" i="11"/>
  <c r="BL93" i="11"/>
  <c r="BL100" i="11"/>
  <c r="BL95" i="11"/>
  <c r="BL101" i="11"/>
  <c r="BL103" i="11"/>
  <c r="BL104" i="11"/>
  <c r="BL96" i="11"/>
  <c r="BL105" i="11"/>
  <c r="BL92" i="11"/>
  <c r="BL89" i="11"/>
  <c r="BL90" i="11"/>
  <c r="E60" i="1"/>
  <c r="F60" i="1"/>
  <c r="G60" i="1"/>
  <c r="H60" i="1"/>
  <c r="D60" i="1"/>
  <c r="F53" i="3" l="1"/>
  <c r="G53" i="3" s="1"/>
  <c r="H53" i="3" s="1"/>
  <c r="I53" i="3" s="1"/>
  <c r="F49" i="3"/>
  <c r="G49" i="3" s="1"/>
  <c r="H49" i="3" s="1"/>
  <c r="I49" i="3" s="1"/>
  <c r="F48" i="3"/>
  <c r="G48" i="3" s="1"/>
  <c r="H48" i="3" s="1"/>
  <c r="F39" i="3"/>
  <c r="G39" i="3" s="1"/>
  <c r="H39" i="3" s="1"/>
  <c r="I39" i="3" s="1"/>
  <c r="F37" i="3"/>
  <c r="F43" i="3"/>
  <c r="F41" i="3" s="1"/>
  <c r="E42" i="9" s="1"/>
  <c r="V1230" i="12" s="1"/>
  <c r="F29" i="3"/>
  <c r="F27" i="3" s="1"/>
  <c r="E36" i="9" s="1"/>
  <c r="V1469" i="12" s="1"/>
  <c r="F20" i="3"/>
  <c r="G20" i="3" s="1"/>
  <c r="H20" i="3" s="1"/>
  <c r="I20" i="3" s="1"/>
  <c r="F7" i="3"/>
  <c r="G7" i="3" s="1"/>
  <c r="H7" i="3" s="1"/>
  <c r="I7" i="3" s="1"/>
  <c r="F6" i="3"/>
  <c r="G6" i="3" s="1"/>
  <c r="H6" i="3" s="1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BA28" i="9"/>
  <c r="BB28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AS26" i="9"/>
  <c r="AT26" i="9"/>
  <c r="AU26" i="9"/>
  <c r="AV26" i="9"/>
  <c r="AW26" i="9"/>
  <c r="AX26" i="9"/>
  <c r="AY26" i="9"/>
  <c r="AZ26" i="9"/>
  <c r="BA26" i="9"/>
  <c r="BB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E46" i="3"/>
  <c r="F46" i="3" s="1"/>
  <c r="G46" i="3" s="1"/>
  <c r="H46" i="3" s="1"/>
  <c r="E32" i="3"/>
  <c r="F32" i="3" s="1"/>
  <c r="G32" i="3" s="1"/>
  <c r="H32" i="3" s="1"/>
  <c r="I32" i="3" s="1"/>
  <c r="D28" i="9"/>
  <c r="E28" i="9"/>
  <c r="F12" i="3" s="1"/>
  <c r="F28" i="9"/>
  <c r="G12" i="3" s="1"/>
  <c r="G28" i="9"/>
  <c r="H12" i="3" s="1"/>
  <c r="H28" i="9"/>
  <c r="I12" i="3" s="1"/>
  <c r="C28" i="9"/>
  <c r="D27" i="9"/>
  <c r="C27" i="9"/>
  <c r="D26" i="9"/>
  <c r="E26" i="9"/>
  <c r="F9" i="3" s="1"/>
  <c r="F26" i="9"/>
  <c r="G9" i="3" s="1"/>
  <c r="G26" i="9"/>
  <c r="H9" i="3" s="1"/>
  <c r="H26" i="9"/>
  <c r="I9" i="3" s="1"/>
  <c r="C26" i="9"/>
  <c r="D25" i="9"/>
  <c r="C25" i="9"/>
  <c r="D18" i="9"/>
  <c r="C18" i="9"/>
  <c r="C10" i="9"/>
  <c r="D10" i="9"/>
  <c r="E10" i="9"/>
  <c r="F10" i="9"/>
  <c r="G10" i="9"/>
  <c r="H10" i="9"/>
  <c r="C11" i="9"/>
  <c r="D11" i="9"/>
  <c r="E11" i="9"/>
  <c r="F11" i="9"/>
  <c r="G11" i="9"/>
  <c r="H11" i="9"/>
  <c r="C12" i="9"/>
  <c r="D12" i="9"/>
  <c r="E12" i="9"/>
  <c r="F12" i="9"/>
  <c r="G12" i="9"/>
  <c r="H12" i="9"/>
  <c r="C13" i="9"/>
  <c r="D13" i="9"/>
  <c r="E13" i="9"/>
  <c r="F13" i="9"/>
  <c r="G13" i="9"/>
  <c r="H13" i="9"/>
  <c r="C14" i="9"/>
  <c r="D14" i="9"/>
  <c r="E14" i="9"/>
  <c r="F14" i="9"/>
  <c r="G14" i="9"/>
  <c r="H14" i="9"/>
  <c r="C15" i="9"/>
  <c r="D15" i="9"/>
  <c r="E15" i="9"/>
  <c r="F15" i="9"/>
  <c r="G15" i="9"/>
  <c r="H15" i="9"/>
  <c r="C16" i="9"/>
  <c r="D16" i="9"/>
  <c r="E16" i="9"/>
  <c r="F16" i="9"/>
  <c r="G16" i="9"/>
  <c r="H16" i="9"/>
  <c r="C17" i="9"/>
  <c r="D17" i="9"/>
  <c r="E17" i="9"/>
  <c r="F17" i="9"/>
  <c r="G17" i="9"/>
  <c r="H17" i="9"/>
  <c r="C19" i="9"/>
  <c r="D19" i="9"/>
  <c r="E19" i="9"/>
  <c r="F19" i="9"/>
  <c r="G19" i="9"/>
  <c r="H19" i="9"/>
  <c r="C20" i="9"/>
  <c r="D20" i="9"/>
  <c r="E20" i="9"/>
  <c r="F20" i="9"/>
  <c r="G20" i="9"/>
  <c r="H20" i="9"/>
  <c r="C22" i="9"/>
  <c r="D22" i="9"/>
  <c r="E22" i="9"/>
  <c r="V1151" i="12" s="1"/>
  <c r="F22" i="9"/>
  <c r="W1151" i="12" s="1"/>
  <c r="G22" i="9"/>
  <c r="X1151" i="12" s="1"/>
  <c r="H22" i="9"/>
  <c r="C23" i="9"/>
  <c r="D23" i="9"/>
  <c r="C24" i="9"/>
  <c r="D24" i="9"/>
  <c r="G3" i="3"/>
  <c r="H3" i="3"/>
  <c r="I3" i="3"/>
  <c r="F3" i="3"/>
  <c r="D9" i="9"/>
  <c r="E3" i="3" s="1"/>
  <c r="E2" i="3" s="1"/>
  <c r="D8" i="9" s="1"/>
  <c r="C9" i="9"/>
  <c r="C8" i="9" s="1"/>
  <c r="C3" i="9"/>
  <c r="D3" i="9"/>
  <c r="E3" i="9"/>
  <c r="F3" i="9"/>
  <c r="G3" i="9"/>
  <c r="H3" i="9"/>
  <c r="C7" i="9"/>
  <c r="D7" i="9"/>
  <c r="E7" i="9"/>
  <c r="F7" i="9"/>
  <c r="G7" i="9"/>
  <c r="H7" i="9"/>
  <c r="F2" i="9"/>
  <c r="G2" i="9"/>
  <c r="H2" i="9"/>
  <c r="E2" i="9"/>
  <c r="D2" i="9"/>
  <c r="C2" i="9"/>
  <c r="E1" i="9"/>
  <c r="G29" i="3" l="1"/>
  <c r="H29" i="3" s="1"/>
  <c r="I29" i="3" s="1"/>
  <c r="G43" i="3"/>
  <c r="I22" i="9"/>
  <c r="I20" i="9"/>
  <c r="Y1151" i="12"/>
  <c r="F1" i="9"/>
  <c r="G1" i="9" s="1"/>
  <c r="H1" i="9" s="1"/>
  <c r="I1" i="9" s="1"/>
  <c r="J1" i="9" s="1"/>
  <c r="K1" i="9" s="1"/>
  <c r="L1" i="9" s="1"/>
  <c r="M1" i="9" s="1"/>
  <c r="N1" i="9" s="1"/>
  <c r="O1" i="9" s="1"/>
  <c r="P1" i="9" s="1"/>
  <c r="Q1" i="9" s="1"/>
  <c r="R1" i="9" s="1"/>
  <c r="S1" i="9" s="1"/>
  <c r="T1" i="9" s="1"/>
  <c r="U1" i="9" s="1"/>
  <c r="V1" i="9" s="1"/>
  <c r="W1" i="9" s="1"/>
  <c r="X1" i="9" s="1"/>
  <c r="Y1" i="9" s="1"/>
  <c r="Z1" i="9" s="1"/>
  <c r="AA1" i="9" s="1"/>
  <c r="AB1" i="9" s="1"/>
  <c r="AC1" i="9" s="1"/>
  <c r="AD1" i="9" s="1"/>
  <c r="AE1" i="9" s="1"/>
  <c r="AF1" i="9" s="1"/>
  <c r="AG1" i="9" s="1"/>
  <c r="AH1" i="9" s="1"/>
  <c r="AI1" i="9" s="1"/>
  <c r="AJ1" i="9" s="1"/>
  <c r="AK1" i="9" s="1"/>
  <c r="AL1" i="9" s="1"/>
  <c r="AM1" i="9" s="1"/>
  <c r="AN1" i="9" s="1"/>
  <c r="AO1" i="9" s="1"/>
  <c r="AP1" i="9" s="1"/>
  <c r="AQ1" i="9" s="1"/>
  <c r="AR1" i="9" s="1"/>
  <c r="AS1" i="9" s="1"/>
  <c r="AT1" i="9" s="1"/>
  <c r="AU1" i="9" s="1"/>
  <c r="AV1" i="9" s="1"/>
  <c r="AW1" i="9" s="1"/>
  <c r="AX1" i="9" s="1"/>
  <c r="AY1" i="9" s="1"/>
  <c r="AZ1" i="9" s="1"/>
  <c r="BA1" i="9" s="1"/>
  <c r="BB1" i="9" s="1"/>
  <c r="F5" i="3"/>
  <c r="E18" i="9" s="1"/>
  <c r="V1144" i="12" s="1"/>
  <c r="V1137" i="12" s="1"/>
  <c r="F44" i="3"/>
  <c r="E45" i="9" s="1"/>
  <c r="G5" i="3"/>
  <c r="F18" i="9" s="1"/>
  <c r="W1144" i="12" s="1"/>
  <c r="W1137" i="12" s="1"/>
  <c r="F30" i="3"/>
  <c r="G37" i="3"/>
  <c r="I48" i="3"/>
  <c r="I46" i="3"/>
  <c r="I44" i="3" s="1"/>
  <c r="H45" i="9" s="1"/>
  <c r="H44" i="3"/>
  <c r="G45" i="9" s="1"/>
  <c r="G44" i="3"/>
  <c r="F45" i="9" s="1"/>
  <c r="G30" i="3"/>
  <c r="G18" i="3"/>
  <c r="F32" i="9" s="1"/>
  <c r="I18" i="3"/>
  <c r="H32" i="9" s="1"/>
  <c r="F18" i="3"/>
  <c r="E32" i="9" s="1"/>
  <c r="H5" i="3"/>
  <c r="G18" i="9" s="1"/>
  <c r="X1144" i="12" s="1"/>
  <c r="X1137" i="12" s="1"/>
  <c r="I6" i="3"/>
  <c r="I5" i="3" s="1"/>
  <c r="H18" i="9" s="1"/>
  <c r="Y1144" i="12" s="1"/>
  <c r="Y1137" i="12" s="1"/>
  <c r="H37" i="3" l="1"/>
  <c r="J20" i="9"/>
  <c r="H43" i="3"/>
  <c r="G41" i="3"/>
  <c r="F42" i="9" s="1"/>
  <c r="W1230" i="12" s="1"/>
  <c r="V1263" i="12"/>
  <c r="J22" i="9"/>
  <c r="V1235" i="12"/>
  <c r="X1235" i="12"/>
  <c r="Y1235" i="12"/>
  <c r="W1235" i="12"/>
  <c r="Y1464" i="12"/>
  <c r="V967" i="12"/>
  <c r="V961" i="12" s="1"/>
  <c r="D21" i="17" s="1"/>
  <c r="D53" i="17" s="1"/>
  <c r="V1464" i="12"/>
  <c r="W1464" i="12"/>
  <c r="G27" i="3"/>
  <c r="F36" i="9" s="1"/>
  <c r="W1469" i="12" s="1"/>
  <c r="H27" i="3"/>
  <c r="G36" i="9" s="1"/>
  <c r="X1469" i="12" s="1"/>
  <c r="I30" i="3"/>
  <c r="H30" i="3"/>
  <c r="H18" i="3"/>
  <c r="G32" i="9" s="1"/>
  <c r="I37" i="3" l="1"/>
  <c r="K22" i="9"/>
  <c r="I43" i="3"/>
  <c r="I41" i="3" s="1"/>
  <c r="H42" i="9" s="1"/>
  <c r="Y1230" i="12" s="1"/>
  <c r="H41" i="3"/>
  <c r="G42" i="9" s="1"/>
  <c r="X1230" i="12" s="1"/>
  <c r="W1263" i="12"/>
  <c r="K20" i="9"/>
  <c r="W967" i="12"/>
  <c r="W961" i="12" s="1"/>
  <c r="E21" i="17" s="1"/>
  <c r="E53" i="17" s="1"/>
  <c r="X1464" i="12"/>
  <c r="I27" i="3"/>
  <c r="H36" i="9" s="1"/>
  <c r="Y1469" i="12" s="1"/>
  <c r="L20" i="9" l="1"/>
  <c r="Y1263" i="12"/>
  <c r="X1263" i="12"/>
  <c r="L22" i="9"/>
  <c r="X967" i="12"/>
  <c r="M22" i="13"/>
  <c r="V936" i="12" s="1"/>
  <c r="O22" i="13"/>
  <c r="N22" i="13"/>
  <c r="B18" i="4"/>
  <c r="B13" i="4" s="1"/>
  <c r="W936" i="12" l="1"/>
  <c r="X936" i="12" s="1"/>
  <c r="Y936" i="12" s="1"/>
  <c r="M22" i="9"/>
  <c r="V591" i="12"/>
  <c r="W591" i="12" s="1"/>
  <c r="X591" i="12" s="1"/>
  <c r="Y591" i="12" s="1"/>
  <c r="V870" i="12"/>
  <c r="W870" i="12" s="1"/>
  <c r="X870" i="12" s="1"/>
  <c r="Y870" i="12" s="1"/>
  <c r="V924" i="12"/>
  <c r="W924" i="12" s="1"/>
  <c r="X924" i="12" s="1"/>
  <c r="Y924" i="12" s="1"/>
  <c r="V240" i="12"/>
  <c r="W240" i="12" s="1"/>
  <c r="X240" i="12" s="1"/>
  <c r="Y240" i="12" s="1"/>
  <c r="V535" i="12"/>
  <c r="W535" i="12" s="1"/>
  <c r="X535" i="12" s="1"/>
  <c r="Y535" i="12" s="1"/>
  <c r="V232" i="12"/>
  <c r="W232" i="12" s="1"/>
  <c r="X232" i="12" s="1"/>
  <c r="Y232" i="12" s="1"/>
  <c r="V211" i="12"/>
  <c r="W211" i="12" s="1"/>
  <c r="X211" i="12" s="1"/>
  <c r="Y211" i="12" s="1"/>
  <c r="V624" i="12"/>
  <c r="W624" i="12" s="1"/>
  <c r="X624" i="12" s="1"/>
  <c r="Y624" i="12" s="1"/>
  <c r="V509" i="12"/>
  <c r="W509" i="12" s="1"/>
  <c r="X509" i="12" s="1"/>
  <c r="Y509" i="12" s="1"/>
  <c r="V648" i="12"/>
  <c r="W648" i="12" s="1"/>
  <c r="X648" i="12" s="1"/>
  <c r="Y648" i="12" s="1"/>
  <c r="V522" i="12"/>
  <c r="W522" i="12" s="1"/>
  <c r="X522" i="12" s="1"/>
  <c r="Y522" i="12" s="1"/>
  <c r="V167" i="12"/>
  <c r="W167" i="12" s="1"/>
  <c r="X167" i="12" s="1"/>
  <c r="Y167" i="12" s="1"/>
  <c r="V168" i="12"/>
  <c r="W168" i="12" s="1"/>
  <c r="X168" i="12" s="1"/>
  <c r="Y168" i="12" s="1"/>
  <c r="V686" i="12"/>
  <c r="W686" i="12" s="1"/>
  <c r="X686" i="12" s="1"/>
  <c r="Y686" i="12" s="1"/>
  <c r="V114" i="12"/>
  <c r="W114" i="12" s="1"/>
  <c r="X114" i="12" s="1"/>
  <c r="Y114" i="12" s="1"/>
  <c r="V110" i="12"/>
  <c r="W110" i="12" s="1"/>
  <c r="X110" i="12" s="1"/>
  <c r="Y110" i="12" s="1"/>
  <c r="V640" i="12"/>
  <c r="W640" i="12" s="1"/>
  <c r="X640" i="12" s="1"/>
  <c r="Y640" i="12" s="1"/>
  <c r="V711" i="12"/>
  <c r="W711" i="12" s="1"/>
  <c r="X711" i="12" s="1"/>
  <c r="Y711" i="12" s="1"/>
  <c r="V731" i="12"/>
  <c r="W731" i="12" s="1"/>
  <c r="X731" i="12" s="1"/>
  <c r="Y731" i="12" s="1"/>
  <c r="V808" i="12"/>
  <c r="W808" i="12" s="1"/>
  <c r="X808" i="12" s="1"/>
  <c r="Y808" i="12" s="1"/>
  <c r="V911" i="12"/>
  <c r="W911" i="12" s="1"/>
  <c r="X911" i="12" s="1"/>
  <c r="Y911" i="12" s="1"/>
  <c r="V560" i="12"/>
  <c r="W560" i="12" s="1"/>
  <c r="X560" i="12" s="1"/>
  <c r="Y560" i="12" s="1"/>
  <c r="V901" i="12"/>
  <c r="W901" i="12" s="1"/>
  <c r="X901" i="12" s="1"/>
  <c r="Y901" i="12" s="1"/>
  <c r="V499" i="12"/>
  <c r="W499" i="12" s="1"/>
  <c r="X499" i="12" s="1"/>
  <c r="Y499" i="12" s="1"/>
  <c r="V813" i="12"/>
  <c r="W813" i="12" s="1"/>
  <c r="X813" i="12" s="1"/>
  <c r="Y813" i="12" s="1"/>
  <c r="V221" i="12"/>
  <c r="W221" i="12" s="1"/>
  <c r="X221" i="12" s="1"/>
  <c r="Y221" i="12" s="1"/>
  <c r="V542" i="12"/>
  <c r="W542" i="12" s="1"/>
  <c r="X542" i="12" s="1"/>
  <c r="Y542" i="12" s="1"/>
  <c r="V200" i="12"/>
  <c r="W200" i="12" s="1"/>
  <c r="X200" i="12" s="1"/>
  <c r="Y200" i="12" s="1"/>
  <c r="V600" i="12"/>
  <c r="W600" i="12" s="1"/>
  <c r="X600" i="12" s="1"/>
  <c r="Y600" i="12" s="1"/>
  <c r="V616" i="12"/>
  <c r="W616" i="12" s="1"/>
  <c r="X616" i="12" s="1"/>
  <c r="Y616" i="12" s="1"/>
  <c r="V836" i="12"/>
  <c r="W836" i="12" s="1"/>
  <c r="X836" i="12" s="1"/>
  <c r="Y836" i="12" s="1"/>
  <c r="V244" i="12"/>
  <c r="W244" i="12" s="1"/>
  <c r="X244" i="12" s="1"/>
  <c r="Y244" i="12" s="1"/>
  <c r="V926" i="12"/>
  <c r="W926" i="12" s="1"/>
  <c r="X926" i="12" s="1"/>
  <c r="Y926" i="12" s="1"/>
  <c r="V19" i="12"/>
  <c r="W19" i="12" s="1"/>
  <c r="X19" i="12" s="1"/>
  <c r="Y19" i="12" s="1"/>
  <c r="V75" i="12"/>
  <c r="W75" i="12" s="1"/>
  <c r="X75" i="12" s="1"/>
  <c r="Y75" i="12" s="1"/>
  <c r="V736" i="12"/>
  <c r="W736" i="12" s="1"/>
  <c r="X736" i="12" s="1"/>
  <c r="Y736" i="12" s="1"/>
  <c r="V571" i="12"/>
  <c r="W571" i="12" s="1"/>
  <c r="X571" i="12" s="1"/>
  <c r="Y571" i="12" s="1"/>
  <c r="V587" i="12"/>
  <c r="W587" i="12" s="1"/>
  <c r="X587" i="12" s="1"/>
  <c r="Y587" i="12" s="1"/>
  <c r="V678" i="12"/>
  <c r="W678" i="12" s="1"/>
  <c r="X678" i="12" s="1"/>
  <c r="Y678" i="12" s="1"/>
  <c r="V140" i="12"/>
  <c r="W140" i="12" s="1"/>
  <c r="X140" i="12" s="1"/>
  <c r="Y140" i="12" s="1"/>
  <c r="V659" i="12"/>
  <c r="W659" i="12" s="1"/>
  <c r="X659" i="12" s="1"/>
  <c r="Y659" i="12" s="1"/>
  <c r="V735" i="12"/>
  <c r="W735" i="12" s="1"/>
  <c r="X735" i="12" s="1"/>
  <c r="Y735" i="12" s="1"/>
  <c r="V138" i="12"/>
  <c r="W138" i="12" s="1"/>
  <c r="X138" i="12" s="1"/>
  <c r="Y138" i="12" s="1"/>
  <c r="V643" i="12"/>
  <c r="W643" i="12" s="1"/>
  <c r="X643" i="12" s="1"/>
  <c r="Y643" i="12" s="1"/>
  <c r="V511" i="12"/>
  <c r="W511" i="12" s="1"/>
  <c r="X511" i="12" s="1"/>
  <c r="Y511" i="12" s="1"/>
  <c r="V84" i="12"/>
  <c r="W84" i="12" s="1"/>
  <c r="X84" i="12" s="1"/>
  <c r="Y84" i="12" s="1"/>
  <c r="V27" i="12"/>
  <c r="W27" i="12" s="1"/>
  <c r="X27" i="12" s="1"/>
  <c r="Y27" i="12" s="1"/>
  <c r="V539" i="12"/>
  <c r="W539" i="12" s="1"/>
  <c r="X539" i="12" s="1"/>
  <c r="Y539" i="12" s="1"/>
  <c r="V51" i="12"/>
  <c r="W51" i="12" s="1"/>
  <c r="X51" i="12" s="1"/>
  <c r="Y51" i="12" s="1"/>
  <c r="V83" i="12"/>
  <c r="W83" i="12" s="1"/>
  <c r="X83" i="12" s="1"/>
  <c r="Y83" i="12" s="1"/>
  <c r="V725" i="12"/>
  <c r="W725" i="12" s="1"/>
  <c r="X725" i="12" s="1"/>
  <c r="Y725" i="12" s="1"/>
  <c r="V589" i="12"/>
  <c r="W589" i="12" s="1"/>
  <c r="X589" i="12" s="1"/>
  <c r="Y589" i="12" s="1"/>
  <c r="V490" i="12"/>
  <c r="W490" i="12" s="1"/>
  <c r="X490" i="12" s="1"/>
  <c r="Y490" i="12" s="1"/>
  <c r="V868" i="12"/>
  <c r="W868" i="12" s="1"/>
  <c r="X868" i="12" s="1"/>
  <c r="Y868" i="12" s="1"/>
  <c r="V78" i="12"/>
  <c r="W78" i="12" s="1"/>
  <c r="X78" i="12" s="1"/>
  <c r="Y78" i="12" s="1"/>
  <c r="V131" i="12"/>
  <c r="W131" i="12" s="1"/>
  <c r="X131" i="12" s="1"/>
  <c r="Y131" i="12" s="1"/>
  <c r="V575" i="12"/>
  <c r="W575" i="12" s="1"/>
  <c r="X575" i="12" s="1"/>
  <c r="Y575" i="12" s="1"/>
  <c r="V927" i="12"/>
  <c r="W927" i="12" s="1"/>
  <c r="X927" i="12" s="1"/>
  <c r="Y927" i="12" s="1"/>
  <c r="V791" i="12"/>
  <c r="W791" i="12" s="1"/>
  <c r="X791" i="12" s="1"/>
  <c r="Y791" i="12" s="1"/>
  <c r="V651" i="12"/>
  <c r="W651" i="12" s="1"/>
  <c r="X651" i="12" s="1"/>
  <c r="Y651" i="12" s="1"/>
  <c r="V872" i="12"/>
  <c r="W872" i="12" s="1"/>
  <c r="X872" i="12" s="1"/>
  <c r="Y872" i="12" s="1"/>
  <c r="V855" i="12"/>
  <c r="W855" i="12" s="1"/>
  <c r="X855" i="12" s="1"/>
  <c r="Y855" i="12" s="1"/>
  <c r="V835" i="12"/>
  <c r="W835" i="12" s="1"/>
  <c r="X835" i="12" s="1"/>
  <c r="Y835" i="12" s="1"/>
  <c r="V152" i="12"/>
  <c r="W152" i="12" s="1"/>
  <c r="X152" i="12" s="1"/>
  <c r="Y152" i="12" s="1"/>
  <c r="V579" i="12"/>
  <c r="W579" i="12" s="1"/>
  <c r="X579" i="12" s="1"/>
  <c r="Y579" i="12" s="1"/>
  <c r="V734" i="12"/>
  <c r="W734" i="12" s="1"/>
  <c r="X734" i="12" s="1"/>
  <c r="Y734" i="12" s="1"/>
  <c r="V592" i="12"/>
  <c r="W592" i="12" s="1"/>
  <c r="X592" i="12" s="1"/>
  <c r="Y592" i="12" s="1"/>
  <c r="V853" i="12"/>
  <c r="W853" i="12" s="1"/>
  <c r="X853" i="12" s="1"/>
  <c r="Y853" i="12" s="1"/>
  <c r="V483" i="12"/>
  <c r="W483" i="12" s="1"/>
  <c r="X483" i="12" s="1"/>
  <c r="Y483" i="12" s="1"/>
  <c r="V920" i="12"/>
  <c r="W920" i="12" s="1"/>
  <c r="X920" i="12" s="1"/>
  <c r="Y920" i="12" s="1"/>
  <c r="V58" i="12"/>
  <c r="W58" i="12" s="1"/>
  <c r="X58" i="12" s="1"/>
  <c r="Y58" i="12" s="1"/>
  <c r="V718" i="12"/>
  <c r="W718" i="12" s="1"/>
  <c r="X718" i="12" s="1"/>
  <c r="Y718" i="12" s="1"/>
  <c r="V97" i="12"/>
  <c r="W97" i="12" s="1"/>
  <c r="X97" i="12" s="1"/>
  <c r="Y97" i="12" s="1"/>
  <c r="V81" i="12"/>
  <c r="W81" i="12" s="1"/>
  <c r="X81" i="12" s="1"/>
  <c r="Y81" i="12" s="1"/>
  <c r="V127" i="12"/>
  <c r="W127" i="12" s="1"/>
  <c r="X127" i="12" s="1"/>
  <c r="Y127" i="12" s="1"/>
  <c r="V907" i="12"/>
  <c r="W907" i="12" s="1"/>
  <c r="X907" i="12" s="1"/>
  <c r="Y907" i="12" s="1"/>
  <c r="V205" i="12"/>
  <c r="W205" i="12" s="1"/>
  <c r="X205" i="12" s="1"/>
  <c r="Y205" i="12" s="1"/>
  <c r="V715" i="12"/>
  <c r="W715" i="12" s="1"/>
  <c r="X715" i="12" s="1"/>
  <c r="Y715" i="12" s="1"/>
  <c r="V566" i="12"/>
  <c r="W566" i="12" s="1"/>
  <c r="X566" i="12" s="1"/>
  <c r="Y566" i="12" s="1"/>
  <c r="V115" i="12"/>
  <c r="W115" i="12" s="1"/>
  <c r="X115" i="12" s="1"/>
  <c r="Y115" i="12" s="1"/>
  <c r="V749" i="12"/>
  <c r="W749" i="12" s="1"/>
  <c r="X749" i="12" s="1"/>
  <c r="Y749" i="12" s="1"/>
  <c r="V107" i="12"/>
  <c r="W107" i="12" s="1"/>
  <c r="X107" i="12" s="1"/>
  <c r="Y107" i="12" s="1"/>
  <c r="V647" i="12"/>
  <c r="W647" i="12" s="1"/>
  <c r="X647" i="12" s="1"/>
  <c r="Y647" i="12" s="1"/>
  <c r="V196" i="12"/>
  <c r="W196" i="12" s="1"/>
  <c r="X196" i="12" s="1"/>
  <c r="Y196" i="12" s="1"/>
  <c r="V801" i="12"/>
  <c r="W801" i="12" s="1"/>
  <c r="X801" i="12" s="1"/>
  <c r="Y801" i="12" s="1"/>
  <c r="V215" i="12"/>
  <c r="W215" i="12" s="1"/>
  <c r="X215" i="12" s="1"/>
  <c r="Y215" i="12" s="1"/>
  <c r="V879" i="12"/>
  <c r="W879" i="12" s="1"/>
  <c r="X879" i="12" s="1"/>
  <c r="Y879" i="12" s="1"/>
  <c r="V66" i="12"/>
  <c r="W66" i="12" s="1"/>
  <c r="X66" i="12" s="1"/>
  <c r="Y66" i="12" s="1"/>
  <c r="V44" i="12"/>
  <c r="W44" i="12" s="1"/>
  <c r="X44" i="12" s="1"/>
  <c r="Y44" i="12" s="1"/>
  <c r="V822" i="12"/>
  <c r="W822" i="12" s="1"/>
  <c r="X822" i="12" s="1"/>
  <c r="Y822" i="12" s="1"/>
  <c r="V235" i="12"/>
  <c r="W235" i="12" s="1"/>
  <c r="X235" i="12" s="1"/>
  <c r="Y235" i="12" s="1"/>
  <c r="V136" i="12"/>
  <c r="W136" i="12" s="1"/>
  <c r="X136" i="12" s="1"/>
  <c r="Y136" i="12" s="1"/>
  <c r="V623" i="12"/>
  <c r="W623" i="12" s="1"/>
  <c r="X623" i="12" s="1"/>
  <c r="Y623" i="12" s="1"/>
  <c r="V507" i="12"/>
  <c r="W507" i="12" s="1"/>
  <c r="X507" i="12" s="1"/>
  <c r="Y507" i="12" s="1"/>
  <c r="V486" i="12"/>
  <c r="W486" i="12" s="1"/>
  <c r="X486" i="12" s="1"/>
  <c r="Y486" i="12" s="1"/>
  <c r="V178" i="12"/>
  <c r="W178" i="12" s="1"/>
  <c r="X178" i="12" s="1"/>
  <c r="Y178" i="12" s="1"/>
  <c r="V662" i="12"/>
  <c r="W662" i="12" s="1"/>
  <c r="X662" i="12" s="1"/>
  <c r="Y662" i="12" s="1"/>
  <c r="V639" i="12"/>
  <c r="W639" i="12" s="1"/>
  <c r="X639" i="12" s="1"/>
  <c r="Y639" i="12" s="1"/>
  <c r="V622" i="12"/>
  <c r="W622" i="12" s="1"/>
  <c r="X622" i="12" s="1"/>
  <c r="Y622" i="12" s="1"/>
  <c r="V795" i="12"/>
  <c r="W795" i="12" s="1"/>
  <c r="X795" i="12" s="1"/>
  <c r="Y795" i="12" s="1"/>
  <c r="V108" i="12"/>
  <c r="W108" i="12" s="1"/>
  <c r="X108" i="12" s="1"/>
  <c r="Y108" i="12" s="1"/>
  <c r="V76" i="12"/>
  <c r="W76" i="12" s="1"/>
  <c r="X76" i="12" s="1"/>
  <c r="Y76" i="12" s="1"/>
  <c r="V886" i="12"/>
  <c r="W886" i="12" s="1"/>
  <c r="X886" i="12" s="1"/>
  <c r="Y886" i="12" s="1"/>
  <c r="V814" i="12"/>
  <c r="W814" i="12" s="1"/>
  <c r="X814" i="12" s="1"/>
  <c r="Y814" i="12" s="1"/>
  <c r="V243" i="12"/>
  <c r="W243" i="12" s="1"/>
  <c r="X243" i="12" s="1"/>
  <c r="Y243" i="12" s="1"/>
  <c r="V655" i="12"/>
  <c r="W655" i="12" s="1"/>
  <c r="X655" i="12" s="1"/>
  <c r="Y655" i="12" s="1"/>
  <c r="V192" i="12"/>
  <c r="W192" i="12" s="1"/>
  <c r="X192" i="12" s="1"/>
  <c r="Y192" i="12" s="1"/>
  <c r="V151" i="12"/>
  <c r="W151" i="12" s="1"/>
  <c r="X151" i="12" s="1"/>
  <c r="Y151" i="12" s="1"/>
  <c r="V128" i="12"/>
  <c r="W128" i="12" s="1"/>
  <c r="X128" i="12" s="1"/>
  <c r="Y128" i="12" s="1"/>
  <c r="V815" i="12"/>
  <c r="W815" i="12" s="1"/>
  <c r="X815" i="12" s="1"/>
  <c r="Y815" i="12" s="1"/>
  <c r="V18" i="12"/>
  <c r="W18" i="12" s="1"/>
  <c r="X18" i="12" s="1"/>
  <c r="Y18" i="12" s="1"/>
  <c r="V204" i="12"/>
  <c r="W204" i="12" s="1"/>
  <c r="X204" i="12" s="1"/>
  <c r="Y204" i="12" s="1"/>
  <c r="V627" i="12"/>
  <c r="W627" i="12" s="1"/>
  <c r="X627" i="12" s="1"/>
  <c r="Y627" i="12" s="1"/>
  <c r="V28" i="12"/>
  <c r="W28" i="12" s="1"/>
  <c r="X28" i="12" s="1"/>
  <c r="Y28" i="12" s="1"/>
  <c r="V811" i="12"/>
  <c r="W811" i="12" s="1"/>
  <c r="X811" i="12" s="1"/>
  <c r="Y811" i="12" s="1"/>
  <c r="V682" i="12"/>
  <c r="W682" i="12" s="1"/>
  <c r="X682" i="12" s="1"/>
  <c r="Y682" i="12" s="1"/>
  <c r="V523" i="12"/>
  <c r="W523" i="12" s="1"/>
  <c r="X523" i="12" s="1"/>
  <c r="Y523" i="12" s="1"/>
  <c r="V903" i="12"/>
  <c r="W903" i="12" s="1"/>
  <c r="X903" i="12" s="1"/>
  <c r="Y903" i="12" s="1"/>
  <c r="V203" i="12"/>
  <c r="W203" i="12" s="1"/>
  <c r="X203" i="12" s="1"/>
  <c r="Y203" i="12" s="1"/>
  <c r="V502" i="12"/>
  <c r="W502" i="12" s="1"/>
  <c r="X502" i="12" s="1"/>
  <c r="Y502" i="12" s="1"/>
  <c r="V881" i="12"/>
  <c r="W881" i="12" s="1"/>
  <c r="X881" i="12" s="1"/>
  <c r="Y881" i="12" s="1"/>
  <c r="V527" i="12"/>
  <c r="W527" i="12" s="1"/>
  <c r="X527" i="12" s="1"/>
  <c r="Y527" i="12" s="1"/>
  <c r="V768" i="12"/>
  <c r="W768" i="12" s="1"/>
  <c r="X768" i="12" s="1"/>
  <c r="Y768" i="12" s="1"/>
  <c r="V491" i="12"/>
  <c r="W491" i="12" s="1"/>
  <c r="X491" i="12" s="1"/>
  <c r="Y491" i="12" s="1"/>
  <c r="V12" i="12"/>
  <c r="W12" i="12" s="1"/>
  <c r="X12" i="12" s="1"/>
  <c r="Y12" i="12" s="1"/>
  <c r="V147" i="12"/>
  <c r="W147" i="12" s="1"/>
  <c r="X147" i="12" s="1"/>
  <c r="Y147" i="12" s="1"/>
  <c r="V918" i="12"/>
  <c r="W918" i="12" s="1"/>
  <c r="X918" i="12" s="1"/>
  <c r="Y918" i="12" s="1"/>
  <c r="V792" i="12"/>
  <c r="W792" i="12" s="1"/>
  <c r="X792" i="12" s="1"/>
  <c r="Y792" i="12" s="1"/>
  <c r="V670" i="12"/>
  <c r="W670" i="12" s="1"/>
  <c r="X670" i="12" s="1"/>
  <c r="Y670" i="12" s="1"/>
  <c r="V493" i="12"/>
  <c r="W493" i="12" s="1"/>
  <c r="X493" i="12" s="1"/>
  <c r="Y493" i="12" s="1"/>
  <c r="V713" i="12"/>
  <c r="W713" i="12" s="1"/>
  <c r="X713" i="12" s="1"/>
  <c r="Y713" i="12" s="1"/>
  <c r="V856" i="12"/>
  <c r="W856" i="12" s="1"/>
  <c r="X856" i="12" s="1"/>
  <c r="Y856" i="12" s="1"/>
  <c r="V488" i="12"/>
  <c r="W488" i="12" s="1"/>
  <c r="X488" i="12" s="1"/>
  <c r="Y488" i="12" s="1"/>
  <c r="V875" i="12"/>
  <c r="W875" i="12" s="1"/>
  <c r="X875" i="12" s="1"/>
  <c r="Y875" i="12" s="1"/>
  <c r="V917" i="12"/>
  <c r="W917" i="12" s="1"/>
  <c r="X917" i="12" s="1"/>
  <c r="Y917" i="12" s="1"/>
  <c r="V937" i="12"/>
  <c r="V896" i="12"/>
  <c r="W896" i="12" s="1"/>
  <c r="X896" i="12" s="1"/>
  <c r="Y896" i="12" s="1"/>
  <c r="V807" i="12"/>
  <c r="W807" i="12" s="1"/>
  <c r="X807" i="12" s="1"/>
  <c r="Y807" i="12" s="1"/>
  <c r="V916" i="12"/>
  <c r="W916" i="12" s="1"/>
  <c r="X916" i="12" s="1"/>
  <c r="Y916" i="12" s="1"/>
  <c r="V183" i="12"/>
  <c r="W183" i="12" s="1"/>
  <c r="X183" i="12" s="1"/>
  <c r="Y183" i="12" s="1"/>
  <c r="V212" i="12"/>
  <c r="W212" i="12" s="1"/>
  <c r="X212" i="12" s="1"/>
  <c r="Y212" i="12" s="1"/>
  <c r="V30" i="12"/>
  <c r="W30" i="12" s="1"/>
  <c r="X30" i="12" s="1"/>
  <c r="Y30" i="12" s="1"/>
  <c r="V838" i="12"/>
  <c r="W838" i="12" s="1"/>
  <c r="X838" i="12" s="1"/>
  <c r="Y838" i="12" s="1"/>
  <c r="V910" i="12"/>
  <c r="W910" i="12" s="1"/>
  <c r="X910" i="12" s="1"/>
  <c r="Y910" i="12" s="1"/>
  <c r="V684" i="12"/>
  <c r="W684" i="12" s="1"/>
  <c r="X684" i="12" s="1"/>
  <c r="Y684" i="12" s="1"/>
  <c r="V719" i="12"/>
  <c r="W719" i="12" s="1"/>
  <c r="X719" i="12" s="1"/>
  <c r="Y719" i="12" s="1"/>
  <c r="V219" i="12"/>
  <c r="W219" i="12" s="1"/>
  <c r="X219" i="12" s="1"/>
  <c r="Y219" i="12" s="1"/>
  <c r="V582" i="12"/>
  <c r="W582" i="12" s="1"/>
  <c r="X582" i="12" s="1"/>
  <c r="Y582" i="12" s="1"/>
  <c r="V191" i="12"/>
  <c r="W191" i="12" s="1"/>
  <c r="X191" i="12" s="1"/>
  <c r="Y191" i="12" s="1"/>
  <c r="V242" i="12"/>
  <c r="W242" i="12" s="1"/>
  <c r="X242" i="12" s="1"/>
  <c r="Y242" i="12" s="1"/>
  <c r="V563" i="12"/>
  <c r="W563" i="12" s="1"/>
  <c r="X563" i="12" s="1"/>
  <c r="Y563" i="12" s="1"/>
  <c r="V887" i="12"/>
  <c r="W887" i="12" s="1"/>
  <c r="X887" i="12" s="1"/>
  <c r="Y887" i="12" s="1"/>
  <c r="V803" i="12"/>
  <c r="W803" i="12" s="1"/>
  <c r="X803" i="12" s="1"/>
  <c r="Y803" i="12" s="1"/>
  <c r="V146" i="12"/>
  <c r="W146" i="12" s="1"/>
  <c r="X146" i="12" s="1"/>
  <c r="Y146" i="12" s="1"/>
  <c r="V656" i="12"/>
  <c r="W656" i="12" s="1"/>
  <c r="X656" i="12" s="1"/>
  <c r="Y656" i="12" s="1"/>
  <c r="V744" i="12"/>
  <c r="W744" i="12" s="1"/>
  <c r="X744" i="12" s="1"/>
  <c r="Y744" i="12" s="1"/>
  <c r="V919" i="12"/>
  <c r="W919" i="12" s="1"/>
  <c r="X919" i="12" s="1"/>
  <c r="Y919" i="12" s="1"/>
  <c r="V528" i="12"/>
  <c r="W528" i="12" s="1"/>
  <c r="X528" i="12" s="1"/>
  <c r="Y528" i="12" s="1"/>
  <c r="V764" i="12"/>
  <c r="W764" i="12" s="1"/>
  <c r="X764" i="12" s="1"/>
  <c r="Y764" i="12" s="1"/>
  <c r="V667" i="12"/>
  <c r="W667" i="12" s="1"/>
  <c r="X667" i="12" s="1"/>
  <c r="Y667" i="12" s="1"/>
  <c r="V874" i="12"/>
  <c r="W874" i="12" s="1"/>
  <c r="X874" i="12" s="1"/>
  <c r="Y874" i="12" s="1"/>
  <c r="V79" i="12"/>
  <c r="W79" i="12" s="1"/>
  <c r="X79" i="12" s="1"/>
  <c r="Y79" i="12" s="1"/>
  <c r="V726" i="12"/>
  <c r="W726" i="12" s="1"/>
  <c r="X726" i="12" s="1"/>
  <c r="Y726" i="12" s="1"/>
  <c r="V555" i="12"/>
  <c r="W555" i="12" s="1"/>
  <c r="X555" i="12" s="1"/>
  <c r="Y555" i="12" s="1"/>
  <c r="V90" i="12"/>
  <c r="W90" i="12" s="1"/>
  <c r="X90" i="12" s="1"/>
  <c r="Y90" i="12" s="1"/>
  <c r="V43" i="12"/>
  <c r="W43" i="12" s="1"/>
  <c r="X43" i="12" s="1"/>
  <c r="Y43" i="12" s="1"/>
  <c r="V15" i="12"/>
  <c r="W15" i="12" s="1"/>
  <c r="X15" i="12" s="1"/>
  <c r="Y15" i="12" s="1"/>
  <c r="V646" i="12"/>
  <c r="W646" i="12" s="1"/>
  <c r="X646" i="12" s="1"/>
  <c r="Y646" i="12" s="1"/>
  <c r="V681" i="12"/>
  <c r="W681" i="12" s="1"/>
  <c r="X681" i="12" s="1"/>
  <c r="Y681" i="12" s="1"/>
  <c r="V179" i="12"/>
  <c r="W179" i="12" s="1"/>
  <c r="X179" i="12" s="1"/>
  <c r="Y179" i="12" s="1"/>
  <c r="V635" i="12"/>
  <c r="W635" i="12" s="1"/>
  <c r="X635" i="12" s="1"/>
  <c r="Y635" i="12" s="1"/>
  <c r="V195" i="12"/>
  <c r="W195" i="12" s="1"/>
  <c r="X195" i="12" s="1"/>
  <c r="Y195" i="12" s="1"/>
  <c r="V133" i="12"/>
  <c r="W133" i="12" s="1"/>
  <c r="X133" i="12" s="1"/>
  <c r="Y133" i="12" s="1"/>
  <c r="V709" i="12"/>
  <c r="W709" i="12" s="1"/>
  <c r="X709" i="12" s="1"/>
  <c r="Y709" i="12" s="1"/>
  <c r="V905" i="12"/>
  <c r="W905" i="12" s="1"/>
  <c r="X905" i="12" s="1"/>
  <c r="Y905" i="12" s="1"/>
  <c r="V716" i="12"/>
  <c r="W716" i="12" s="1"/>
  <c r="X716" i="12" s="1"/>
  <c r="Y716" i="12" s="1"/>
  <c r="V877" i="12"/>
  <c r="W877" i="12" s="1"/>
  <c r="X877" i="12" s="1"/>
  <c r="Y877" i="12" s="1"/>
  <c r="V220" i="12"/>
  <c r="W220" i="12" s="1"/>
  <c r="X220" i="12" s="1"/>
  <c r="Y220" i="12" s="1"/>
  <c r="V854" i="12"/>
  <c r="W854" i="12" s="1"/>
  <c r="X854" i="12" s="1"/>
  <c r="Y854" i="12" s="1"/>
  <c r="V583" i="12"/>
  <c r="W583" i="12" s="1"/>
  <c r="X583" i="12" s="1"/>
  <c r="Y583" i="12" s="1"/>
  <c r="V573" i="12"/>
  <c r="W573" i="12" s="1"/>
  <c r="X573" i="12" s="1"/>
  <c r="Y573" i="12" s="1"/>
  <c r="V865" i="12"/>
  <c r="W865" i="12" s="1"/>
  <c r="X865" i="12" s="1"/>
  <c r="Y865" i="12" s="1"/>
  <c r="V510" i="12"/>
  <c r="W510" i="12" s="1"/>
  <c r="X510" i="12" s="1"/>
  <c r="Y510" i="12" s="1"/>
  <c r="V495" i="12"/>
  <c r="W495" i="12" s="1"/>
  <c r="X495" i="12" s="1"/>
  <c r="Y495" i="12" s="1"/>
  <c r="V94" i="12"/>
  <c r="W94" i="12" s="1"/>
  <c r="X94" i="12" s="1"/>
  <c r="Y94" i="12" s="1"/>
  <c r="V7" i="12"/>
  <c r="W7" i="12" s="1"/>
  <c r="X7" i="12" s="1"/>
  <c r="Y7" i="12" s="1"/>
  <c r="V603" i="12"/>
  <c r="W603" i="12" s="1"/>
  <c r="X603" i="12" s="1"/>
  <c r="Y603" i="12" s="1"/>
  <c r="V135" i="12"/>
  <c r="W135" i="12" s="1"/>
  <c r="X135" i="12" s="1"/>
  <c r="Y135" i="12" s="1"/>
  <c r="V245" i="12"/>
  <c r="W245" i="12" s="1"/>
  <c r="X245" i="12" s="1"/>
  <c r="Y245" i="12" s="1"/>
  <c r="V683" i="12"/>
  <c r="W683" i="12" s="1"/>
  <c r="X683" i="12" s="1"/>
  <c r="Y683" i="12" s="1"/>
  <c r="V663" i="12"/>
  <c r="W663" i="12" s="1"/>
  <c r="X663" i="12" s="1"/>
  <c r="Y663" i="12" s="1"/>
  <c r="V638" i="12"/>
  <c r="W638" i="12" s="1"/>
  <c r="X638" i="12" s="1"/>
  <c r="Y638" i="12" s="1"/>
  <c r="V859" i="12"/>
  <c r="W859" i="12" s="1"/>
  <c r="X859" i="12" s="1"/>
  <c r="Y859" i="12" s="1"/>
  <c r="V728" i="12"/>
  <c r="W728" i="12" s="1"/>
  <c r="X728" i="12" s="1"/>
  <c r="Y728" i="12" s="1"/>
  <c r="V839" i="12"/>
  <c r="W839" i="12" s="1"/>
  <c r="X839" i="12" s="1"/>
  <c r="Y839" i="12" s="1"/>
  <c r="V210" i="12"/>
  <c r="W210" i="12" s="1"/>
  <c r="X210" i="12" s="1"/>
  <c r="Y210" i="12" s="1"/>
  <c r="V11" i="12"/>
  <c r="W11" i="12" s="1"/>
  <c r="X11" i="12" s="1"/>
  <c r="Y11" i="12" s="1"/>
  <c r="V213" i="12"/>
  <c r="W213" i="12" s="1"/>
  <c r="X213" i="12" s="1"/>
  <c r="Y213" i="12" s="1"/>
  <c r="V119" i="12"/>
  <c r="W119" i="12" s="1"/>
  <c r="X119" i="12" s="1"/>
  <c r="Y119" i="12" s="1"/>
  <c r="V116" i="12"/>
  <c r="W116" i="12" s="1"/>
  <c r="X116" i="12" s="1"/>
  <c r="Y116" i="12" s="1"/>
  <c r="V740" i="12"/>
  <c r="W740" i="12" s="1"/>
  <c r="X740" i="12" s="1"/>
  <c r="Y740" i="12" s="1"/>
  <c r="V891" i="12"/>
  <c r="W891" i="12" s="1"/>
  <c r="X891" i="12" s="1"/>
  <c r="Y891" i="12" s="1"/>
  <c r="V631" i="12"/>
  <c r="W631" i="12" s="1"/>
  <c r="X631" i="12" s="1"/>
  <c r="Y631" i="12" s="1"/>
  <c r="V148" i="12"/>
  <c r="W148" i="12" s="1"/>
  <c r="X148" i="12" s="1"/>
  <c r="Y148" i="12" s="1"/>
  <c r="V590" i="12"/>
  <c r="W590" i="12" s="1"/>
  <c r="X590" i="12" s="1"/>
  <c r="Y590" i="12" s="1"/>
  <c r="V619" i="12"/>
  <c r="W619" i="12" s="1"/>
  <c r="X619" i="12" s="1"/>
  <c r="Y619" i="12" s="1"/>
  <c r="V710" i="12"/>
  <c r="W710" i="12" s="1"/>
  <c r="X710" i="12" s="1"/>
  <c r="Y710" i="12" s="1"/>
  <c r="V55" i="12"/>
  <c r="W55" i="12" s="1"/>
  <c r="X55" i="12" s="1"/>
  <c r="Y55" i="12" s="1"/>
  <c r="V717" i="12"/>
  <c r="W717" i="12" s="1"/>
  <c r="X717" i="12" s="1"/>
  <c r="Y717" i="12" s="1"/>
  <c r="V14" i="12"/>
  <c r="W14" i="12" s="1"/>
  <c r="X14" i="12" s="1"/>
  <c r="Y14" i="12" s="1"/>
  <c r="V873" i="12"/>
  <c r="W873" i="12" s="1"/>
  <c r="X873" i="12" s="1"/>
  <c r="Y873" i="12" s="1"/>
  <c r="V71" i="12"/>
  <c r="W71" i="12" s="1"/>
  <c r="X71" i="12" s="1"/>
  <c r="Y71" i="12" s="1"/>
  <c r="V680" i="12"/>
  <c r="W680" i="12" s="1"/>
  <c r="X680" i="12" s="1"/>
  <c r="Y680" i="12" s="1"/>
  <c r="V100" i="12"/>
  <c r="W100" i="12" s="1"/>
  <c r="X100" i="12" s="1"/>
  <c r="Y100" i="12" s="1"/>
  <c r="V862" i="12"/>
  <c r="W862" i="12" s="1"/>
  <c r="X862" i="12" s="1"/>
  <c r="Y862" i="12" s="1"/>
  <c r="V130" i="12"/>
  <c r="W130" i="12" s="1"/>
  <c r="X130" i="12" s="1"/>
  <c r="Y130" i="12" s="1"/>
  <c r="V574" i="12"/>
  <c r="W574" i="12" s="1"/>
  <c r="X574" i="12" s="1"/>
  <c r="Y574" i="12" s="1"/>
  <c r="V892" i="12"/>
  <c r="W892" i="12" s="1"/>
  <c r="X892" i="12" s="1"/>
  <c r="Y892" i="12" s="1"/>
  <c r="V679" i="12"/>
  <c r="W679" i="12" s="1"/>
  <c r="X679" i="12" s="1"/>
  <c r="Y679" i="12" s="1"/>
  <c r="V59" i="12"/>
  <c r="W59" i="12" s="1"/>
  <c r="X59" i="12" s="1"/>
  <c r="Y59" i="12" s="1"/>
  <c r="V900" i="12"/>
  <c r="W900" i="12" s="1"/>
  <c r="X900" i="12" s="1"/>
  <c r="Y900" i="12" s="1"/>
  <c r="V632" i="12"/>
  <c r="W632" i="12" s="1"/>
  <c r="X632" i="12" s="1"/>
  <c r="Y632" i="12" s="1"/>
  <c r="V782" i="12"/>
  <c r="W782" i="12" s="1"/>
  <c r="X782" i="12" s="1"/>
  <c r="Y782" i="12" s="1"/>
  <c r="V223" i="12"/>
  <c r="W223" i="12" s="1"/>
  <c r="X223" i="12" s="1"/>
  <c r="Y223" i="12" s="1"/>
  <c r="V199" i="12"/>
  <c r="W199" i="12" s="1"/>
  <c r="X199" i="12" s="1"/>
  <c r="Y199" i="12" s="1"/>
  <c r="V68" i="12"/>
  <c r="W68" i="12" s="1"/>
  <c r="X68" i="12" s="1"/>
  <c r="Y68" i="12" s="1"/>
  <c r="V654" i="12"/>
  <c r="W654" i="12" s="1"/>
  <c r="X654" i="12" s="1"/>
  <c r="Y654" i="12" s="1"/>
  <c r="V871" i="12"/>
  <c r="W871" i="12" s="1"/>
  <c r="X871" i="12" s="1"/>
  <c r="Y871" i="12" s="1"/>
  <c r="V74" i="12"/>
  <c r="W74" i="12" s="1"/>
  <c r="X74" i="12" s="1"/>
  <c r="Y74" i="12" s="1"/>
  <c r="V504" i="12"/>
  <c r="W504" i="12" s="1"/>
  <c r="X504" i="12" s="1"/>
  <c r="Y504" i="12" s="1"/>
  <c r="V605" i="12"/>
  <c r="W605" i="12" s="1"/>
  <c r="X605" i="12" s="1"/>
  <c r="Y605" i="12" s="1"/>
  <c r="V748" i="12"/>
  <c r="W748" i="12" s="1"/>
  <c r="X748" i="12" s="1"/>
  <c r="Y748" i="12" s="1"/>
  <c r="V180" i="12"/>
  <c r="W180" i="12" s="1"/>
  <c r="X180" i="12" s="1"/>
  <c r="Y180" i="12" s="1"/>
  <c r="V197" i="12"/>
  <c r="W197" i="12" s="1"/>
  <c r="X197" i="12" s="1"/>
  <c r="Y197" i="12" s="1"/>
  <c r="V239" i="12"/>
  <c r="W239" i="12" s="1"/>
  <c r="X239" i="12" s="1"/>
  <c r="Y239" i="12" s="1"/>
  <c r="V630" i="12"/>
  <c r="W630" i="12" s="1"/>
  <c r="X630" i="12" s="1"/>
  <c r="Y630" i="12" s="1"/>
  <c r="V229" i="12"/>
  <c r="W229" i="12" s="1"/>
  <c r="X229" i="12" s="1"/>
  <c r="Y229" i="12" s="1"/>
  <c r="V506" i="12"/>
  <c r="W506" i="12" s="1"/>
  <c r="X506" i="12" s="1"/>
  <c r="Y506" i="12" s="1"/>
  <c r="V812" i="12"/>
  <c r="W812" i="12" s="1"/>
  <c r="X812" i="12" s="1"/>
  <c r="Y812" i="12" s="1"/>
  <c r="V208" i="12"/>
  <c r="W208" i="12" s="1"/>
  <c r="X208" i="12" s="1"/>
  <c r="Y208" i="12" s="1"/>
  <c r="V775" i="12"/>
  <c r="W775" i="12" s="1"/>
  <c r="X775" i="12" s="1"/>
  <c r="Y775" i="12" s="1"/>
  <c r="V181" i="12"/>
  <c r="W181" i="12" s="1"/>
  <c r="X181" i="12" s="1"/>
  <c r="Y181" i="12" s="1"/>
  <c r="V87" i="12"/>
  <c r="W87" i="12" s="1"/>
  <c r="X87" i="12" s="1"/>
  <c r="Y87" i="12" s="1"/>
  <c r="V864" i="12"/>
  <c r="W864" i="12" s="1"/>
  <c r="X864" i="12" s="1"/>
  <c r="Y864" i="12" s="1"/>
  <c r="V727" i="12"/>
  <c r="W727" i="12" s="1"/>
  <c r="X727" i="12" s="1"/>
  <c r="Y727" i="12" s="1"/>
  <c r="V487" i="12"/>
  <c r="W487" i="12" s="1"/>
  <c r="X487" i="12" s="1"/>
  <c r="Y487" i="12" s="1"/>
  <c r="V675" i="12"/>
  <c r="W675" i="12" s="1"/>
  <c r="X675" i="12" s="1"/>
  <c r="Y675" i="12" s="1"/>
  <c r="V231" i="12"/>
  <c r="W231" i="12" s="1"/>
  <c r="X231" i="12" s="1"/>
  <c r="Y231" i="12" s="1"/>
  <c r="V139" i="12"/>
  <c r="W139" i="12" s="1"/>
  <c r="X139" i="12" s="1"/>
  <c r="Y139" i="12" s="1"/>
  <c r="V863" i="12"/>
  <c r="W863" i="12" s="1"/>
  <c r="X863" i="12" s="1"/>
  <c r="Y863" i="12" s="1"/>
  <c r="V23" i="12"/>
  <c r="W23" i="12" s="1"/>
  <c r="X23" i="12" s="1"/>
  <c r="Y23" i="12" s="1"/>
  <c r="V708" i="12"/>
  <c r="W708" i="12" s="1"/>
  <c r="X708" i="12" s="1"/>
  <c r="Y708" i="12" s="1"/>
  <c r="V771" i="12"/>
  <c r="W771" i="12" s="1"/>
  <c r="X771" i="12" s="1"/>
  <c r="Y771" i="12" s="1"/>
  <c r="V884" i="12"/>
  <c r="W884" i="12" s="1"/>
  <c r="X884" i="12" s="1"/>
  <c r="Y884" i="12" s="1"/>
  <c r="V82" i="12"/>
  <c r="W82" i="12" s="1"/>
  <c r="X82" i="12" s="1"/>
  <c r="Y82" i="12" s="1"/>
  <c r="V193" i="12"/>
  <c r="W193" i="12" s="1"/>
  <c r="X193" i="12" s="1"/>
  <c r="Y193" i="12" s="1"/>
  <c r="V707" i="12"/>
  <c r="W707" i="12" s="1"/>
  <c r="X707" i="12" s="1"/>
  <c r="Y707" i="12" s="1"/>
  <c r="V688" i="12"/>
  <c r="W688" i="12" s="1"/>
  <c r="X688" i="12" s="1"/>
  <c r="Y688" i="12" s="1"/>
  <c r="V141" i="12"/>
  <c r="W141" i="12" s="1"/>
  <c r="X141" i="12" s="1"/>
  <c r="Y141" i="12" s="1"/>
  <c r="V98" i="12"/>
  <c r="W98" i="12" s="1"/>
  <c r="X98" i="12" s="1"/>
  <c r="Y98" i="12" s="1"/>
  <c r="V883" i="12"/>
  <c r="W883" i="12" s="1"/>
  <c r="X883" i="12" s="1"/>
  <c r="Y883" i="12" s="1"/>
  <c r="V144" i="12"/>
  <c r="W144" i="12" s="1"/>
  <c r="X144" i="12" s="1"/>
  <c r="Y144" i="12" s="1"/>
  <c r="V606" i="12"/>
  <c r="W606" i="12" s="1"/>
  <c r="X606" i="12" s="1"/>
  <c r="Y606" i="12" s="1"/>
  <c r="V804" i="12"/>
  <c r="W804" i="12" s="1"/>
  <c r="X804" i="12" s="1"/>
  <c r="Y804" i="12" s="1"/>
  <c r="V820" i="12"/>
  <c r="W820" i="12" s="1"/>
  <c r="X820" i="12" s="1"/>
  <c r="Y820" i="12" s="1"/>
  <c r="V938" i="12"/>
  <c r="W938" i="12" s="1"/>
  <c r="X938" i="12" s="1"/>
  <c r="Y938" i="12" s="1"/>
  <c r="V915" i="12"/>
  <c r="W915" i="12" s="1"/>
  <c r="X915" i="12" s="1"/>
  <c r="Y915" i="12" s="1"/>
  <c r="V494" i="12"/>
  <c r="W494" i="12" s="1"/>
  <c r="X494" i="12" s="1"/>
  <c r="Y494" i="12" s="1"/>
  <c r="V149" i="12"/>
  <c r="W149" i="12" s="1"/>
  <c r="X149" i="12" s="1"/>
  <c r="Y149" i="12" s="1"/>
  <c r="V175" i="12"/>
  <c r="W175" i="12" s="1"/>
  <c r="X175" i="12" s="1"/>
  <c r="Y175" i="12" s="1"/>
  <c r="V852" i="12"/>
  <c r="W852" i="12" s="1"/>
  <c r="X852" i="12" s="1"/>
  <c r="Y852" i="12" s="1"/>
  <c r="V132" i="12"/>
  <c r="W132" i="12" s="1"/>
  <c r="X132" i="12" s="1"/>
  <c r="Y132" i="12" s="1"/>
  <c r="V800" i="12"/>
  <c r="W800" i="12" s="1"/>
  <c r="X800" i="12" s="1"/>
  <c r="Y800" i="12" s="1"/>
  <c r="V674" i="12"/>
  <c r="W674" i="12" s="1"/>
  <c r="X674" i="12" s="1"/>
  <c r="Y674" i="12" s="1"/>
  <c r="V837" i="12"/>
  <c r="W837" i="12" s="1"/>
  <c r="X837" i="12" s="1"/>
  <c r="Y837" i="12" s="1"/>
  <c r="V615" i="12"/>
  <c r="W615" i="12" s="1"/>
  <c r="X615" i="12" s="1"/>
  <c r="Y615" i="12" s="1"/>
  <c r="V26" i="12"/>
  <c r="W26" i="12" s="1"/>
  <c r="X26" i="12" s="1"/>
  <c r="Y26" i="12" s="1"/>
  <c r="V207" i="12"/>
  <c r="W207" i="12" s="1"/>
  <c r="X207" i="12" s="1"/>
  <c r="Y207" i="12" s="1"/>
  <c r="V923" i="12"/>
  <c r="W923" i="12" s="1"/>
  <c r="X923" i="12" s="1"/>
  <c r="Y923" i="12" s="1"/>
  <c r="V42" i="12"/>
  <c r="W42" i="12" s="1"/>
  <c r="X42" i="12" s="1"/>
  <c r="Y42" i="12" s="1"/>
  <c r="V106" i="12"/>
  <c r="W106" i="12" s="1"/>
  <c r="X106" i="12" s="1"/>
  <c r="Y106" i="12" s="1"/>
  <c r="V498" i="12"/>
  <c r="W498" i="12" s="1"/>
  <c r="X498" i="12" s="1"/>
  <c r="Y498" i="12" s="1"/>
  <c r="V234" i="12"/>
  <c r="W234" i="12" s="1"/>
  <c r="X234" i="12" s="1"/>
  <c r="Y234" i="12" s="1"/>
  <c r="V24" i="12"/>
  <c r="W24" i="12" s="1"/>
  <c r="X24" i="12" s="1"/>
  <c r="Y24" i="12" s="1"/>
  <c r="V569" i="12"/>
  <c r="W569" i="12" s="1"/>
  <c r="X569" i="12" s="1"/>
  <c r="Y569" i="12" s="1"/>
  <c r="V513" i="12"/>
  <c r="V599" i="12"/>
  <c r="V826" i="12"/>
  <c r="W826" i="12" s="1"/>
  <c r="X826" i="12" s="1"/>
  <c r="Y826" i="12" s="1"/>
  <c r="V925" i="12"/>
  <c r="W925" i="12" s="1"/>
  <c r="X925" i="12" s="1"/>
  <c r="Y925" i="12" s="1"/>
  <c r="V39" i="12"/>
  <c r="V214" i="12"/>
  <c r="W214" i="12" s="1"/>
  <c r="X214" i="12" s="1"/>
  <c r="Y214" i="12" s="1"/>
  <c r="V576" i="12"/>
  <c r="W576" i="12" s="1"/>
  <c r="X576" i="12" s="1"/>
  <c r="Y576" i="12" s="1"/>
  <c r="V540" i="12"/>
  <c r="W540" i="12" s="1"/>
  <c r="X540" i="12" s="1"/>
  <c r="Y540" i="12" s="1"/>
  <c r="V790" i="12"/>
  <c r="W790" i="12" s="1"/>
  <c r="X790" i="12" s="1"/>
  <c r="Y790" i="12" s="1"/>
  <c r="V840" i="12"/>
  <c r="W840" i="12" s="1"/>
  <c r="X840" i="12" s="1"/>
  <c r="Y840" i="12" s="1"/>
  <c r="V658" i="12"/>
  <c r="W658" i="12" s="1"/>
  <c r="X658" i="12" s="1"/>
  <c r="Y658" i="12" s="1"/>
  <c r="V889" i="12"/>
  <c r="W889" i="12" s="1"/>
  <c r="X889" i="12" s="1"/>
  <c r="Y889" i="12" s="1"/>
  <c r="V532" i="12"/>
  <c r="V786" i="12"/>
  <c r="W786" i="12" s="1"/>
  <c r="X786" i="12" s="1"/>
  <c r="Y786" i="12" s="1"/>
  <c r="V150" i="12"/>
  <c r="W150" i="12" s="1"/>
  <c r="X150" i="12" s="1"/>
  <c r="Y150" i="12" s="1"/>
  <c r="V779" i="12"/>
  <c r="W779" i="12" s="1"/>
  <c r="X779" i="12" s="1"/>
  <c r="Y779" i="12" s="1"/>
  <c r="V762" i="12"/>
  <c r="V689" i="12"/>
  <c r="W689" i="12" s="1"/>
  <c r="X689" i="12" s="1"/>
  <c r="Y689" i="12" s="1"/>
  <c r="V157" i="12"/>
  <c r="V581" i="12"/>
  <c r="W581" i="12" s="1"/>
  <c r="X581" i="12" s="1"/>
  <c r="Y581" i="12" s="1"/>
  <c r="V228" i="12"/>
  <c r="W228" i="12" s="1"/>
  <c r="X228" i="12" s="1"/>
  <c r="Y228" i="12" s="1"/>
  <c r="V759" i="12"/>
  <c r="V625" i="12"/>
  <c r="W625" i="12" s="1"/>
  <c r="X625" i="12" s="1"/>
  <c r="Y625" i="12" s="1"/>
  <c r="V241" i="12"/>
  <c r="W241" i="12" s="1"/>
  <c r="X241" i="12" s="1"/>
  <c r="Y241" i="12" s="1"/>
  <c r="V928" i="12"/>
  <c r="W928" i="12" s="1"/>
  <c r="X928" i="12" s="1"/>
  <c r="Y928" i="12" s="1"/>
  <c r="V145" i="12"/>
  <c r="W145" i="12" s="1"/>
  <c r="X145" i="12" s="1"/>
  <c r="Y145" i="12" s="1"/>
  <c r="V851" i="12"/>
  <c r="W851" i="12" s="1"/>
  <c r="X851" i="12" s="1"/>
  <c r="Y851" i="12" s="1"/>
  <c r="V858" i="12"/>
  <c r="W858" i="12" s="1"/>
  <c r="X858" i="12" s="1"/>
  <c r="Y858" i="12" s="1"/>
  <c r="V756" i="12"/>
  <c r="V102" i="12"/>
  <c r="W102" i="12" s="1"/>
  <c r="X102" i="12" s="1"/>
  <c r="Y102" i="12" s="1"/>
  <c r="V602" i="12"/>
  <c r="W602" i="12" s="1"/>
  <c r="X602" i="12" s="1"/>
  <c r="Y602" i="12" s="1"/>
  <c r="V86" i="12"/>
  <c r="W86" i="12" s="1"/>
  <c r="X86" i="12" s="1"/>
  <c r="Y86" i="12" s="1"/>
  <c r="V517" i="12"/>
  <c r="V641" i="12"/>
  <c r="W641" i="12" s="1"/>
  <c r="X641" i="12" s="1"/>
  <c r="Y641" i="12" s="1"/>
  <c r="V849" i="12"/>
  <c r="W849" i="12" s="1"/>
  <c r="X849" i="12" s="1"/>
  <c r="Y849" i="12" s="1"/>
  <c r="V696" i="12"/>
  <c r="V8" i="12"/>
  <c r="W8" i="12" s="1"/>
  <c r="X8" i="12" s="1"/>
  <c r="Y8" i="12" s="1"/>
  <c r="V831" i="12"/>
  <c r="V739" i="12"/>
  <c r="W739" i="12" s="1"/>
  <c r="X739" i="12" s="1"/>
  <c r="Y739" i="12" s="1"/>
  <c r="V171" i="12"/>
  <c r="V554" i="12"/>
  <c r="W554" i="12" s="1"/>
  <c r="X554" i="12" s="1"/>
  <c r="Y554" i="12" s="1"/>
  <c r="V649" i="12"/>
  <c r="W649" i="12" s="1"/>
  <c r="X649" i="12" s="1"/>
  <c r="Y649" i="12" s="1"/>
  <c r="V45" i="12"/>
  <c r="W45" i="12" s="1"/>
  <c r="X45" i="12" s="1"/>
  <c r="Y45" i="12" s="1"/>
  <c r="V189" i="12"/>
  <c r="V25" i="12"/>
  <c r="W25" i="12" s="1"/>
  <c r="X25" i="12" s="1"/>
  <c r="Y25" i="12" s="1"/>
  <c r="V481" i="12"/>
  <c r="V482" i="12"/>
  <c r="W482" i="12" s="1"/>
  <c r="X482" i="12" s="1"/>
  <c r="Y482" i="12" s="1"/>
  <c r="V653" i="12"/>
  <c r="W653" i="12" s="1"/>
  <c r="X653" i="12" s="1"/>
  <c r="Y653" i="12" s="1"/>
  <c r="V137" i="12"/>
  <c r="W137" i="12" s="1"/>
  <c r="X137" i="12" s="1"/>
  <c r="Y137" i="12" s="1"/>
  <c r="V930" i="12"/>
  <c r="V706" i="12"/>
  <c r="W706" i="12" s="1"/>
  <c r="X706" i="12" s="1"/>
  <c r="Y706" i="12" s="1"/>
  <c r="V112" i="12"/>
  <c r="V230" i="12"/>
  <c r="W230" i="12" s="1"/>
  <c r="X230" i="12" s="1"/>
  <c r="Y230" i="12" s="1"/>
  <c r="V65" i="12"/>
  <c r="V933" i="12"/>
  <c r="V95" i="12"/>
  <c r="W95" i="12" s="1"/>
  <c r="X95" i="12" s="1"/>
  <c r="Y95" i="12" s="1"/>
  <c r="V572" i="12"/>
  <c r="W572" i="12" s="1"/>
  <c r="X572" i="12" s="1"/>
  <c r="Y572" i="12" s="1"/>
  <c r="V73" i="12"/>
  <c r="W73" i="12" s="1"/>
  <c r="X73" i="12" s="1"/>
  <c r="Y73" i="12" s="1"/>
  <c r="V789" i="12"/>
  <c r="V794" i="12"/>
  <c r="W794" i="12" s="1"/>
  <c r="X794" i="12" s="1"/>
  <c r="Y794" i="12" s="1"/>
  <c r="V41" i="12"/>
  <c r="V668" i="12"/>
  <c r="W668" i="12" s="1"/>
  <c r="X668" i="12" s="1"/>
  <c r="Y668" i="12" s="1"/>
  <c r="V724" i="12"/>
  <c r="W724" i="12" s="1"/>
  <c r="X724" i="12" s="1"/>
  <c r="Y724" i="12" s="1"/>
  <c r="V541" i="12"/>
  <c r="W541" i="12" s="1"/>
  <c r="X541" i="12" s="1"/>
  <c r="Y541" i="12" s="1"/>
  <c r="V704" i="12"/>
  <c r="V585" i="12"/>
  <c r="W585" i="12" s="1"/>
  <c r="X585" i="12" s="1"/>
  <c r="Y585" i="12" s="1"/>
  <c r="V70" i="12"/>
  <c r="W70" i="12" s="1"/>
  <c r="X70" i="12" s="1"/>
  <c r="Y70" i="12" s="1"/>
  <c r="V618" i="12"/>
  <c r="W618" i="12" s="1"/>
  <c r="X618" i="12" s="1"/>
  <c r="Y618" i="12" s="1"/>
  <c r="V770" i="12"/>
  <c r="W770" i="12" s="1"/>
  <c r="X770" i="12" s="1"/>
  <c r="Y770" i="12" s="1"/>
  <c r="V198" i="12"/>
  <c r="W198" i="12" s="1"/>
  <c r="X198" i="12" s="1"/>
  <c r="Y198" i="12" s="1"/>
  <c r="V217" i="12"/>
  <c r="W217" i="12" s="1"/>
  <c r="X217" i="12" s="1"/>
  <c r="Y217" i="12" s="1"/>
  <c r="V103" i="12"/>
  <c r="W103" i="12" s="1"/>
  <c r="X103" i="12" s="1"/>
  <c r="Y103" i="12" s="1"/>
  <c r="V54" i="12"/>
  <c r="W54" i="12" s="1"/>
  <c r="X54" i="12" s="1"/>
  <c r="Y54" i="12" s="1"/>
  <c r="V645" i="12"/>
  <c r="W645" i="12" s="1"/>
  <c r="X645" i="12" s="1"/>
  <c r="Y645" i="12" s="1"/>
  <c r="V56" i="12"/>
  <c r="W56" i="12" s="1"/>
  <c r="X56" i="12" s="1"/>
  <c r="Y56" i="12" s="1"/>
  <c r="V91" i="12"/>
  <c r="W91" i="12" s="1"/>
  <c r="X91" i="12" s="1"/>
  <c r="Y91" i="12" s="1"/>
  <c r="V810" i="12"/>
  <c r="W810" i="12" s="1"/>
  <c r="X810" i="12" s="1"/>
  <c r="Y810" i="12" s="1"/>
  <c r="V187" i="12"/>
  <c r="V867" i="12"/>
  <c r="W867" i="12" s="1"/>
  <c r="X867" i="12" s="1"/>
  <c r="Y867" i="12" s="1"/>
  <c r="V692" i="12"/>
  <c r="W692" i="12" s="1"/>
  <c r="X692" i="12" s="1"/>
  <c r="Y692" i="12" s="1"/>
  <c r="V753" i="12"/>
  <c r="W753" i="12" s="1"/>
  <c r="X753" i="12" s="1"/>
  <c r="Y753" i="12" s="1"/>
  <c r="V637" i="12"/>
  <c r="W637" i="12" s="1"/>
  <c r="X637" i="12" s="1"/>
  <c r="Y637" i="12" s="1"/>
  <c r="V906" i="12"/>
  <c r="W906" i="12" s="1"/>
  <c r="X906" i="12" s="1"/>
  <c r="Y906" i="12" s="1"/>
  <c r="V774" i="12"/>
  <c r="W774" i="12" s="1"/>
  <c r="X774" i="12" s="1"/>
  <c r="Y774" i="12" s="1"/>
  <c r="V733" i="12"/>
  <c r="W733" i="12" s="1"/>
  <c r="X733" i="12" s="1"/>
  <c r="Y733" i="12" s="1"/>
  <c r="V57" i="12"/>
  <c r="W57" i="12" s="1"/>
  <c r="X57" i="12" s="1"/>
  <c r="Y57" i="12" s="1"/>
  <c r="V226" i="12"/>
  <c r="W226" i="12" s="1"/>
  <c r="X226" i="12" s="1"/>
  <c r="Y226" i="12" s="1"/>
  <c r="V806" i="12"/>
  <c r="W806" i="12" s="1"/>
  <c r="X806" i="12" s="1"/>
  <c r="Y806" i="12" s="1"/>
  <c r="V549" i="12"/>
  <c r="W549" i="12" s="1"/>
  <c r="X549" i="12" s="1"/>
  <c r="Y549" i="12" s="1"/>
  <c r="V505" i="12"/>
  <c r="W505" i="12" s="1"/>
  <c r="X505" i="12" s="1"/>
  <c r="Y505" i="12" s="1"/>
  <c r="V80" i="12"/>
  <c r="W80" i="12" s="1"/>
  <c r="X80" i="12" s="1"/>
  <c r="Y80" i="12" s="1"/>
  <c r="V109" i="12"/>
  <c r="W109" i="12" s="1"/>
  <c r="X109" i="12" s="1"/>
  <c r="Y109" i="12" s="1"/>
  <c r="V712" i="12"/>
  <c r="W712" i="12" s="1"/>
  <c r="X712" i="12" s="1"/>
  <c r="Y712" i="12" s="1"/>
  <c r="V857" i="12"/>
  <c r="W857" i="12" s="1"/>
  <c r="X857" i="12" s="1"/>
  <c r="Y857" i="12" s="1"/>
  <c r="V825" i="12"/>
  <c r="W825" i="12" s="1"/>
  <c r="X825" i="12" s="1"/>
  <c r="Y825" i="12" s="1"/>
  <c r="V669" i="12"/>
  <c r="W669" i="12" s="1"/>
  <c r="X669" i="12" s="1"/>
  <c r="Y669" i="12" s="1"/>
  <c r="V9" i="12"/>
  <c r="W9" i="12" s="1"/>
  <c r="X9" i="12" s="1"/>
  <c r="Y9" i="12" s="1"/>
  <c r="V586" i="12"/>
  <c r="W586" i="12" s="1"/>
  <c r="X586" i="12" s="1"/>
  <c r="Y586" i="12" s="1"/>
  <c r="V218" i="12"/>
  <c r="W218" i="12" s="1"/>
  <c r="X218" i="12" s="1"/>
  <c r="Y218" i="12" s="1"/>
  <c r="V201" i="12"/>
  <c r="W201" i="12" s="1"/>
  <c r="X201" i="12" s="1"/>
  <c r="Y201" i="12" s="1"/>
  <c r="V819" i="12"/>
  <c r="W819" i="12" s="1"/>
  <c r="X819" i="12" s="1"/>
  <c r="Y819" i="12" s="1"/>
  <c r="V823" i="12"/>
  <c r="W823" i="12" s="1"/>
  <c r="X823" i="12" s="1"/>
  <c r="Y823" i="12" s="1"/>
  <c r="V604" i="12"/>
  <c r="W604" i="12" s="1"/>
  <c r="X604" i="12" s="1"/>
  <c r="Y604" i="12" s="1"/>
  <c r="V77" i="12"/>
  <c r="W77" i="12" s="1"/>
  <c r="X77" i="12" s="1"/>
  <c r="Y77" i="12" s="1"/>
  <c r="V202" i="12"/>
  <c r="W202" i="12" s="1"/>
  <c r="X202" i="12" s="1"/>
  <c r="Y202" i="12" s="1"/>
  <c r="V633" i="12"/>
  <c r="W633" i="12" s="1"/>
  <c r="X633" i="12" s="1"/>
  <c r="Y633" i="12" s="1"/>
  <c r="V565" i="12"/>
  <c r="W565" i="12" s="1"/>
  <c r="X565" i="12" s="1"/>
  <c r="Y565" i="12" s="1"/>
  <c r="V165" i="12"/>
  <c r="V614" i="12"/>
  <c r="V650" i="12"/>
  <c r="W650" i="12" s="1"/>
  <c r="X650" i="12" s="1"/>
  <c r="Y650" i="12" s="1"/>
  <c r="V629" i="12"/>
  <c r="W629" i="12" s="1"/>
  <c r="X629" i="12" s="1"/>
  <c r="Y629" i="12" s="1"/>
  <c r="V848" i="12"/>
  <c r="V521" i="12"/>
  <c r="W521" i="12" s="1"/>
  <c r="X521" i="12" s="1"/>
  <c r="Y521" i="12" s="1"/>
  <c r="V134" i="12"/>
  <c r="W134" i="12" s="1"/>
  <c r="X134" i="12" s="1"/>
  <c r="Y134" i="12" s="1"/>
  <c r="V72" i="12"/>
  <c r="W72" i="12" s="1"/>
  <c r="X72" i="12" s="1"/>
  <c r="Y72" i="12" s="1"/>
  <c r="V829" i="12"/>
  <c r="V484" i="12"/>
  <c r="W484" i="12" s="1"/>
  <c r="X484" i="12" s="1"/>
  <c r="Y484" i="12" s="1"/>
  <c r="V940" i="12"/>
  <c r="V785" i="12"/>
  <c r="W785" i="12" s="1"/>
  <c r="X785" i="12" s="1"/>
  <c r="Y785" i="12" s="1"/>
  <c r="V174" i="12"/>
  <c r="V773" i="12"/>
  <c r="V694" i="12"/>
  <c r="V48" i="12"/>
  <c r="W48" i="12" s="1"/>
  <c r="X48" i="12" s="1"/>
  <c r="Y48" i="12" s="1"/>
  <c r="V237" i="12"/>
  <c r="V657" i="12"/>
  <c r="W657" i="12" s="1"/>
  <c r="X657" i="12" s="1"/>
  <c r="Y657" i="12" s="1"/>
  <c r="V760" i="12"/>
  <c r="W760" i="12" s="1"/>
  <c r="X760" i="12" s="1"/>
  <c r="Y760" i="12" s="1"/>
  <c r="V13" i="12"/>
  <c r="W13" i="12" s="1"/>
  <c r="X13" i="12" s="1"/>
  <c r="Y13" i="12" s="1"/>
  <c r="V222" i="12"/>
  <c r="W222" i="12" s="1"/>
  <c r="X222" i="12" s="1"/>
  <c r="Y222" i="12" s="1"/>
  <c r="V209" i="12"/>
  <c r="W209" i="12" s="1"/>
  <c r="X209" i="12" s="1"/>
  <c r="Y209" i="12" s="1"/>
  <c r="V890" i="12"/>
  <c r="W890" i="12" s="1"/>
  <c r="X890" i="12" s="1"/>
  <c r="Y890" i="12" s="1"/>
  <c r="V489" i="12"/>
  <c r="W489" i="12" s="1"/>
  <c r="X489" i="12" s="1"/>
  <c r="Y489" i="12" s="1"/>
  <c r="V53" i="12"/>
  <c r="V85" i="12"/>
  <c r="W85" i="12" s="1"/>
  <c r="X85" i="12" s="1"/>
  <c r="Y85" i="12" s="1"/>
  <c r="V878" i="12"/>
  <c r="W878" i="12" s="1"/>
  <c r="X878" i="12" s="1"/>
  <c r="Y878" i="12" s="1"/>
  <c r="V5" i="12"/>
  <c r="V93" i="12"/>
  <c r="W93" i="12" s="1"/>
  <c r="X93" i="12" s="1"/>
  <c r="Y93" i="12" s="1"/>
  <c r="V553" i="12"/>
  <c r="V562" i="12"/>
  <c r="W562" i="12" s="1"/>
  <c r="X562" i="12" s="1"/>
  <c r="Y562" i="12" s="1"/>
  <c r="V561" i="12"/>
  <c r="W561" i="12" s="1"/>
  <c r="X561" i="12" s="1"/>
  <c r="Y561" i="12" s="1"/>
  <c r="V934" i="12"/>
  <c r="W934" i="12" s="1"/>
  <c r="X934" i="12" s="1"/>
  <c r="Y934" i="12" s="1"/>
  <c r="V182" i="12"/>
  <c r="W182" i="12" s="1"/>
  <c r="X182" i="12" s="1"/>
  <c r="Y182" i="12" s="1"/>
  <c r="V860" i="12"/>
  <c r="W860" i="12" s="1"/>
  <c r="X860" i="12" s="1"/>
  <c r="Y860" i="12" s="1"/>
  <c r="V92" i="12"/>
  <c r="W92" i="12" s="1"/>
  <c r="X92" i="12" s="1"/>
  <c r="Y92" i="12" s="1"/>
  <c r="V899" i="12"/>
  <c r="W899" i="12" s="1"/>
  <c r="X899" i="12" s="1"/>
  <c r="Y899" i="12" s="1"/>
  <c r="V784" i="12"/>
  <c r="V580" i="12"/>
  <c r="W580" i="12" s="1"/>
  <c r="X580" i="12" s="1"/>
  <c r="Y580" i="12" s="1"/>
  <c r="V747" i="12"/>
  <c r="W747" i="12" s="1"/>
  <c r="X747" i="12" s="1"/>
  <c r="Y747" i="12" s="1"/>
  <c r="V50" i="12"/>
  <c r="V155" i="12"/>
  <c r="W155" i="12" s="1"/>
  <c r="X155" i="12" s="1"/>
  <c r="Y155" i="12" s="1"/>
  <c r="V551" i="12"/>
  <c r="V621" i="12"/>
  <c r="W621" i="12" s="1"/>
  <c r="X621" i="12" s="1"/>
  <c r="Y621" i="12" s="1"/>
  <c r="V233" i="12"/>
  <c r="W233" i="12" s="1"/>
  <c r="X233" i="12" s="1"/>
  <c r="Y233" i="12" s="1"/>
  <c r="V732" i="12"/>
  <c r="W732" i="12" s="1"/>
  <c r="X732" i="12" s="1"/>
  <c r="Y732" i="12" s="1"/>
  <c r="V216" i="12"/>
  <c r="W216" i="12" s="1"/>
  <c r="X216" i="12" s="1"/>
  <c r="Y216" i="12" s="1"/>
  <c r="V492" i="12"/>
  <c r="W492" i="12" s="1"/>
  <c r="X492" i="12" s="1"/>
  <c r="Y492" i="12" s="1"/>
  <c r="V898" i="12"/>
  <c r="W898" i="12" s="1"/>
  <c r="X898" i="12" s="1"/>
  <c r="Y898" i="12" s="1"/>
  <c r="V129" i="12"/>
  <c r="W129" i="12" s="1"/>
  <c r="X129" i="12" s="1"/>
  <c r="Y129" i="12" s="1"/>
  <c r="V544" i="12"/>
  <c r="V626" i="12"/>
  <c r="W626" i="12" s="1"/>
  <c r="X626" i="12" s="1"/>
  <c r="Y626" i="12" s="1"/>
  <c r="V515" i="12"/>
  <c r="W515" i="12" s="1"/>
  <c r="X515" i="12" s="1"/>
  <c r="Y515" i="12" s="1"/>
  <c r="V22" i="12"/>
  <c r="W22" i="12" s="1"/>
  <c r="X22" i="12" s="1"/>
  <c r="Y22" i="12" s="1"/>
  <c r="V685" i="12"/>
  <c r="W685" i="12" s="1"/>
  <c r="X685" i="12" s="1"/>
  <c r="Y685" i="12" s="1"/>
  <c r="V113" i="12"/>
  <c r="W113" i="12" s="1"/>
  <c r="X113" i="12" s="1"/>
  <c r="Y113" i="12" s="1"/>
  <c r="V10" i="12"/>
  <c r="W10" i="12" s="1"/>
  <c r="X10" i="12" s="1"/>
  <c r="Y10" i="12" s="1"/>
  <c r="V122" i="12"/>
  <c r="V897" i="12"/>
  <c r="W897" i="12" s="1"/>
  <c r="X897" i="12" s="1"/>
  <c r="Y897" i="12" s="1"/>
  <c r="V722" i="12"/>
  <c r="W722" i="12" s="1"/>
  <c r="X722" i="12" s="1"/>
  <c r="Y722" i="12" s="1"/>
  <c r="V672" i="12"/>
  <c r="V816" i="12"/>
  <c r="W816" i="12" s="1"/>
  <c r="X816" i="12" s="1"/>
  <c r="Y816" i="12" s="1"/>
  <c r="V666" i="12"/>
  <c r="W666" i="12" s="1"/>
  <c r="X666" i="12" s="1"/>
  <c r="Y666" i="12" s="1"/>
  <c r="V17" i="12"/>
  <c r="W17" i="12" s="1"/>
  <c r="X17" i="12" s="1"/>
  <c r="Y17" i="12" s="1"/>
  <c r="V536" i="12"/>
  <c r="W536" i="12" s="1"/>
  <c r="X536" i="12" s="1"/>
  <c r="Y536" i="12" s="1"/>
  <c r="V99" i="12"/>
  <c r="W99" i="12" s="1"/>
  <c r="X99" i="12" s="1"/>
  <c r="Y99" i="12" s="1"/>
  <c r="V902" i="12"/>
  <c r="W902" i="12" s="1"/>
  <c r="X902" i="12" s="1"/>
  <c r="Y902" i="12" s="1"/>
  <c r="V882" i="12"/>
  <c r="W882" i="12" s="1"/>
  <c r="X882" i="12" s="1"/>
  <c r="Y882" i="12" s="1"/>
  <c r="V893" i="12"/>
  <c r="W893" i="12" s="1"/>
  <c r="X893" i="12" s="1"/>
  <c r="Y893" i="12" s="1"/>
  <c r="V698" i="12"/>
  <c r="W698" i="12" s="1"/>
  <c r="X698" i="12" s="1"/>
  <c r="Y698" i="12" s="1"/>
  <c r="V69" i="12"/>
  <c r="W69" i="12" s="1"/>
  <c r="X69" i="12" s="1"/>
  <c r="Y69" i="12" s="1"/>
  <c r="V752" i="12"/>
  <c r="W752" i="12" s="1"/>
  <c r="X752" i="12" s="1"/>
  <c r="Y752" i="12" s="1"/>
  <c r="V503" i="12"/>
  <c r="W503" i="12" s="1"/>
  <c r="X503" i="12" s="1"/>
  <c r="Y503" i="12" s="1"/>
  <c r="V776" i="12"/>
  <c r="W776" i="12" s="1"/>
  <c r="X776" i="12" s="1"/>
  <c r="Y776" i="12" s="1"/>
  <c r="V169" i="12"/>
  <c r="W169" i="12" s="1"/>
  <c r="X169" i="12" s="1"/>
  <c r="Y169" i="12" s="1"/>
  <c r="V508" i="12"/>
  <c r="W508" i="12" s="1"/>
  <c r="X508" i="12" s="1"/>
  <c r="Y508" i="12" s="1"/>
  <c r="V913" i="12"/>
  <c r="W913" i="12" s="1"/>
  <c r="X913" i="12" s="1"/>
  <c r="Y913" i="12" s="1"/>
  <c r="V842" i="12"/>
  <c r="V224" i="12"/>
  <c r="W224" i="12" s="1"/>
  <c r="X224" i="12" s="1"/>
  <c r="Y224" i="12" s="1"/>
  <c r="V497" i="12"/>
  <c r="V912" i="12"/>
  <c r="W912" i="12" s="1"/>
  <c r="X912" i="12" s="1"/>
  <c r="Y912" i="12" s="1"/>
  <c r="V247" i="12"/>
  <c r="V861" i="12"/>
  <c r="W861" i="12" s="1"/>
  <c r="X861" i="12" s="1"/>
  <c r="Y861" i="12" s="1"/>
  <c r="V564" i="12"/>
  <c r="W564" i="12" s="1"/>
  <c r="X564" i="12" s="1"/>
  <c r="Y564" i="12" s="1"/>
  <c r="V697" i="12"/>
  <c r="W697" i="12" s="1"/>
  <c r="X697" i="12" s="1"/>
  <c r="Y697" i="12" s="1"/>
  <c r="V500" i="12"/>
  <c r="W500" i="12" s="1"/>
  <c r="X500" i="12" s="1"/>
  <c r="Y500" i="12" s="1"/>
  <c r="V190" i="12"/>
  <c r="W190" i="12" s="1"/>
  <c r="X190" i="12" s="1"/>
  <c r="Y190" i="12" s="1"/>
  <c r="V32" i="12"/>
  <c r="V120" i="12"/>
  <c r="W120" i="12" s="1"/>
  <c r="X120" i="12" s="1"/>
  <c r="Y120" i="12" s="1"/>
  <c r="V730" i="12"/>
  <c r="W730" i="12" s="1"/>
  <c r="X730" i="12" s="1"/>
  <c r="Y730" i="12" s="1"/>
  <c r="V601" i="12"/>
  <c r="W601" i="12" s="1"/>
  <c r="X601" i="12" s="1"/>
  <c r="Y601" i="12" s="1"/>
  <c r="V558" i="12"/>
  <c r="V769" i="12"/>
  <c r="W769" i="12" s="1"/>
  <c r="X769" i="12" s="1"/>
  <c r="Y769" i="12" s="1"/>
  <c r="V29" i="12"/>
  <c r="W29" i="12" s="1"/>
  <c r="X29" i="12" s="1"/>
  <c r="Y29" i="12" s="1"/>
  <c r="V166" i="12"/>
  <c r="W166" i="12" s="1"/>
  <c r="X166" i="12" s="1"/>
  <c r="Y166" i="12" s="1"/>
  <c r="V501" i="12"/>
  <c r="W501" i="12" s="1"/>
  <c r="X501" i="12" s="1"/>
  <c r="Y501" i="12" s="1"/>
  <c r="V612" i="12"/>
  <c r="V559" i="12"/>
  <c r="W559" i="12" s="1"/>
  <c r="X559" i="12" s="1"/>
  <c r="Y559" i="12" s="1"/>
  <c r="V620" i="12"/>
  <c r="W620" i="12" s="1"/>
  <c r="X620" i="12" s="1"/>
  <c r="Y620" i="12" s="1"/>
  <c r="V778" i="12"/>
  <c r="V47" i="12"/>
  <c r="V227" i="12"/>
  <c r="W227" i="12" s="1"/>
  <c r="X227" i="12" s="1"/>
  <c r="Y227" i="12" s="1"/>
  <c r="V765" i="12"/>
  <c r="W765" i="12" s="1"/>
  <c r="X765" i="12" s="1"/>
  <c r="Y765" i="12" s="1"/>
  <c r="V888" i="12"/>
  <c r="W888" i="12" s="1"/>
  <c r="X888" i="12" s="1"/>
  <c r="Y888" i="12" s="1"/>
  <c r="V909" i="12"/>
  <c r="V37" i="12"/>
  <c r="V714" i="12"/>
  <c r="W714" i="12" s="1"/>
  <c r="X714" i="12" s="1"/>
  <c r="Y714" i="12" s="1"/>
  <c r="V154" i="12"/>
  <c r="V578" i="12"/>
  <c r="W578" i="12" s="1"/>
  <c r="X578" i="12" s="1"/>
  <c r="Y578" i="12" s="1"/>
  <c r="V177" i="12"/>
  <c r="V921" i="12"/>
  <c r="W921" i="12" s="1"/>
  <c r="X921" i="12" s="1"/>
  <c r="Y921" i="12" s="1"/>
  <c r="V628" i="12"/>
  <c r="W628" i="12" s="1"/>
  <c r="X628" i="12" s="1"/>
  <c r="Y628" i="12" s="1"/>
  <c r="V526" i="12"/>
  <c r="W526" i="12" s="1"/>
  <c r="X526" i="12" s="1"/>
  <c r="Y526" i="12" s="1"/>
  <c r="V530" i="12"/>
  <c r="V866" i="12"/>
  <c r="W866" i="12" s="1"/>
  <c r="X866" i="12" s="1"/>
  <c r="Y866" i="12" s="1"/>
  <c r="V546" i="12"/>
  <c r="W546" i="12" s="1"/>
  <c r="X546" i="12" s="1"/>
  <c r="Y546" i="12" s="1"/>
  <c r="V664" i="12"/>
  <c r="W664" i="12" s="1"/>
  <c r="X664" i="12" s="1"/>
  <c r="Y664" i="12" s="1"/>
  <c r="V96" i="12"/>
  <c r="W96" i="12" s="1"/>
  <c r="X96" i="12" s="1"/>
  <c r="Y96" i="12" s="1"/>
  <c r="V869" i="12"/>
  <c r="W869" i="12" s="1"/>
  <c r="X869" i="12" s="1"/>
  <c r="Y869" i="12" s="1"/>
  <c r="V802" i="12"/>
  <c r="W802" i="12" s="1"/>
  <c r="X802" i="12" s="1"/>
  <c r="Y802" i="12" s="1"/>
  <c r="V691" i="12"/>
  <c r="V793" i="12"/>
  <c r="W793" i="12" s="1"/>
  <c r="X793" i="12" s="1"/>
  <c r="Y793" i="12" s="1"/>
  <c r="V21" i="12"/>
  <c r="V914" i="12"/>
  <c r="W914" i="12" s="1"/>
  <c r="X914" i="12" s="1"/>
  <c r="Y914" i="12" s="1"/>
  <c r="V687" i="12"/>
  <c r="W687" i="12" s="1"/>
  <c r="X687" i="12" s="1"/>
  <c r="Y687" i="12" s="1"/>
  <c r="V824" i="12"/>
  <c r="W824" i="12" s="1"/>
  <c r="X824" i="12" s="1"/>
  <c r="Y824" i="12" s="1"/>
  <c r="V781" i="12"/>
  <c r="V665" i="12"/>
  <c r="W665" i="12" s="1"/>
  <c r="X665" i="12" s="1"/>
  <c r="Y665" i="12" s="1"/>
  <c r="V644" i="12"/>
  <c r="W644" i="12" s="1"/>
  <c r="X644" i="12" s="1"/>
  <c r="Y644" i="12" s="1"/>
  <c r="V642" i="12"/>
  <c r="W642" i="12" s="1"/>
  <c r="X642" i="12" s="1"/>
  <c r="Y642" i="12" s="1"/>
  <c r="V763" i="12"/>
  <c r="W763" i="12" s="1"/>
  <c r="X763" i="12" s="1"/>
  <c r="Y763" i="12" s="1"/>
  <c r="V88" i="12"/>
  <c r="W88" i="12" s="1"/>
  <c r="X88" i="12" s="1"/>
  <c r="Y88" i="12" s="1"/>
  <c r="V676" i="12"/>
  <c r="W676" i="12" s="1"/>
  <c r="X676" i="12" s="1"/>
  <c r="Y676" i="12" s="1"/>
  <c r="V534" i="12"/>
  <c r="V729" i="12"/>
  <c r="W729" i="12" s="1"/>
  <c r="X729" i="12" s="1"/>
  <c r="Y729" i="12" s="1"/>
  <c r="V485" i="12"/>
  <c r="W485" i="12" s="1"/>
  <c r="X485" i="12" s="1"/>
  <c r="Y485" i="12" s="1"/>
  <c r="V568" i="12"/>
  <c r="V757" i="12"/>
  <c r="W757" i="12" s="1"/>
  <c r="X757" i="12" s="1"/>
  <c r="Y757" i="12" s="1"/>
  <c r="V797" i="12"/>
  <c r="W797" i="12" s="1"/>
  <c r="X797" i="12" s="1"/>
  <c r="Y797" i="12" s="1"/>
  <c r="V35" i="12"/>
  <c r="V556" i="12"/>
  <c r="W556" i="12" s="1"/>
  <c r="X556" i="12" s="1"/>
  <c r="Y556" i="12" s="1"/>
  <c r="V143" i="12"/>
  <c r="V880" i="12"/>
  <c r="W880" i="12" s="1"/>
  <c r="X880" i="12" s="1"/>
  <c r="Y880" i="12" s="1"/>
  <c r="V754" i="12"/>
  <c r="W754" i="12" s="1"/>
  <c r="X754" i="12" s="1"/>
  <c r="Y754" i="12" s="1"/>
  <c r="V595" i="12"/>
  <c r="V172" i="12"/>
  <c r="W172" i="12" s="1"/>
  <c r="X172" i="12" s="1"/>
  <c r="Y172" i="12" s="1"/>
  <c r="V206" i="12"/>
  <c r="W206" i="12" s="1"/>
  <c r="X206" i="12" s="1"/>
  <c r="Y206" i="12" s="1"/>
  <c r="V238" i="12"/>
  <c r="W238" i="12" s="1"/>
  <c r="X238" i="12" s="1"/>
  <c r="Y238" i="12" s="1"/>
  <c r="V159" i="12"/>
  <c r="V743" i="12"/>
  <c r="V118" i="12"/>
  <c r="W118" i="12" s="1"/>
  <c r="X118" i="12" s="1"/>
  <c r="Y118" i="12" s="1"/>
  <c r="V104" i="12"/>
  <c r="W104" i="12" s="1"/>
  <c r="X104" i="12" s="1"/>
  <c r="Y104" i="12" s="1"/>
  <c r="V738" i="12"/>
  <c r="V705" i="12"/>
  <c r="W705" i="12" s="1"/>
  <c r="X705" i="12" s="1"/>
  <c r="Y705" i="12" s="1"/>
  <c r="V33" i="12"/>
  <c r="W33" i="12" s="1"/>
  <c r="X33" i="12" s="1"/>
  <c r="Y33" i="12" s="1"/>
  <c r="V16" i="12"/>
  <c r="W16" i="12" s="1"/>
  <c r="X16" i="12" s="1"/>
  <c r="Y16" i="12" s="1"/>
  <c r="V846" i="12"/>
  <c r="V634" i="12"/>
  <c r="W634" i="12" s="1"/>
  <c r="X634" i="12" s="1"/>
  <c r="Y634" i="12" s="1"/>
  <c r="V194" i="12"/>
  <c r="W194" i="12" s="1"/>
  <c r="X194" i="12" s="1"/>
  <c r="Y194" i="12" s="1"/>
  <c r="V597" i="12"/>
  <c r="V677" i="12"/>
  <c r="W677" i="12" s="1"/>
  <c r="X677" i="12" s="1"/>
  <c r="Y677" i="12" s="1"/>
  <c r="V876" i="12"/>
  <c r="W876" i="12" s="1"/>
  <c r="X876" i="12" s="1"/>
  <c r="Y876" i="12" s="1"/>
  <c r="V185" i="12"/>
  <c r="V89" i="12"/>
  <c r="W89" i="12" s="1"/>
  <c r="X89" i="12" s="1"/>
  <c r="Y89" i="12" s="1"/>
  <c r="V545" i="12"/>
  <c r="W545" i="12" s="1"/>
  <c r="X545" i="12" s="1"/>
  <c r="Y545" i="12" s="1"/>
  <c r="V577" i="12"/>
  <c r="W577" i="12" s="1"/>
  <c r="X577" i="12" s="1"/>
  <c r="Y577" i="12" s="1"/>
  <c r="V105" i="12"/>
  <c r="W105" i="12" s="1"/>
  <c r="X105" i="12" s="1"/>
  <c r="Y105" i="12" s="1"/>
  <c r="V844" i="12"/>
  <c r="V931" i="12"/>
  <c r="W931" i="12" s="1"/>
  <c r="X931" i="12" s="1"/>
  <c r="Y931" i="12" s="1"/>
  <c r="V61" i="12"/>
  <c r="V660" i="12"/>
  <c r="W660" i="12" s="1"/>
  <c r="X660" i="12" s="1"/>
  <c r="Y660" i="12" s="1"/>
  <c r="V721" i="12"/>
  <c r="V548" i="12"/>
  <c r="V514" i="12"/>
  <c r="W514" i="12" s="1"/>
  <c r="X514" i="12" s="1"/>
  <c r="Y514" i="12" s="1"/>
  <c r="V101" i="12"/>
  <c r="W101" i="12" s="1"/>
  <c r="X101" i="12" s="1"/>
  <c r="Y101" i="12" s="1"/>
  <c r="V723" i="12"/>
  <c r="W723" i="12" s="1"/>
  <c r="X723" i="12" s="1"/>
  <c r="Y723" i="12" s="1"/>
  <c r="V805" i="12"/>
  <c r="W805" i="12" s="1"/>
  <c r="X805" i="12" s="1"/>
  <c r="Y805" i="12" s="1"/>
  <c r="V809" i="12"/>
  <c r="W809" i="12" s="1"/>
  <c r="X809" i="12" s="1"/>
  <c r="Y809" i="12" s="1"/>
  <c r="V6" i="12"/>
  <c r="W6" i="12" s="1"/>
  <c r="X6" i="12" s="1"/>
  <c r="Y6" i="12" s="1"/>
  <c r="V117" i="12"/>
  <c r="W117" i="12" s="1"/>
  <c r="X117" i="12" s="1"/>
  <c r="Y117" i="12" s="1"/>
  <c r="V799" i="12"/>
  <c r="V570" i="12"/>
  <c r="W570" i="12" s="1"/>
  <c r="X570" i="12" s="1"/>
  <c r="Y570" i="12" s="1"/>
  <c r="V741" i="12"/>
  <c r="W741" i="12" s="1"/>
  <c r="X741" i="12" s="1"/>
  <c r="Y741" i="12" s="1"/>
  <c r="V894" i="12"/>
  <c r="W894" i="12" s="1"/>
  <c r="X894" i="12" s="1"/>
  <c r="Y894" i="12" s="1"/>
  <c r="V922" i="12"/>
  <c r="W922" i="12" s="1"/>
  <c r="X922" i="12" s="1"/>
  <c r="Y922" i="12" s="1"/>
  <c r="V787" i="12"/>
  <c r="W787" i="12" s="1"/>
  <c r="X787" i="12" s="1"/>
  <c r="Y787" i="12" s="1"/>
  <c r="V163" i="12"/>
  <c r="V833" i="12"/>
  <c r="V518" i="12"/>
  <c r="W518" i="12" s="1"/>
  <c r="X518" i="12" s="1"/>
  <c r="Y518" i="12" s="1"/>
  <c r="V63" i="12"/>
  <c r="V904" i="12"/>
  <c r="W904" i="12" s="1"/>
  <c r="X904" i="12" s="1"/>
  <c r="Y904" i="12" s="1"/>
  <c r="V700" i="12"/>
  <c r="V818" i="12"/>
  <c r="W818" i="12" s="1"/>
  <c r="X818" i="12" s="1"/>
  <c r="Y818" i="12" s="1"/>
  <c r="V608" i="12"/>
  <c r="V673" i="12"/>
  <c r="W673" i="12" s="1"/>
  <c r="X673" i="12" s="1"/>
  <c r="Y673" i="12" s="1"/>
  <c r="V225" i="12"/>
  <c r="W225" i="12" s="1"/>
  <c r="X225" i="12" s="1"/>
  <c r="Y225" i="12" s="1"/>
  <c r="V636" i="12"/>
  <c r="W636" i="12" s="1"/>
  <c r="X636" i="12" s="1"/>
  <c r="Y636" i="12" s="1"/>
  <c r="V67" i="12"/>
  <c r="W67" i="12" s="1"/>
  <c r="X67" i="12" s="1"/>
  <c r="Y67" i="12" s="1"/>
  <c r="V796" i="12"/>
  <c r="W796" i="12" s="1"/>
  <c r="X796" i="12" s="1"/>
  <c r="Y796" i="12" s="1"/>
  <c r="V834" i="12"/>
  <c r="W834" i="12" s="1"/>
  <c r="X834" i="12" s="1"/>
  <c r="Y834" i="12" s="1"/>
  <c r="V610" i="12"/>
  <c r="V126" i="12"/>
  <c r="V161" i="12"/>
  <c r="V895" i="12"/>
  <c r="W895" i="12" s="1"/>
  <c r="X895" i="12" s="1"/>
  <c r="Y895" i="12" s="1"/>
  <c r="V767" i="12"/>
  <c r="V661" i="12"/>
  <c r="W661" i="12" s="1"/>
  <c r="X661" i="12" s="1"/>
  <c r="Y661" i="12" s="1"/>
  <c r="V538" i="12"/>
  <c r="M20" i="9"/>
  <c r="N20" i="9" s="1"/>
  <c r="X961" i="12"/>
  <c r="F21" i="17" s="1"/>
  <c r="F53" i="17" s="1"/>
  <c r="Y967" i="12"/>
  <c r="Y961" i="12" s="1"/>
  <c r="G21" i="17" s="1"/>
  <c r="G53" i="17" s="1"/>
  <c r="D37" i="1"/>
  <c r="D38" i="1" s="1"/>
  <c r="C37" i="9" s="1"/>
  <c r="E37" i="1"/>
  <c r="N22" i="9" l="1"/>
  <c r="O22" i="9" s="1"/>
  <c r="H21" i="17"/>
  <c r="H53" i="17" s="1"/>
  <c r="V843" i="12"/>
  <c r="W844" i="12"/>
  <c r="V596" i="12"/>
  <c r="W597" i="12"/>
  <c r="W32" i="12"/>
  <c r="V31" i="12"/>
  <c r="W497" i="12"/>
  <c r="V496" i="12"/>
  <c r="W789" i="12"/>
  <c r="V788" i="12"/>
  <c r="V156" i="12"/>
  <c r="W157" i="12"/>
  <c r="W937" i="12"/>
  <c r="V935" i="12"/>
  <c r="V780" i="12"/>
  <c r="W781" i="12"/>
  <c r="V693" i="12"/>
  <c r="W694" i="12"/>
  <c r="W930" i="12"/>
  <c r="V929" i="12"/>
  <c r="V598" i="12"/>
  <c r="W599" i="12"/>
  <c r="V62" i="12"/>
  <c r="W63" i="12"/>
  <c r="V742" i="12"/>
  <c r="W743" i="12"/>
  <c r="W143" i="12"/>
  <c r="V142" i="12"/>
  <c r="W534" i="12"/>
  <c r="V533" i="12"/>
  <c r="W177" i="12"/>
  <c r="V176" i="12"/>
  <c r="V841" i="12"/>
  <c r="W842" i="12"/>
  <c r="W784" i="12"/>
  <c r="V783" i="12"/>
  <c r="W553" i="12"/>
  <c r="V552" i="12"/>
  <c r="W773" i="12"/>
  <c r="V772" i="12"/>
  <c r="V703" i="12"/>
  <c r="W704" i="12"/>
  <c r="V516" i="12"/>
  <c r="W517" i="12"/>
  <c r="V761" i="12"/>
  <c r="W762" i="12"/>
  <c r="V512" i="12"/>
  <c r="W513" i="12"/>
  <c r="W799" i="12"/>
  <c r="V798" i="12"/>
  <c r="V547" i="12"/>
  <c r="W548" i="12"/>
  <c r="V845" i="12"/>
  <c r="W846" i="12"/>
  <c r="V158" i="12"/>
  <c r="W159" i="12"/>
  <c r="W47" i="12"/>
  <c r="V46" i="12"/>
  <c r="W672" i="12"/>
  <c r="V671" i="12"/>
  <c r="V173" i="12"/>
  <c r="W174" i="12"/>
  <c r="W848" i="12"/>
  <c r="V847" i="12"/>
  <c r="W171" i="12"/>
  <c r="V170" i="12"/>
  <c r="V699" i="12"/>
  <c r="W700" i="12"/>
  <c r="W833" i="12"/>
  <c r="V832" i="12"/>
  <c r="V34" i="12"/>
  <c r="W35" i="12"/>
  <c r="W154" i="12"/>
  <c r="V153" i="12"/>
  <c r="V777" i="12"/>
  <c r="W778" i="12"/>
  <c r="W558" i="12"/>
  <c r="V557" i="12"/>
  <c r="V4" i="12"/>
  <c r="W5" i="12"/>
  <c r="W933" i="12"/>
  <c r="V932" i="12"/>
  <c r="V162" i="12"/>
  <c r="W163" i="12"/>
  <c r="V184" i="12"/>
  <c r="W185" i="12"/>
  <c r="V20" i="12"/>
  <c r="W21" i="12"/>
  <c r="W544" i="12"/>
  <c r="V543" i="12"/>
  <c r="V550" i="12"/>
  <c r="W551" i="12"/>
  <c r="V939" i="12"/>
  <c r="W940" i="12"/>
  <c r="V186" i="12"/>
  <c r="W187" i="12"/>
  <c r="W65" i="12"/>
  <c r="V64" i="12"/>
  <c r="W481" i="12"/>
  <c r="V480" i="12"/>
  <c r="V830" i="12"/>
  <c r="W831" i="12"/>
  <c r="V758" i="12"/>
  <c r="W759" i="12"/>
  <c r="V537" i="12"/>
  <c r="W538" i="12"/>
  <c r="V766" i="12"/>
  <c r="W767" i="12"/>
  <c r="V607" i="12"/>
  <c r="W608" i="12"/>
  <c r="V60" i="12"/>
  <c r="W61" i="12"/>
  <c r="V529" i="12"/>
  <c r="W530" i="12"/>
  <c r="V36" i="12"/>
  <c r="W37" i="12"/>
  <c r="V246" i="12"/>
  <c r="W247" i="12"/>
  <c r="V121" i="12"/>
  <c r="W122" i="12"/>
  <c r="V613" i="12"/>
  <c r="W614" i="12"/>
  <c r="V40" i="12"/>
  <c r="W41" i="12"/>
  <c r="W756" i="12"/>
  <c r="V755" i="12"/>
  <c r="V531" i="12"/>
  <c r="W532" i="12"/>
  <c r="V38" i="12"/>
  <c r="W39" i="12"/>
  <c r="W721" i="12"/>
  <c r="V720" i="12"/>
  <c r="V160" i="12"/>
  <c r="W161" i="12"/>
  <c r="W126" i="12"/>
  <c r="V125" i="12"/>
  <c r="V609" i="12"/>
  <c r="W610" i="12"/>
  <c r="W738" i="12"/>
  <c r="V737" i="12"/>
  <c r="V594" i="12"/>
  <c r="W595" i="12"/>
  <c r="W568" i="12"/>
  <c r="V567" i="12"/>
  <c r="W691" i="12"/>
  <c r="V690" i="12"/>
  <c r="W909" i="12"/>
  <c r="V908" i="12"/>
  <c r="V611" i="12"/>
  <c r="W612" i="12"/>
  <c r="V49" i="12"/>
  <c r="W50" i="12"/>
  <c r="W53" i="12"/>
  <c r="V52" i="12"/>
  <c r="W237" i="12"/>
  <c r="V236" i="12"/>
  <c r="V828" i="12"/>
  <c r="W829" i="12"/>
  <c r="W165" i="12"/>
  <c r="V164" i="12"/>
  <c r="W112" i="12"/>
  <c r="V111" i="12"/>
  <c r="W189" i="12"/>
  <c r="V188" i="12"/>
  <c r="W696" i="12"/>
  <c r="V695" i="12"/>
  <c r="E38" i="1"/>
  <c r="J97" i="2"/>
  <c r="G94" i="2"/>
  <c r="H94" i="2"/>
  <c r="I94" i="2"/>
  <c r="J94" i="2"/>
  <c r="H103" i="2"/>
  <c r="H101" i="2" s="1"/>
  <c r="I103" i="2"/>
  <c r="I101" i="2" s="1"/>
  <c r="J103" i="2"/>
  <c r="J101" i="2" s="1"/>
  <c r="G103" i="2"/>
  <c r="G101" i="2" s="1"/>
  <c r="O20" i="9" l="1"/>
  <c r="P20" i="9" s="1"/>
  <c r="D37" i="9"/>
  <c r="C20" i="17"/>
  <c r="C52" i="17" s="1"/>
  <c r="I21" i="17"/>
  <c r="I53" i="17" s="1"/>
  <c r="X189" i="12"/>
  <c r="W188" i="12"/>
  <c r="W60" i="12"/>
  <c r="X61" i="12"/>
  <c r="W828" i="12"/>
  <c r="X829" i="12"/>
  <c r="W611" i="12"/>
  <c r="X612" i="12"/>
  <c r="W594" i="12"/>
  <c r="X595" i="12"/>
  <c r="W125" i="12"/>
  <c r="X126" i="12"/>
  <c r="W847" i="12"/>
  <c r="X848" i="12"/>
  <c r="W772" i="12"/>
  <c r="X773" i="12"/>
  <c r="X177" i="12"/>
  <c r="W176" i="12"/>
  <c r="W908" i="12"/>
  <c r="X909" i="12"/>
  <c r="W531" i="12"/>
  <c r="X532" i="12"/>
  <c r="X161" i="12"/>
  <c r="W160" i="12"/>
  <c r="W607" i="12"/>
  <c r="X608" i="12"/>
  <c r="W939" i="12"/>
  <c r="X940" i="12"/>
  <c r="W184" i="12"/>
  <c r="X185" i="12"/>
  <c r="X174" i="12"/>
  <c r="W173" i="12"/>
  <c r="W845" i="12"/>
  <c r="X846" i="12"/>
  <c r="W761" i="12"/>
  <c r="X762" i="12"/>
  <c r="W598" i="12"/>
  <c r="X599" i="12"/>
  <c r="X497" i="12"/>
  <c r="W496" i="12"/>
  <c r="W164" i="12"/>
  <c r="X165" i="12"/>
  <c r="X696" i="12"/>
  <c r="W695" i="12"/>
  <c r="W246" i="12"/>
  <c r="X247" i="12"/>
  <c r="W830" i="12"/>
  <c r="X831" i="12"/>
  <c r="W755" i="12"/>
  <c r="X756" i="12"/>
  <c r="X558" i="12"/>
  <c r="W557" i="12"/>
  <c r="X833" i="12"/>
  <c r="W832" i="12"/>
  <c r="X553" i="12"/>
  <c r="W552" i="12"/>
  <c r="W533" i="12"/>
  <c r="X534" i="12"/>
  <c r="X738" i="12"/>
  <c r="W737" i="12"/>
  <c r="W36" i="12"/>
  <c r="X37" i="12"/>
  <c r="X767" i="12"/>
  <c r="W766" i="12"/>
  <c r="W550" i="12"/>
  <c r="X551" i="12"/>
  <c r="W162" i="12"/>
  <c r="X163" i="12"/>
  <c r="X778" i="12"/>
  <c r="W777" i="12"/>
  <c r="W699" i="12"/>
  <c r="X700" i="12"/>
  <c r="X548" i="12"/>
  <c r="W547" i="12"/>
  <c r="W516" i="12"/>
  <c r="X517" i="12"/>
  <c r="X937" i="12"/>
  <c r="W935" i="12"/>
  <c r="X32" i="12"/>
  <c r="W31" i="12"/>
  <c r="W236" i="12"/>
  <c r="X237" i="12"/>
  <c r="W40" i="12"/>
  <c r="X41" i="12"/>
  <c r="W609" i="12"/>
  <c r="X610" i="12"/>
  <c r="W720" i="12"/>
  <c r="X721" i="12"/>
  <c r="W480" i="12"/>
  <c r="X481" i="12"/>
  <c r="W671" i="12"/>
  <c r="X672" i="12"/>
  <c r="X784" i="12"/>
  <c r="W783" i="12"/>
  <c r="X143" i="12"/>
  <c r="W142" i="12"/>
  <c r="X930" i="12"/>
  <c r="W929" i="12"/>
  <c r="W156" i="12"/>
  <c r="X157" i="12"/>
  <c r="W596" i="12"/>
  <c r="X597" i="12"/>
  <c r="X53" i="12"/>
  <c r="W52" i="12"/>
  <c r="X691" i="12"/>
  <c r="W690" i="12"/>
  <c r="W38" i="12"/>
  <c r="X39" i="12"/>
  <c r="W613" i="12"/>
  <c r="X614" i="12"/>
  <c r="W529" i="12"/>
  <c r="X530" i="12"/>
  <c r="W537" i="12"/>
  <c r="X538" i="12"/>
  <c r="X704" i="12"/>
  <c r="W703" i="12"/>
  <c r="W841" i="12"/>
  <c r="X842" i="12"/>
  <c r="W742" i="12"/>
  <c r="X743" i="12"/>
  <c r="W693" i="12"/>
  <c r="X694" i="12"/>
  <c r="X112" i="12"/>
  <c r="W111" i="12"/>
  <c r="W49" i="12"/>
  <c r="X50" i="12"/>
  <c r="W64" i="12"/>
  <c r="X65" i="12"/>
  <c r="W543" i="12"/>
  <c r="X544" i="12"/>
  <c r="X933" i="12"/>
  <c r="W932" i="12"/>
  <c r="X154" i="12"/>
  <c r="W153" i="12"/>
  <c r="W170" i="12"/>
  <c r="X171" i="12"/>
  <c r="W46" i="12"/>
  <c r="X47" i="12"/>
  <c r="W798" i="12"/>
  <c r="X799" i="12"/>
  <c r="W843" i="12"/>
  <c r="X844" i="12"/>
  <c r="X568" i="12"/>
  <c r="W567" i="12"/>
  <c r="W121" i="12"/>
  <c r="X122" i="12"/>
  <c r="W758" i="12"/>
  <c r="X759" i="12"/>
  <c r="X187" i="12"/>
  <c r="W186" i="12"/>
  <c r="W20" i="12"/>
  <c r="X21" i="12"/>
  <c r="W4" i="12"/>
  <c r="X5" i="12"/>
  <c r="X35" i="12"/>
  <c r="W34" i="12"/>
  <c r="W158" i="12"/>
  <c r="X159" i="12"/>
  <c r="W512" i="12"/>
  <c r="X513" i="12"/>
  <c r="W62" i="12"/>
  <c r="X63" i="12"/>
  <c r="W780" i="12"/>
  <c r="X781" i="12"/>
  <c r="W788" i="12"/>
  <c r="X789" i="12"/>
  <c r="J110" i="2"/>
  <c r="P22" i="9" l="1"/>
  <c r="Q22" i="9" s="1"/>
  <c r="J21" i="17"/>
  <c r="J53" i="17" s="1"/>
  <c r="B20" i="17"/>
  <c r="C17" i="17"/>
  <c r="X158" i="12"/>
  <c r="Y159" i="12"/>
  <c r="Y158" i="12" s="1"/>
  <c r="X843" i="12"/>
  <c r="Y844" i="12"/>
  <c r="Y843" i="12" s="1"/>
  <c r="Y53" i="12"/>
  <c r="Y52" i="12" s="1"/>
  <c r="X52" i="12"/>
  <c r="X142" i="12"/>
  <c r="Y143" i="12"/>
  <c r="Y142" i="12" s="1"/>
  <c r="X31" i="12"/>
  <c r="Y32" i="12"/>
  <c r="Y31" i="12" s="1"/>
  <c r="X766" i="12"/>
  <c r="Y767" i="12"/>
  <c r="Y766" i="12" s="1"/>
  <c r="X552" i="12"/>
  <c r="Y553" i="12"/>
  <c r="Y552" i="12" s="1"/>
  <c r="X496" i="12"/>
  <c r="Y497" i="12"/>
  <c r="Y496" i="12" s="1"/>
  <c r="X772" i="12"/>
  <c r="Y773" i="12"/>
  <c r="Y772" i="12" s="1"/>
  <c r="X611" i="12"/>
  <c r="Y612" i="12"/>
  <c r="Y611" i="12" s="1"/>
  <c r="X788" i="12"/>
  <c r="Y789" i="12"/>
  <c r="Y788" i="12" s="1"/>
  <c r="X153" i="12"/>
  <c r="Y154" i="12"/>
  <c r="Y153" i="12" s="1"/>
  <c r="X49" i="12"/>
  <c r="Y50" i="12"/>
  <c r="Y49" i="12" s="1"/>
  <c r="X841" i="12"/>
  <c r="Y842" i="12"/>
  <c r="Y841" i="12" s="1"/>
  <c r="X613" i="12"/>
  <c r="Y614" i="12"/>
  <c r="Y613" i="12" s="1"/>
  <c r="Y597" i="12"/>
  <c r="Y596" i="12" s="1"/>
  <c r="X596" i="12"/>
  <c r="Y610" i="12"/>
  <c r="Y609" i="12" s="1"/>
  <c r="X609" i="12"/>
  <c r="X36" i="12"/>
  <c r="Y37" i="12"/>
  <c r="Y36" i="12" s="1"/>
  <c r="Y247" i="12"/>
  <c r="Y246" i="12" s="1"/>
  <c r="X246" i="12"/>
  <c r="X173" i="12"/>
  <c r="Y174" i="12"/>
  <c r="Y173" i="12" s="1"/>
  <c r="X160" i="12"/>
  <c r="Y161" i="12"/>
  <c r="Y160" i="12" s="1"/>
  <c r="X780" i="12"/>
  <c r="Y781" i="12"/>
  <c r="Y780" i="12" s="1"/>
  <c r="Y759" i="12"/>
  <c r="Y758" i="12" s="1"/>
  <c r="X758" i="12"/>
  <c r="X783" i="12"/>
  <c r="Y784" i="12"/>
  <c r="Y783" i="12" s="1"/>
  <c r="Y937" i="12"/>
  <c r="Y935" i="12" s="1"/>
  <c r="X935" i="12"/>
  <c r="Y778" i="12"/>
  <c r="Y777" i="12" s="1"/>
  <c r="X777" i="12"/>
  <c r="X832" i="12"/>
  <c r="Y833" i="12"/>
  <c r="Y832" i="12" s="1"/>
  <c r="X598" i="12"/>
  <c r="Y599" i="12"/>
  <c r="Y598" i="12" s="1"/>
  <c r="X184" i="12"/>
  <c r="Y185" i="12"/>
  <c r="Y184" i="12" s="1"/>
  <c r="X531" i="12"/>
  <c r="Y532" i="12"/>
  <c r="Y531" i="12" s="1"/>
  <c r="X847" i="12"/>
  <c r="Y848" i="12"/>
  <c r="Y847" i="12" s="1"/>
  <c r="X828" i="12"/>
  <c r="Y829" i="12"/>
  <c r="Y828" i="12" s="1"/>
  <c r="X186" i="12"/>
  <c r="Y187" i="12"/>
  <c r="Y186" i="12" s="1"/>
  <c r="X798" i="12"/>
  <c r="Y799" i="12"/>
  <c r="Y798" i="12" s="1"/>
  <c r="X34" i="12"/>
  <c r="Y35" i="12"/>
  <c r="Y34" i="12" s="1"/>
  <c r="Y933" i="12"/>
  <c r="Y932" i="12" s="1"/>
  <c r="X932" i="12"/>
  <c r="X38" i="12"/>
  <c r="Y39" i="12"/>
  <c r="Y38" i="12" s="1"/>
  <c r="X156" i="12"/>
  <c r="Y157" i="12"/>
  <c r="Y156" i="12" s="1"/>
  <c r="X671" i="12"/>
  <c r="Y672" i="12"/>
  <c r="Y671" i="12" s="1"/>
  <c r="X40" i="12"/>
  <c r="Y41" i="12"/>
  <c r="Y40" i="12" s="1"/>
  <c r="X516" i="12"/>
  <c r="Y517" i="12"/>
  <c r="Y516" i="12" s="1"/>
  <c r="Y163" i="12"/>
  <c r="Y162" i="12" s="1"/>
  <c r="X162" i="12"/>
  <c r="X62" i="12"/>
  <c r="Y63" i="12"/>
  <c r="Y62" i="12" s="1"/>
  <c r="X543" i="12"/>
  <c r="Y544" i="12"/>
  <c r="Y543" i="12" s="1"/>
  <c r="X703" i="12"/>
  <c r="Y704" i="12"/>
  <c r="Y703" i="12" s="1"/>
  <c r="X737" i="12"/>
  <c r="Y738" i="12"/>
  <c r="Y737" i="12" s="1"/>
  <c r="Y558" i="12"/>
  <c r="Y557" i="12" s="1"/>
  <c r="X557" i="12"/>
  <c r="X695" i="12"/>
  <c r="Y696" i="12"/>
  <c r="Y695" i="12" s="1"/>
  <c r="X761" i="12"/>
  <c r="Y762" i="12"/>
  <c r="Y761" i="12" s="1"/>
  <c r="X939" i="12"/>
  <c r="Y940" i="12"/>
  <c r="Y939" i="12" s="1"/>
  <c r="Y909" i="12"/>
  <c r="Y908" i="12" s="1"/>
  <c r="X908" i="12"/>
  <c r="X125" i="12"/>
  <c r="Y126" i="12"/>
  <c r="Y125" i="12" s="1"/>
  <c r="Y61" i="12"/>
  <c r="Y60" i="12" s="1"/>
  <c r="X60" i="12"/>
  <c r="X121" i="12"/>
  <c r="Y122" i="12"/>
  <c r="Y121" i="12" s="1"/>
  <c r="Y112" i="12"/>
  <c r="Y111" i="12" s="1"/>
  <c r="X111" i="12"/>
  <c r="X693" i="12"/>
  <c r="Y694" i="12"/>
  <c r="Y693" i="12" s="1"/>
  <c r="X537" i="12"/>
  <c r="Y538" i="12"/>
  <c r="Y537" i="12" s="1"/>
  <c r="X480" i="12"/>
  <c r="Y481" i="12"/>
  <c r="Y480" i="12" s="1"/>
  <c r="X236" i="12"/>
  <c r="Y237" i="12"/>
  <c r="Y236" i="12" s="1"/>
  <c r="X550" i="12"/>
  <c r="Y551" i="12"/>
  <c r="Y550" i="12" s="1"/>
  <c r="X533" i="12"/>
  <c r="Y534" i="12"/>
  <c r="Y533" i="12" s="1"/>
  <c r="X755" i="12"/>
  <c r="Y756" i="12"/>
  <c r="Y755" i="12" s="1"/>
  <c r="Y165" i="12"/>
  <c r="Y164" i="12" s="1"/>
  <c r="X164" i="12"/>
  <c r="X4" i="12"/>
  <c r="Y5" i="12"/>
  <c r="Y4" i="12" s="1"/>
  <c r="X512" i="12"/>
  <c r="Y513" i="12"/>
  <c r="Y512" i="12" s="1"/>
  <c r="X170" i="12"/>
  <c r="Y171" i="12"/>
  <c r="Y170" i="12" s="1"/>
  <c r="X64" i="12"/>
  <c r="Y65" i="12"/>
  <c r="Y64" i="12" s="1"/>
  <c r="Y691" i="12"/>
  <c r="Y690" i="12" s="1"/>
  <c r="X690" i="12"/>
  <c r="X929" i="12"/>
  <c r="Y930" i="12"/>
  <c r="Y929" i="12" s="1"/>
  <c r="X547" i="12"/>
  <c r="Y548" i="12"/>
  <c r="Y547" i="12" s="1"/>
  <c r="X845" i="12"/>
  <c r="Y846" i="12"/>
  <c r="Y845" i="12" s="1"/>
  <c r="Y608" i="12"/>
  <c r="Y607" i="12" s="1"/>
  <c r="X607" i="12"/>
  <c r="X594" i="12"/>
  <c r="Y595" i="12"/>
  <c r="Y594" i="12" s="1"/>
  <c r="Y47" i="12"/>
  <c r="Y46" i="12" s="1"/>
  <c r="X46" i="12"/>
  <c r="X20" i="12"/>
  <c r="Y21" i="12"/>
  <c r="Y20" i="12" s="1"/>
  <c r="X567" i="12"/>
  <c r="Y568" i="12"/>
  <c r="Y567" i="12" s="1"/>
  <c r="X742" i="12"/>
  <c r="Y743" i="12"/>
  <c r="Y742" i="12" s="1"/>
  <c r="X529" i="12"/>
  <c r="Y530" i="12"/>
  <c r="Y529" i="12" s="1"/>
  <c r="X720" i="12"/>
  <c r="Y721" i="12"/>
  <c r="Y720" i="12" s="1"/>
  <c r="X699" i="12"/>
  <c r="Y700" i="12"/>
  <c r="Y699" i="12" s="1"/>
  <c r="X830" i="12"/>
  <c r="Y831" i="12"/>
  <c r="Y830" i="12" s="1"/>
  <c r="Y177" i="12"/>
  <c r="Y176" i="12" s="1"/>
  <c r="X176" i="12"/>
  <c r="X188" i="12"/>
  <c r="Y189" i="12"/>
  <c r="Y188" i="12" s="1"/>
  <c r="F98" i="2"/>
  <c r="G98" i="2" s="1"/>
  <c r="S20" i="16" s="1"/>
  <c r="E5" i="15" s="1"/>
  <c r="Q20" i="9" l="1"/>
  <c r="R20" i="9" s="1"/>
  <c r="D4" i="17"/>
  <c r="D36" i="17" s="1"/>
  <c r="E3" i="15"/>
  <c r="N5" i="15"/>
  <c r="C16" i="17"/>
  <c r="C48" i="17" s="1"/>
  <c r="C49" i="17"/>
  <c r="B17" i="17"/>
  <c r="B52" i="17"/>
  <c r="K21" i="17"/>
  <c r="K53" i="17" s="1"/>
  <c r="H98" i="2"/>
  <c r="T20" i="16" s="1"/>
  <c r="F5" i="15" s="1"/>
  <c r="G99" i="2"/>
  <c r="G97" i="2" s="1"/>
  <c r="G110" i="2" s="1"/>
  <c r="F94" i="2"/>
  <c r="F103" i="2"/>
  <c r="F101" i="2" s="1"/>
  <c r="E103" i="2"/>
  <c r="E101" i="2" s="1"/>
  <c r="F99" i="2"/>
  <c r="F97" i="2" s="1"/>
  <c r="E99" i="2"/>
  <c r="E97" i="2" s="1"/>
  <c r="E96" i="2"/>
  <c r="E94" i="2" s="1"/>
  <c r="R22" i="9" l="1"/>
  <c r="S22" i="9" s="1"/>
  <c r="E4" i="17"/>
  <c r="E36" i="17" s="1"/>
  <c r="F3" i="15"/>
  <c r="O5" i="15"/>
  <c r="D3" i="17"/>
  <c r="D35" i="17" s="1"/>
  <c r="N3" i="15"/>
  <c r="B16" i="17"/>
  <c r="B48" i="17" s="1"/>
  <c r="B49" i="17"/>
  <c r="L21" i="17"/>
  <c r="L53" i="17" s="1"/>
  <c r="E110" i="2"/>
  <c r="F110" i="2"/>
  <c r="I98" i="2"/>
  <c r="H99" i="2"/>
  <c r="H97" i="2" s="1"/>
  <c r="H110" i="2" s="1"/>
  <c r="F57" i="2"/>
  <c r="H23" i="9" s="1"/>
  <c r="Y1174" i="12" s="1"/>
  <c r="Y1168" i="12" s="1"/>
  <c r="S20" i="9" l="1"/>
  <c r="T20" i="9" s="1"/>
  <c r="E3" i="17"/>
  <c r="E35" i="17" s="1"/>
  <c r="O3" i="15"/>
  <c r="I99" i="2"/>
  <c r="I97" i="2" s="1"/>
  <c r="I110" i="2" s="1"/>
  <c r="U20" i="16"/>
  <c r="G5" i="15" s="1"/>
  <c r="M21" i="17"/>
  <c r="M53" i="17" s="1"/>
  <c r="G23" i="9"/>
  <c r="X1174" i="12" s="1"/>
  <c r="X1168" i="12" s="1"/>
  <c r="F23" i="9"/>
  <c r="W1174" i="12" s="1"/>
  <c r="W1168" i="12" s="1"/>
  <c r="E23" i="9"/>
  <c r="V1174" i="12" s="1"/>
  <c r="V1168" i="12" s="1"/>
  <c r="E24" i="9"/>
  <c r="V1158" i="12" s="1"/>
  <c r="V1149" i="12" s="1"/>
  <c r="H24" i="9"/>
  <c r="Y1158" i="12" s="1"/>
  <c r="Y1149" i="12" s="1"/>
  <c r="G24" i="9"/>
  <c r="X1158" i="12" s="1"/>
  <c r="X1149" i="12" s="1"/>
  <c r="F24" i="9"/>
  <c r="W1158" i="12" s="1"/>
  <c r="W1149" i="12" s="1"/>
  <c r="G85" i="2"/>
  <c r="H85" i="2" s="1"/>
  <c r="I85" i="2" s="1"/>
  <c r="J85" i="2" s="1"/>
  <c r="E50" i="3"/>
  <c r="F50" i="3" s="1"/>
  <c r="G50" i="3" s="1"/>
  <c r="H50" i="3" s="1"/>
  <c r="I50" i="3" s="1"/>
  <c r="F54" i="3"/>
  <c r="T22" i="9" l="1"/>
  <c r="U22" i="9" s="1"/>
  <c r="G3" i="15"/>
  <c r="F4" i="17"/>
  <c r="F36" i="17" s="1"/>
  <c r="P5" i="15"/>
  <c r="N21" i="17"/>
  <c r="N53" i="17" s="1"/>
  <c r="F47" i="3"/>
  <c r="E48" i="9" s="1"/>
  <c r="V1240" i="12" s="1"/>
  <c r="V1228" i="12" s="1"/>
  <c r="G54" i="3"/>
  <c r="F51" i="3"/>
  <c r="E49" i="9" s="1"/>
  <c r="G86" i="2"/>
  <c r="H86" i="2" s="1"/>
  <c r="I86" i="2" s="1"/>
  <c r="J86" i="2" s="1"/>
  <c r="U20" i="9" l="1"/>
  <c r="V20" i="9" s="1"/>
  <c r="F3" i="17"/>
  <c r="F35" i="17" s="1"/>
  <c r="P3" i="15"/>
  <c r="O21" i="17"/>
  <c r="O53" i="17" s="1"/>
  <c r="V751" i="12"/>
  <c r="V750" i="12" s="1"/>
  <c r="V520" i="12"/>
  <c r="V519" i="12" s="1"/>
  <c r="V1075" i="12"/>
  <c r="V1082" i="12"/>
  <c r="V1080" i="12" s="1"/>
  <c r="V746" i="12"/>
  <c r="V745" i="12" s="1"/>
  <c r="V525" i="12"/>
  <c r="V524" i="12" s="1"/>
  <c r="H54" i="3"/>
  <c r="G51" i="3"/>
  <c r="F49" i="9" s="1"/>
  <c r="G47" i="3"/>
  <c r="F48" i="9" s="1"/>
  <c r="W1240" i="12" s="1"/>
  <c r="W1228" i="12" s="1"/>
  <c r="E16" i="3"/>
  <c r="E60" i="3"/>
  <c r="E57" i="3"/>
  <c r="F57" i="3" s="1"/>
  <c r="E40" i="3"/>
  <c r="E12" i="3"/>
  <c r="E14" i="3" s="1"/>
  <c r="F14" i="3" s="1"/>
  <c r="G14" i="3" s="1"/>
  <c r="H14" i="3" s="1"/>
  <c r="I14" i="3" s="1"/>
  <c r="E10" i="3"/>
  <c r="F10" i="3" s="1"/>
  <c r="G10" i="3" s="1"/>
  <c r="H10" i="3" s="1"/>
  <c r="I10" i="3" s="1"/>
  <c r="F40" i="3" l="1"/>
  <c r="E36" i="3"/>
  <c r="D40" i="9" s="1"/>
  <c r="V22" i="9"/>
  <c r="W22" i="9" s="1"/>
  <c r="P21" i="17"/>
  <c r="P53" i="17" s="1"/>
  <c r="W1082" i="12"/>
  <c r="W1080" i="12" s="1"/>
  <c r="W751" i="12"/>
  <c r="W750" i="12" s="1"/>
  <c r="W1075" i="12"/>
  <c r="W520" i="12"/>
  <c r="W519" i="12" s="1"/>
  <c r="W746" i="12"/>
  <c r="W745" i="12" s="1"/>
  <c r="W525" i="12"/>
  <c r="W524" i="12" s="1"/>
  <c r="I47" i="3"/>
  <c r="H48" i="9" s="1"/>
  <c r="Y1240" i="12" s="1"/>
  <c r="Y1228" i="12" s="1"/>
  <c r="H47" i="3"/>
  <c r="G48" i="9" s="1"/>
  <c r="X1240" i="12" s="1"/>
  <c r="X1228" i="12" s="1"/>
  <c r="I54" i="3"/>
  <c r="I51" i="3" s="1"/>
  <c r="H49" i="9" s="1"/>
  <c r="H51" i="3"/>
  <c r="G49" i="9" s="1"/>
  <c r="F8" i="3"/>
  <c r="E25" i="9" s="1"/>
  <c r="G57" i="3"/>
  <c r="F55" i="3"/>
  <c r="E51" i="9" s="1"/>
  <c r="V1076" i="12" s="1"/>
  <c r="V1074" i="12" s="1"/>
  <c r="F38" i="3"/>
  <c r="E17" i="3"/>
  <c r="F17" i="3" s="1"/>
  <c r="G40" i="3" l="1"/>
  <c r="F36" i="3"/>
  <c r="E40" i="9" s="1"/>
  <c r="V1223" i="12" s="1"/>
  <c r="V1222" i="12" s="1"/>
  <c r="W20" i="9"/>
  <c r="X20" i="9" s="1"/>
  <c r="X22" i="9"/>
  <c r="Y22" i="9" s="1"/>
  <c r="V1260" i="12"/>
  <c r="V1317" i="12"/>
  <c r="Q21" i="17"/>
  <c r="Q53" i="17" s="1"/>
  <c r="X525" i="12"/>
  <c r="X524" i="12" s="1"/>
  <c r="X520" i="12"/>
  <c r="X519" i="12" s="1"/>
  <c r="X751" i="12"/>
  <c r="X750" i="12" s="1"/>
  <c r="X1075" i="12"/>
  <c r="X746" i="12"/>
  <c r="X745" i="12" s="1"/>
  <c r="X1082" i="12"/>
  <c r="X1080" i="12" s="1"/>
  <c r="Y1075" i="12"/>
  <c r="G8" i="3"/>
  <c r="F25" i="9" s="1"/>
  <c r="G38" i="3"/>
  <c r="G17" i="3"/>
  <c r="F15" i="3"/>
  <c r="E30" i="9" s="1"/>
  <c r="H57" i="3"/>
  <c r="G55" i="3"/>
  <c r="F51" i="9" s="1"/>
  <c r="W1076" i="12" s="1"/>
  <c r="W1074" i="12" s="1"/>
  <c r="F9" i="2"/>
  <c r="G9" i="2"/>
  <c r="H9" i="2"/>
  <c r="I9" i="2"/>
  <c r="J9" i="2"/>
  <c r="E9" i="2"/>
  <c r="H40" i="3" l="1"/>
  <c r="G36" i="3"/>
  <c r="Y20" i="9"/>
  <c r="Z20" i="9" s="1"/>
  <c r="W1260" i="12"/>
  <c r="W1317" i="12"/>
  <c r="R21" i="17"/>
  <c r="R53" i="17" s="1"/>
  <c r="Y525" i="12"/>
  <c r="Y524" i="12" s="1"/>
  <c r="Y1082" i="12"/>
  <c r="Y1080" i="12" s="1"/>
  <c r="Y746" i="12"/>
  <c r="Y745" i="12" s="1"/>
  <c r="Y751" i="12"/>
  <c r="Y750" i="12" s="1"/>
  <c r="Y520" i="12"/>
  <c r="Y519" i="12" s="1"/>
  <c r="V885" i="12"/>
  <c r="V850" i="12" s="1"/>
  <c r="V1452" i="12"/>
  <c r="V652" i="12"/>
  <c r="V617" i="12" s="1"/>
  <c r="M24" i="13"/>
  <c r="F4" i="3"/>
  <c r="F60" i="3"/>
  <c r="I8" i="3"/>
  <c r="H25" i="9" s="1"/>
  <c r="H8" i="3"/>
  <c r="G25" i="9" s="1"/>
  <c r="I57" i="3"/>
  <c r="I55" i="3" s="1"/>
  <c r="H51" i="9" s="1"/>
  <c r="Y1076" i="12" s="1"/>
  <c r="Y1074" i="12" s="1"/>
  <c r="H55" i="3"/>
  <c r="G51" i="9" s="1"/>
  <c r="X1076" i="12" s="1"/>
  <c r="X1074" i="12" s="1"/>
  <c r="H38" i="3"/>
  <c r="F40" i="9"/>
  <c r="W1223" i="12" s="1"/>
  <c r="W1222" i="12" s="1"/>
  <c r="H17" i="3"/>
  <c r="G15" i="3"/>
  <c r="F30" i="9" s="1"/>
  <c r="F1" i="1"/>
  <c r="G1" i="1" s="1"/>
  <c r="H1" i="1" s="1"/>
  <c r="I1" i="1" s="1"/>
  <c r="J1" i="1" s="1"/>
  <c r="K1" i="1" s="1"/>
  <c r="L1" i="1" s="1"/>
  <c r="M1" i="1" s="1"/>
  <c r="N1" i="1" s="1"/>
  <c r="O1" i="1" s="1"/>
  <c r="P1" i="1" s="1"/>
  <c r="Q1" i="1" s="1"/>
  <c r="R1" i="1" s="1"/>
  <c r="S1" i="1" s="1"/>
  <c r="T1" i="1" s="1"/>
  <c r="U1" i="1" s="1"/>
  <c r="V1" i="1" s="1"/>
  <c r="W1" i="1" s="1"/>
  <c r="X1" i="1" s="1"/>
  <c r="Y1" i="1" s="1"/>
  <c r="Z1" i="1" s="1"/>
  <c r="AA1" i="1" s="1"/>
  <c r="AB1" i="1" s="1"/>
  <c r="G2" i="2"/>
  <c r="K2" i="2" s="1"/>
  <c r="I40" i="3" l="1"/>
  <c r="I36" i="3" s="1"/>
  <c r="H36" i="3"/>
  <c r="G40" i="9" s="1"/>
  <c r="X1223" i="12" s="1"/>
  <c r="X1222" i="12" s="1"/>
  <c r="Z22" i="9"/>
  <c r="AA22" i="9" s="1"/>
  <c r="V1375" i="12"/>
  <c r="W1375" i="12" s="1"/>
  <c r="X1375" i="12" s="1"/>
  <c r="Y1375" i="12" s="1"/>
  <c r="V1520" i="12"/>
  <c r="W1520" i="12" s="1"/>
  <c r="X1520" i="12" s="1"/>
  <c r="Y1520" i="12" s="1"/>
  <c r="V1427" i="12"/>
  <c r="W1427" i="12" s="1"/>
  <c r="X1427" i="12" s="1"/>
  <c r="Y1427" i="12" s="1"/>
  <c r="V1068" i="12"/>
  <c r="V1511" i="12"/>
  <c r="W1511" i="12" s="1"/>
  <c r="X1511" i="12" s="1"/>
  <c r="Y1511" i="12" s="1"/>
  <c r="V1522" i="12"/>
  <c r="W1522" i="12" s="1"/>
  <c r="X1522" i="12" s="1"/>
  <c r="Y1522" i="12" s="1"/>
  <c r="V463" i="12"/>
  <c r="W463" i="12" s="1"/>
  <c r="X463" i="12" s="1"/>
  <c r="Y463" i="12" s="1"/>
  <c r="V1292" i="12"/>
  <c r="V1371" i="12"/>
  <c r="W1371" i="12" s="1"/>
  <c r="X1371" i="12" s="1"/>
  <c r="Y1371" i="12" s="1"/>
  <c r="V1513" i="12"/>
  <c r="W1513" i="12" s="1"/>
  <c r="X1513" i="12" s="1"/>
  <c r="Y1513" i="12" s="1"/>
  <c r="V1506" i="12"/>
  <c r="W1506" i="12" s="1"/>
  <c r="X1506" i="12" s="1"/>
  <c r="Y1506" i="12" s="1"/>
  <c r="V1512" i="12"/>
  <c r="W1512" i="12" s="1"/>
  <c r="X1512" i="12" s="1"/>
  <c r="Y1512" i="12" s="1"/>
  <c r="V1354" i="12"/>
  <c r="W1354" i="12" s="1"/>
  <c r="X1354" i="12" s="1"/>
  <c r="Y1354" i="12" s="1"/>
  <c r="V1521" i="12"/>
  <c r="W1521" i="12" s="1"/>
  <c r="X1521" i="12" s="1"/>
  <c r="Y1521" i="12" s="1"/>
  <c r="V1342" i="12"/>
  <c r="W1342" i="12" s="1"/>
  <c r="X1342" i="12" s="1"/>
  <c r="Y1342" i="12" s="1"/>
  <c r="V1374" i="12"/>
  <c r="V447" i="12"/>
  <c r="W447" i="12" s="1"/>
  <c r="X447" i="12" s="1"/>
  <c r="Y447" i="12" s="1"/>
  <c r="V439" i="12"/>
  <c r="V1352" i="12"/>
  <c r="W1352" i="12" s="1"/>
  <c r="X1352" i="12" s="1"/>
  <c r="Y1352" i="12" s="1"/>
  <c r="V441" i="12"/>
  <c r="W441" i="12" s="1"/>
  <c r="X441" i="12" s="1"/>
  <c r="Y441" i="12" s="1"/>
  <c r="V1540" i="12"/>
  <c r="W1540" i="12" s="1"/>
  <c r="X1540" i="12" s="1"/>
  <c r="Y1540" i="12" s="1"/>
  <c r="V1517" i="12"/>
  <c r="W1517" i="12" s="1"/>
  <c r="X1517" i="12" s="1"/>
  <c r="Y1517" i="12" s="1"/>
  <c r="V449" i="12"/>
  <c r="W449" i="12" s="1"/>
  <c r="X449" i="12" s="1"/>
  <c r="Y449" i="12" s="1"/>
  <c r="V1344" i="12"/>
  <c r="W1344" i="12" s="1"/>
  <c r="X1344" i="12" s="1"/>
  <c r="Y1344" i="12" s="1"/>
  <c r="V443" i="12"/>
  <c r="W443" i="12" s="1"/>
  <c r="X443" i="12" s="1"/>
  <c r="Y443" i="12" s="1"/>
  <c r="V1337" i="12"/>
  <c r="W1337" i="12" s="1"/>
  <c r="X1337" i="12" s="1"/>
  <c r="Y1337" i="12" s="1"/>
  <c r="V1339" i="12"/>
  <c r="W1339" i="12" s="1"/>
  <c r="X1339" i="12" s="1"/>
  <c r="Y1339" i="12" s="1"/>
  <c r="V471" i="12"/>
  <c r="V445" i="12"/>
  <c r="W445" i="12" s="1"/>
  <c r="X445" i="12" s="1"/>
  <c r="Y445" i="12" s="1"/>
  <c r="V1353" i="12"/>
  <c r="W1353" i="12" s="1"/>
  <c r="X1353" i="12" s="1"/>
  <c r="Y1353" i="12" s="1"/>
  <c r="V444" i="12"/>
  <c r="W444" i="12" s="1"/>
  <c r="X444" i="12" s="1"/>
  <c r="Y444" i="12" s="1"/>
  <c r="V1514" i="12"/>
  <c r="W1514" i="12" s="1"/>
  <c r="X1514" i="12" s="1"/>
  <c r="Y1514" i="12" s="1"/>
  <c r="V458" i="12"/>
  <c r="W458" i="12" s="1"/>
  <c r="X458" i="12" s="1"/>
  <c r="Y458" i="12" s="1"/>
  <c r="V1325" i="12"/>
  <c r="W1325" i="12" s="1"/>
  <c r="X1325" i="12" s="1"/>
  <c r="Y1325" i="12" s="1"/>
  <c r="V453" i="12"/>
  <c r="W453" i="12" s="1"/>
  <c r="X453" i="12" s="1"/>
  <c r="Y453" i="12" s="1"/>
  <c r="V1358" i="12"/>
  <c r="W1358" i="12" s="1"/>
  <c r="X1358" i="12" s="1"/>
  <c r="Y1358" i="12" s="1"/>
  <c r="V1500" i="12"/>
  <c r="W1500" i="12" s="1"/>
  <c r="X1500" i="12" s="1"/>
  <c r="Y1500" i="12" s="1"/>
  <c r="V1499" i="12"/>
  <c r="W1499" i="12" s="1"/>
  <c r="X1499" i="12" s="1"/>
  <c r="Y1499" i="12" s="1"/>
  <c r="V454" i="12"/>
  <c r="W454" i="12" s="1"/>
  <c r="X454" i="12" s="1"/>
  <c r="Y454" i="12" s="1"/>
  <c r="V1515" i="12"/>
  <c r="W1515" i="12" s="1"/>
  <c r="X1515" i="12" s="1"/>
  <c r="Y1515" i="12" s="1"/>
  <c r="V457" i="12"/>
  <c r="W457" i="12" s="1"/>
  <c r="X457" i="12" s="1"/>
  <c r="Y457" i="12" s="1"/>
  <c r="V1356" i="12"/>
  <c r="W1356" i="12" s="1"/>
  <c r="X1356" i="12" s="1"/>
  <c r="Y1356" i="12" s="1"/>
  <c r="V465" i="12"/>
  <c r="V442" i="12"/>
  <c r="W442" i="12" s="1"/>
  <c r="X442" i="12" s="1"/>
  <c r="Y442" i="12" s="1"/>
  <c r="V1516" i="12"/>
  <c r="W1516" i="12" s="1"/>
  <c r="X1516" i="12" s="1"/>
  <c r="Y1516" i="12" s="1"/>
  <c r="V1539" i="12"/>
  <c r="W1539" i="12" s="1"/>
  <c r="X1539" i="12" s="1"/>
  <c r="Y1539" i="12" s="1"/>
  <c r="V456" i="12"/>
  <c r="W456" i="12" s="1"/>
  <c r="X456" i="12" s="1"/>
  <c r="Y456" i="12" s="1"/>
  <c r="V1549" i="12"/>
  <c r="V357" i="12"/>
  <c r="W357" i="12" s="1"/>
  <c r="X357" i="12" s="1"/>
  <c r="Y357" i="12" s="1"/>
  <c r="V452" i="12"/>
  <c r="W452" i="12" s="1"/>
  <c r="X452" i="12" s="1"/>
  <c r="Y452" i="12" s="1"/>
  <c r="V1253" i="12"/>
  <c r="V356" i="12"/>
  <c r="V1519" i="12"/>
  <c r="W1519" i="12" s="1"/>
  <c r="X1519" i="12" s="1"/>
  <c r="Y1519" i="12" s="1"/>
  <c r="V450" i="12"/>
  <c r="W450" i="12" s="1"/>
  <c r="X450" i="12" s="1"/>
  <c r="Y450" i="12" s="1"/>
  <c r="V362" i="12"/>
  <c r="V1336" i="12"/>
  <c r="W1336" i="12" s="1"/>
  <c r="X1336" i="12" s="1"/>
  <c r="Y1336" i="12" s="1"/>
  <c r="V1345" i="12"/>
  <c r="W1345" i="12" s="1"/>
  <c r="X1345" i="12" s="1"/>
  <c r="Y1345" i="12" s="1"/>
  <c r="V1518" i="12"/>
  <c r="W1518" i="12" s="1"/>
  <c r="X1518" i="12" s="1"/>
  <c r="Y1518" i="12" s="1"/>
  <c r="V1501" i="12"/>
  <c r="W1501" i="12" s="1"/>
  <c r="X1501" i="12" s="1"/>
  <c r="Y1501" i="12" s="1"/>
  <c r="V1507" i="12"/>
  <c r="W1507" i="12" s="1"/>
  <c r="X1507" i="12" s="1"/>
  <c r="Y1507" i="12" s="1"/>
  <c r="V460" i="12"/>
  <c r="W460" i="12" s="1"/>
  <c r="X460" i="12" s="1"/>
  <c r="Y460" i="12" s="1"/>
  <c r="V1510" i="12"/>
  <c r="W1510" i="12" s="1"/>
  <c r="X1510" i="12" s="1"/>
  <c r="Y1510" i="12" s="1"/>
  <c r="V1503" i="12"/>
  <c r="W1503" i="12" s="1"/>
  <c r="X1503" i="12" s="1"/>
  <c r="Y1503" i="12" s="1"/>
  <c r="V1538" i="12"/>
  <c r="V1529" i="12"/>
  <c r="V1341" i="12"/>
  <c r="W1341" i="12" s="1"/>
  <c r="X1341" i="12" s="1"/>
  <c r="Y1341" i="12" s="1"/>
  <c r="V1504" i="12"/>
  <c r="W1504" i="12" s="1"/>
  <c r="X1504" i="12" s="1"/>
  <c r="Y1504" i="12" s="1"/>
  <c r="V1362" i="12"/>
  <c r="V448" i="12"/>
  <c r="W448" i="12" s="1"/>
  <c r="X448" i="12" s="1"/>
  <c r="Y448" i="12" s="1"/>
  <c r="V1370" i="12"/>
  <c r="W1370" i="12" s="1"/>
  <c r="X1370" i="12" s="1"/>
  <c r="Y1370" i="12" s="1"/>
  <c r="V1509" i="12"/>
  <c r="W1509" i="12" s="1"/>
  <c r="X1509" i="12" s="1"/>
  <c r="Y1509" i="12" s="1"/>
  <c r="V455" i="12"/>
  <c r="W455" i="12" s="1"/>
  <c r="X455" i="12" s="1"/>
  <c r="Y455" i="12" s="1"/>
  <c r="V1359" i="12"/>
  <c r="W1359" i="12" s="1"/>
  <c r="X1359" i="12" s="1"/>
  <c r="Y1359" i="12" s="1"/>
  <c r="V1346" i="12"/>
  <c r="W1346" i="12" s="1"/>
  <c r="X1346" i="12" s="1"/>
  <c r="Y1346" i="12" s="1"/>
  <c r="V446" i="12"/>
  <c r="W446" i="12" s="1"/>
  <c r="X446" i="12" s="1"/>
  <c r="Y446" i="12" s="1"/>
  <c r="V1338" i="12"/>
  <c r="W1338" i="12" s="1"/>
  <c r="X1338" i="12" s="1"/>
  <c r="Y1338" i="12" s="1"/>
  <c r="V467" i="12"/>
  <c r="V1502" i="12"/>
  <c r="W1502" i="12" s="1"/>
  <c r="X1502" i="12" s="1"/>
  <c r="Y1502" i="12" s="1"/>
  <c r="V461" i="12"/>
  <c r="W461" i="12" s="1"/>
  <c r="X461" i="12" s="1"/>
  <c r="Y461" i="12" s="1"/>
  <c r="V1357" i="12"/>
  <c r="W1357" i="12" s="1"/>
  <c r="X1357" i="12" s="1"/>
  <c r="Y1357" i="12" s="1"/>
  <c r="V1372" i="12"/>
  <c r="W1372" i="12" s="1"/>
  <c r="X1372" i="12" s="1"/>
  <c r="Y1372" i="12" s="1"/>
  <c r="V1498" i="12"/>
  <c r="V1505" i="12"/>
  <c r="W1505" i="12" s="1"/>
  <c r="X1505" i="12" s="1"/>
  <c r="Y1505" i="12" s="1"/>
  <c r="V1380" i="12"/>
  <c r="V1530" i="12"/>
  <c r="W1530" i="12" s="1"/>
  <c r="X1530" i="12" s="1"/>
  <c r="Y1530" i="12" s="1"/>
  <c r="V358" i="12"/>
  <c r="W358" i="12" s="1"/>
  <c r="X358" i="12" s="1"/>
  <c r="Y358" i="12" s="1"/>
  <c r="V459" i="12"/>
  <c r="W459" i="12" s="1"/>
  <c r="X459" i="12" s="1"/>
  <c r="Y459" i="12" s="1"/>
  <c r="V1343" i="12"/>
  <c r="W1343" i="12" s="1"/>
  <c r="X1343" i="12" s="1"/>
  <c r="Y1343" i="12" s="1"/>
  <c r="V469" i="12"/>
  <c r="W469" i="12" s="1"/>
  <c r="X469" i="12" s="1"/>
  <c r="Y469" i="12" s="1"/>
  <c r="V1523" i="12"/>
  <c r="W1523" i="12" s="1"/>
  <c r="X1523" i="12" s="1"/>
  <c r="Y1523" i="12" s="1"/>
  <c r="V468" i="12"/>
  <c r="W468" i="12" s="1"/>
  <c r="X468" i="12" s="1"/>
  <c r="Y468" i="12" s="1"/>
  <c r="V451" i="12"/>
  <c r="W451" i="12" s="1"/>
  <c r="X451" i="12" s="1"/>
  <c r="Y451" i="12" s="1"/>
  <c r="V440" i="12"/>
  <c r="W440" i="12" s="1"/>
  <c r="X440" i="12" s="1"/>
  <c r="Y440" i="12" s="1"/>
  <c r="V1508" i="12"/>
  <c r="W1508" i="12" s="1"/>
  <c r="X1508" i="12" s="1"/>
  <c r="Y1508" i="12" s="1"/>
  <c r="V360" i="12"/>
  <c r="X1260" i="12"/>
  <c r="X1317" i="12"/>
  <c r="Y1260" i="12"/>
  <c r="Y1317" i="12"/>
  <c r="S21" i="17"/>
  <c r="S53" i="17" s="1"/>
  <c r="AA20" i="9"/>
  <c r="AB20" i="9" s="1"/>
  <c r="W652" i="12"/>
  <c r="W617" i="12" s="1"/>
  <c r="W885" i="12"/>
  <c r="W850" i="12" s="1"/>
  <c r="W1452" i="12"/>
  <c r="F58" i="3"/>
  <c r="E53" i="9" s="1"/>
  <c r="G60" i="3"/>
  <c r="F2" i="3"/>
  <c r="E8" i="9" s="1"/>
  <c r="V1027" i="12" s="1"/>
  <c r="V1026" i="12" s="1"/>
  <c r="G4" i="3"/>
  <c r="I38" i="3"/>
  <c r="H40" i="9" s="1"/>
  <c r="Y1223" i="12" s="1"/>
  <c r="Y1222" i="12" s="1"/>
  <c r="I17" i="3"/>
  <c r="I15" i="3" s="1"/>
  <c r="H30" i="9" s="1"/>
  <c r="H15" i="3"/>
  <c r="G30" i="9" s="1"/>
  <c r="AC1" i="1"/>
  <c r="AD1" i="1" s="1"/>
  <c r="AE1" i="1" s="1"/>
  <c r="AF1" i="1" s="1"/>
  <c r="AG1" i="1" s="1"/>
  <c r="AH1" i="1" s="1"/>
  <c r="AI1" i="1" s="1"/>
  <c r="AJ1" i="1" s="1"/>
  <c r="AK1" i="1" s="1"/>
  <c r="AL1" i="1" s="1"/>
  <c r="AM1" i="1" s="1"/>
  <c r="AN1" i="1" s="1"/>
  <c r="AO1" i="1" s="1"/>
  <c r="AP1" i="1" s="1"/>
  <c r="AQ1" i="1" s="1"/>
  <c r="AR1" i="1" s="1"/>
  <c r="AS1" i="1" s="1"/>
  <c r="AT1" i="1" s="1"/>
  <c r="AU1" i="1" s="1"/>
  <c r="AV1" i="1" s="1"/>
  <c r="AW1" i="1" s="1"/>
  <c r="AX1" i="1" s="1"/>
  <c r="AY1" i="1" s="1"/>
  <c r="AZ1" i="1" s="1"/>
  <c r="BA1" i="1" s="1"/>
  <c r="BB1" i="1" s="1"/>
  <c r="BC1" i="1" s="1"/>
  <c r="H2" i="2"/>
  <c r="BK145" i="11" l="1"/>
  <c r="AR129" i="11"/>
  <c r="BI147" i="11"/>
  <c r="BL141" i="11"/>
  <c r="BL150" i="11"/>
  <c r="AT123" i="11"/>
  <c r="BK146" i="11"/>
  <c r="BA136" i="11"/>
  <c r="BI138" i="11"/>
  <c r="AX133" i="11"/>
  <c r="BG142" i="11"/>
  <c r="W1402" i="12"/>
  <c r="Z110" i="11"/>
  <c r="AF110" i="11"/>
  <c r="AH110" i="11"/>
  <c r="AG110" i="11"/>
  <c r="AB110" i="11"/>
  <c r="X110" i="11"/>
  <c r="AA110" i="11"/>
  <c r="Y110" i="11"/>
  <c r="AC110" i="11"/>
  <c r="AE110" i="11"/>
  <c r="AD110" i="11"/>
  <c r="Z102" i="11"/>
  <c r="V102" i="11"/>
  <c r="Q102" i="11"/>
  <c r="R102" i="11"/>
  <c r="T102" i="11"/>
  <c r="X102" i="11"/>
  <c r="P102" i="11"/>
  <c r="S102" i="11"/>
  <c r="W102" i="11"/>
  <c r="Y102" i="11"/>
  <c r="U102" i="11"/>
  <c r="Z111" i="11"/>
  <c r="AF111" i="11"/>
  <c r="AH111" i="11"/>
  <c r="AE111" i="11"/>
  <c r="AI111" i="11"/>
  <c r="AG111" i="11"/>
  <c r="Y111" i="11"/>
  <c r="AC111" i="11"/>
  <c r="AA111" i="11"/>
  <c r="AD111" i="11"/>
  <c r="AB111" i="11"/>
  <c r="BL145" i="11"/>
  <c r="BG145" i="11"/>
  <c r="BH145" i="11"/>
  <c r="BI145" i="11"/>
  <c r="AK118" i="11"/>
  <c r="AN118" i="11"/>
  <c r="AL118" i="11"/>
  <c r="AH118" i="11"/>
  <c r="AF118" i="11"/>
  <c r="AI118" i="11"/>
  <c r="AJ118" i="11"/>
  <c r="AO118" i="11"/>
  <c r="AM118" i="11"/>
  <c r="AG118" i="11"/>
  <c r="AP118" i="11"/>
  <c r="Z107" i="11"/>
  <c r="AE107" i="11"/>
  <c r="AB107" i="11"/>
  <c r="U107" i="11"/>
  <c r="AC107" i="11"/>
  <c r="W107" i="11"/>
  <c r="V107" i="11"/>
  <c r="AD107" i="11"/>
  <c r="X107" i="11"/>
  <c r="Y107" i="11"/>
  <c r="AA107" i="11"/>
  <c r="AY129" i="11"/>
  <c r="AU129" i="11"/>
  <c r="BA129" i="11"/>
  <c r="AV129" i="11"/>
  <c r="AX129" i="11"/>
  <c r="AS129" i="11"/>
  <c r="AT129" i="11"/>
  <c r="V1402" i="12"/>
  <c r="Z103" i="11"/>
  <c r="Q103" i="11"/>
  <c r="R103" i="11"/>
  <c r="X103" i="11"/>
  <c r="S103" i="11"/>
  <c r="U103" i="11"/>
  <c r="T103" i="11"/>
  <c r="W103" i="11"/>
  <c r="AA103" i="11"/>
  <c r="Y103" i="11"/>
  <c r="V103" i="11"/>
  <c r="AE114" i="11"/>
  <c r="AF114" i="11"/>
  <c r="AG114" i="11"/>
  <c r="AI114" i="11"/>
  <c r="AC114" i="11"/>
  <c r="AJ114" i="11"/>
  <c r="AK114" i="11"/>
  <c r="AL114" i="11"/>
  <c r="AB114" i="11"/>
  <c r="AH114" i="11"/>
  <c r="AD114" i="11"/>
  <c r="X100" i="11"/>
  <c r="T100" i="11"/>
  <c r="O100" i="11"/>
  <c r="S100" i="11"/>
  <c r="R100" i="11"/>
  <c r="U100" i="11"/>
  <c r="V100" i="11"/>
  <c r="W100" i="11"/>
  <c r="N100" i="11"/>
  <c r="P100" i="11"/>
  <c r="Q100" i="11"/>
  <c r="AK121" i="11"/>
  <c r="AP121" i="11"/>
  <c r="AM121" i="11"/>
  <c r="AQ121" i="11"/>
  <c r="AI121" i="11"/>
  <c r="AO121" i="11"/>
  <c r="AR121" i="11"/>
  <c r="AJ121" i="11"/>
  <c r="AL121" i="11"/>
  <c r="AS121" i="11"/>
  <c r="AN121" i="11"/>
  <c r="Z108" i="11"/>
  <c r="AA108" i="11"/>
  <c r="AB108" i="11"/>
  <c r="AD108" i="11"/>
  <c r="W108" i="11"/>
  <c r="X108" i="11"/>
  <c r="AE108" i="11"/>
  <c r="Y108" i="11"/>
  <c r="AF108" i="11"/>
  <c r="AC108" i="11"/>
  <c r="V108" i="11"/>
  <c r="Z106" i="11"/>
  <c r="X106" i="11"/>
  <c r="W106" i="11"/>
  <c r="T106" i="11"/>
  <c r="Y106" i="11"/>
  <c r="AA106" i="11"/>
  <c r="AB106" i="11"/>
  <c r="AC106" i="11"/>
  <c r="U106" i="11"/>
  <c r="V106" i="11"/>
  <c r="AD106" i="11"/>
  <c r="AF113" i="11"/>
  <c r="AH113" i="11"/>
  <c r="AG113" i="11"/>
  <c r="AE113" i="11"/>
  <c r="AD113" i="11"/>
  <c r="AJ113" i="11"/>
  <c r="AB113" i="11"/>
  <c r="AI113" i="11"/>
  <c r="AK113" i="11"/>
  <c r="AC113" i="11"/>
  <c r="AA113" i="11"/>
  <c r="AK117" i="11"/>
  <c r="AM117" i="11"/>
  <c r="AO117" i="11"/>
  <c r="AG117" i="11"/>
  <c r="AE117" i="11"/>
  <c r="AF117" i="11"/>
  <c r="AH117" i="11"/>
  <c r="AI117" i="11"/>
  <c r="AN117" i="11"/>
  <c r="AJ117" i="11"/>
  <c r="AL117" i="11"/>
  <c r="AJ120" i="11"/>
  <c r="AK120" i="11"/>
  <c r="AO120" i="11"/>
  <c r="AQ120" i="11"/>
  <c r="AL120" i="11"/>
  <c r="AP120" i="11"/>
  <c r="AM120" i="11"/>
  <c r="AH120" i="11"/>
  <c r="AI120" i="11"/>
  <c r="AN120" i="11"/>
  <c r="AR120" i="11"/>
  <c r="AK119" i="11"/>
  <c r="AM119" i="11"/>
  <c r="AO119" i="11"/>
  <c r="AL119" i="11"/>
  <c r="AN119" i="11"/>
  <c r="AP119" i="11"/>
  <c r="AG119" i="11"/>
  <c r="AI119" i="11"/>
  <c r="AH119" i="11"/>
  <c r="AQ119" i="11"/>
  <c r="AJ119" i="11"/>
  <c r="O99" i="11"/>
  <c r="S99" i="11"/>
  <c r="U99" i="11"/>
  <c r="R99" i="11"/>
  <c r="Q99" i="11"/>
  <c r="V99" i="11"/>
  <c r="W99" i="11"/>
  <c r="N99" i="11"/>
  <c r="T99" i="11"/>
  <c r="M99" i="11"/>
  <c r="P99" i="11"/>
  <c r="U105" i="11"/>
  <c r="W105" i="11"/>
  <c r="V105" i="11"/>
  <c r="Z105" i="11"/>
  <c r="AC105" i="11"/>
  <c r="X105" i="11"/>
  <c r="S105" i="11"/>
  <c r="AA105" i="11"/>
  <c r="T105" i="11"/>
  <c r="Y105" i="11"/>
  <c r="AB105" i="11"/>
  <c r="Z112" i="11"/>
  <c r="AD112" i="11"/>
  <c r="AG112" i="11"/>
  <c r="AE112" i="11"/>
  <c r="AA112" i="11"/>
  <c r="AH112" i="11"/>
  <c r="AI112" i="11"/>
  <c r="AB112" i="11"/>
  <c r="AJ112" i="11"/>
  <c r="AF112" i="11"/>
  <c r="AC112" i="11"/>
  <c r="Z109" i="11"/>
  <c r="AC109" i="11"/>
  <c r="AB109" i="11"/>
  <c r="W109" i="11"/>
  <c r="Y109" i="11"/>
  <c r="AD109" i="11"/>
  <c r="AE109" i="11"/>
  <c r="AF109" i="11"/>
  <c r="AA109" i="11"/>
  <c r="X109" i="11"/>
  <c r="AG109" i="11"/>
  <c r="AM122" i="11"/>
  <c r="AL122" i="11"/>
  <c r="AN122" i="11"/>
  <c r="AK122" i="11"/>
  <c r="AQ122" i="11"/>
  <c r="AT122" i="11"/>
  <c r="AR122" i="11"/>
  <c r="AS122" i="11"/>
  <c r="AO122" i="11"/>
  <c r="AJ122" i="11"/>
  <c r="AP122" i="11"/>
  <c r="BB133" i="11"/>
  <c r="BD133" i="11"/>
  <c r="O101" i="11"/>
  <c r="W101" i="11"/>
  <c r="U101" i="11"/>
  <c r="X101" i="11"/>
  <c r="R101" i="11"/>
  <c r="T101" i="11"/>
  <c r="Y101" i="11"/>
  <c r="S101" i="11"/>
  <c r="Q101" i="11"/>
  <c r="P101" i="11"/>
  <c r="V101" i="11"/>
  <c r="AD115" i="11"/>
  <c r="AH115" i="11"/>
  <c r="AF115" i="11"/>
  <c r="AL115" i="11"/>
  <c r="AI115" i="11"/>
  <c r="AJ115" i="11"/>
  <c r="AC115" i="11"/>
  <c r="AE115" i="11"/>
  <c r="AM115" i="11"/>
  <c r="AG115" i="11"/>
  <c r="AK115" i="11"/>
  <c r="AH116" i="11"/>
  <c r="AG116" i="11"/>
  <c r="AJ116" i="11"/>
  <c r="AM116" i="11"/>
  <c r="AI116" i="11"/>
  <c r="AN116" i="11"/>
  <c r="AK116" i="11"/>
  <c r="AL116" i="11"/>
  <c r="AE116" i="11"/>
  <c r="AF116" i="11"/>
  <c r="AD116" i="11"/>
  <c r="Z104" i="11"/>
  <c r="X104" i="11"/>
  <c r="V104" i="11"/>
  <c r="Y104" i="11"/>
  <c r="T104" i="11"/>
  <c r="R104" i="11"/>
  <c r="AA104" i="11"/>
  <c r="AB104" i="11"/>
  <c r="U104" i="11"/>
  <c r="W104" i="11"/>
  <c r="S104" i="11"/>
  <c r="V1537" i="12"/>
  <c r="W1538" i="12"/>
  <c r="V1548" i="12"/>
  <c r="W1549" i="12"/>
  <c r="V1373" i="12"/>
  <c r="W1374" i="12"/>
  <c r="W1292" i="12"/>
  <c r="V1275" i="12"/>
  <c r="W360" i="12"/>
  <c r="V359" i="12"/>
  <c r="V361" i="12"/>
  <c r="W362" i="12"/>
  <c r="V1379" i="12"/>
  <c r="W1380" i="12"/>
  <c r="W1253" i="12"/>
  <c r="V1249" i="12"/>
  <c r="W465" i="12"/>
  <c r="V464" i="12"/>
  <c r="V355" i="12"/>
  <c r="W356" i="12"/>
  <c r="W1068" i="12"/>
  <c r="V1055" i="12"/>
  <c r="W1498" i="12"/>
  <c r="V1497" i="12"/>
  <c r="W439" i="12"/>
  <c r="V438" i="12"/>
  <c r="V466" i="12"/>
  <c r="W467" i="12"/>
  <c r="W1362" i="12"/>
  <c r="V1360" i="12"/>
  <c r="V470" i="12"/>
  <c r="W471" i="12"/>
  <c r="W1529" i="12"/>
  <c r="V1528" i="12"/>
  <c r="T21" i="17"/>
  <c r="T53" i="17" s="1"/>
  <c r="AB22" i="9"/>
  <c r="AC22" i="9" s="1"/>
  <c r="X652" i="12"/>
  <c r="X617" i="12" s="1"/>
  <c r="X885" i="12"/>
  <c r="X850" i="12" s="1"/>
  <c r="X1452" i="12"/>
  <c r="X1402" i="12" s="1"/>
  <c r="Y1452" i="12"/>
  <c r="Y1402" i="12" s="1"/>
  <c r="V588" i="12"/>
  <c r="V584" i="12" s="1"/>
  <c r="V1340" i="12"/>
  <c r="V1335" i="12" s="1"/>
  <c r="V821" i="12"/>
  <c r="V817" i="12" s="1"/>
  <c r="V1355" i="12"/>
  <c r="V1351" i="12" s="1"/>
  <c r="H4" i="3"/>
  <c r="G2" i="3"/>
  <c r="F8" i="9" s="1"/>
  <c r="W1027" i="12" s="1"/>
  <c r="W1026" i="12" s="1"/>
  <c r="H60" i="3"/>
  <c r="G58" i="3"/>
  <c r="F53" i="9" s="1"/>
  <c r="I2" i="2"/>
  <c r="L2" i="2"/>
  <c r="N15" i="11" l="1"/>
  <c r="N14" i="11" s="1"/>
  <c r="AZ129" i="11"/>
  <c r="BA133" i="11"/>
  <c r="AQ129" i="11"/>
  <c r="AW129" i="11"/>
  <c r="BL147" i="11"/>
  <c r="BE142" i="11"/>
  <c r="BJ145" i="11"/>
  <c r="AM123" i="11"/>
  <c r="BK147" i="11"/>
  <c r="AO123" i="11"/>
  <c r="AR123" i="11"/>
  <c r="AK123" i="11"/>
  <c r="BJ147" i="11"/>
  <c r="BJ142" i="11"/>
  <c r="BI141" i="11"/>
  <c r="BD141" i="11"/>
  <c r="BI146" i="11"/>
  <c r="AP123" i="11"/>
  <c r="AS123" i="11"/>
  <c r="BH146" i="11"/>
  <c r="AN123" i="11"/>
  <c r="AL123" i="11"/>
  <c r="AU123" i="11"/>
  <c r="AQ123" i="11"/>
  <c r="BH136" i="11"/>
  <c r="BL146" i="11"/>
  <c r="BK141" i="11"/>
  <c r="BF141" i="11"/>
  <c r="BH141" i="11"/>
  <c r="BB136" i="11"/>
  <c r="BJ146" i="11"/>
  <c r="BE141" i="11"/>
  <c r="BC141" i="11"/>
  <c r="BC136" i="11"/>
  <c r="BE136" i="11"/>
  <c r="BJ141" i="11"/>
  <c r="AZ136" i="11"/>
  <c r="AY136" i="11"/>
  <c r="BG141" i="11"/>
  <c r="AX136" i="11"/>
  <c r="BG136" i="11"/>
  <c r="AW133" i="11"/>
  <c r="BH142" i="11"/>
  <c r="BE133" i="11"/>
  <c r="BK142" i="11"/>
  <c r="AV133" i="11"/>
  <c r="BL142" i="11"/>
  <c r="AZ133" i="11"/>
  <c r="BF142" i="11"/>
  <c r="AY133" i="11"/>
  <c r="AU133" i="11"/>
  <c r="BC133" i="11"/>
  <c r="BF138" i="11"/>
  <c r="BB138" i="11"/>
  <c r="BC138" i="11"/>
  <c r="AZ138" i="11"/>
  <c r="BI142" i="11"/>
  <c r="BA138" i="11"/>
  <c r="BD138" i="11"/>
  <c r="BF136" i="11"/>
  <c r="BD142" i="11"/>
  <c r="BE138" i="11"/>
  <c r="BG138" i="11"/>
  <c r="BH138" i="11"/>
  <c r="BJ138" i="11"/>
  <c r="BD136" i="11"/>
  <c r="BC134" i="11"/>
  <c r="BA134" i="11"/>
  <c r="AW134" i="11"/>
  <c r="BB134" i="11"/>
  <c r="AV134" i="11"/>
  <c r="AZ134" i="11"/>
  <c r="BD134" i="11"/>
  <c r="BF134" i="11"/>
  <c r="AY134" i="11"/>
  <c r="BE134" i="11"/>
  <c r="AX134" i="11"/>
  <c r="AV124" i="11"/>
  <c r="AR124" i="11"/>
  <c r="AL124" i="11"/>
  <c r="AM124" i="11"/>
  <c r="AN124" i="11"/>
  <c r="AQ124" i="11"/>
  <c r="AT124" i="11"/>
  <c r="AS124" i="11"/>
  <c r="AO124" i="11"/>
  <c r="AU124" i="11"/>
  <c r="AP124" i="11"/>
  <c r="BI143" i="11"/>
  <c r="BJ143" i="11"/>
  <c r="BK143" i="11"/>
  <c r="BE143" i="11"/>
  <c r="BF143" i="11"/>
  <c r="BH143" i="11"/>
  <c r="BG143" i="11"/>
  <c r="BL143" i="11"/>
  <c r="AS126" i="11"/>
  <c r="AN126" i="11"/>
  <c r="AW126" i="11"/>
  <c r="AV126" i="11"/>
  <c r="AT126" i="11"/>
  <c r="AR126" i="11"/>
  <c r="AX126" i="11"/>
  <c r="AQ126" i="11"/>
  <c r="AU126" i="11"/>
  <c r="AP126" i="11"/>
  <c r="AO126" i="11"/>
  <c r="AZ132" i="11"/>
  <c r="BA132" i="11"/>
  <c r="AU132" i="11"/>
  <c r="BB132" i="11"/>
  <c r="AX132" i="11"/>
  <c r="AV132" i="11"/>
  <c r="AY132" i="11"/>
  <c r="BC132" i="11"/>
  <c r="BD132" i="11"/>
  <c r="AT132" i="11"/>
  <c r="AW132" i="11"/>
  <c r="BJ148" i="11"/>
  <c r="BK148" i="11"/>
  <c r="BL148" i="11"/>
  <c r="AY128" i="11"/>
  <c r="AZ128" i="11"/>
  <c r="AR128" i="11"/>
  <c r="AS128" i="11"/>
  <c r="AQ128" i="11"/>
  <c r="AU128" i="11"/>
  <c r="AX128" i="11"/>
  <c r="AW128" i="11"/>
  <c r="AP128" i="11"/>
  <c r="AT128" i="11"/>
  <c r="AV128" i="11"/>
  <c r="BF137" i="11"/>
  <c r="BB137" i="11"/>
  <c r="AY137" i="11"/>
  <c r="BG137" i="11"/>
  <c r="BE137" i="11"/>
  <c r="BH137" i="11"/>
  <c r="BC137" i="11"/>
  <c r="BD137" i="11"/>
  <c r="AZ137" i="11"/>
  <c r="BA137" i="11"/>
  <c r="BI137" i="11"/>
  <c r="BH144" i="11"/>
  <c r="BJ144" i="11"/>
  <c r="BI144" i="11"/>
  <c r="BF144" i="11"/>
  <c r="BK144" i="11"/>
  <c r="BL144" i="11"/>
  <c r="BG144" i="11"/>
  <c r="AR127" i="11"/>
  <c r="AT127" i="11"/>
  <c r="AV127" i="11"/>
  <c r="AW127" i="11"/>
  <c r="AX127" i="11"/>
  <c r="AY127" i="11"/>
  <c r="AP127" i="11"/>
  <c r="AQ127" i="11"/>
  <c r="AU127" i="11"/>
  <c r="AS127" i="11"/>
  <c r="AO127" i="11"/>
  <c r="BE140" i="11"/>
  <c r="BB140" i="11"/>
  <c r="BF140" i="11"/>
  <c r="BK140" i="11"/>
  <c r="BG140" i="11"/>
  <c r="BL140" i="11"/>
  <c r="BC140" i="11"/>
  <c r="BD140" i="11"/>
  <c r="BJ140" i="11"/>
  <c r="BH140" i="11"/>
  <c r="BI140" i="11"/>
  <c r="BB139" i="11"/>
  <c r="BG139" i="11"/>
  <c r="BJ139" i="11"/>
  <c r="BH139" i="11"/>
  <c r="BD139" i="11"/>
  <c r="BI139" i="11"/>
  <c r="BE139" i="11"/>
  <c r="BF139" i="11"/>
  <c r="BC139" i="11"/>
  <c r="BK139" i="11"/>
  <c r="BA139" i="11"/>
  <c r="BK149" i="11"/>
  <c r="BL149" i="11"/>
  <c r="BB131" i="11"/>
  <c r="BA131" i="11"/>
  <c r="AV131" i="11"/>
  <c r="AS131" i="11"/>
  <c r="AU131" i="11"/>
  <c r="BC131" i="11"/>
  <c r="AZ131" i="11"/>
  <c r="AY131" i="11"/>
  <c r="AW131" i="11"/>
  <c r="AT131" i="11"/>
  <c r="AX131" i="11"/>
  <c r="AS130" i="11"/>
  <c r="BA130" i="11"/>
  <c r="AT130" i="11"/>
  <c r="AX130" i="11"/>
  <c r="AY130" i="11"/>
  <c r="AR130" i="11"/>
  <c r="AZ130" i="11"/>
  <c r="BB130" i="11"/>
  <c r="AU130" i="11"/>
  <c r="AW130" i="11"/>
  <c r="AV130" i="11"/>
  <c r="AZ135" i="11"/>
  <c r="BA135" i="11"/>
  <c r="BB135" i="11"/>
  <c r="AW135" i="11"/>
  <c r="BE135" i="11"/>
  <c r="AX135" i="11"/>
  <c r="BG135" i="11"/>
  <c r="BC135" i="11"/>
  <c r="BF135" i="11"/>
  <c r="AY135" i="11"/>
  <c r="BD135" i="11"/>
  <c r="AN125" i="11"/>
  <c r="AS125" i="11"/>
  <c r="AT125" i="11"/>
  <c r="AU125" i="11"/>
  <c r="AO125" i="11"/>
  <c r="AP125" i="11"/>
  <c r="AQ125" i="11"/>
  <c r="AW125" i="11"/>
  <c r="AR125" i="11"/>
  <c r="AM125" i="11"/>
  <c r="AV125" i="11"/>
  <c r="W470" i="12"/>
  <c r="X471" i="12"/>
  <c r="X1253" i="12"/>
  <c r="W1249" i="12"/>
  <c r="X1374" i="12"/>
  <c r="W1373" i="12"/>
  <c r="X1362" i="12"/>
  <c r="W1360" i="12"/>
  <c r="W361" i="12"/>
  <c r="X362" i="12"/>
  <c r="D22" i="17"/>
  <c r="X1292" i="12"/>
  <c r="W1275" i="12"/>
  <c r="W1379" i="12"/>
  <c r="X1380" i="12"/>
  <c r="X1068" i="12"/>
  <c r="W1055" i="12"/>
  <c r="W355" i="12"/>
  <c r="X356" i="12"/>
  <c r="W1548" i="12"/>
  <c r="X1549" i="12"/>
  <c r="X1538" i="12"/>
  <c r="W1537" i="12"/>
  <c r="X1498" i="12"/>
  <c r="W1497" i="12"/>
  <c r="X467" i="12"/>
  <c r="W466" i="12"/>
  <c r="W1528" i="12"/>
  <c r="X1529" i="12"/>
  <c r="X439" i="12"/>
  <c r="W438" i="12"/>
  <c r="W464" i="12"/>
  <c r="X465" i="12"/>
  <c r="X360" i="12"/>
  <c r="W359" i="12"/>
  <c r="AC20" i="9"/>
  <c r="AD20" i="9" s="1"/>
  <c r="U21" i="17"/>
  <c r="U53" i="17" s="1"/>
  <c r="Y885" i="12"/>
  <c r="Y850" i="12" s="1"/>
  <c r="Y652" i="12"/>
  <c r="Y617" i="12" s="1"/>
  <c r="W588" i="12"/>
  <c r="W584" i="12" s="1"/>
  <c r="W1340" i="12"/>
  <c r="W1335" i="12" s="1"/>
  <c r="W821" i="12"/>
  <c r="W817" i="12" s="1"/>
  <c r="W1355" i="12"/>
  <c r="W1351" i="12" s="1"/>
  <c r="H2" i="3"/>
  <c r="G8" i="9" s="1"/>
  <c r="X1027" i="12" s="1"/>
  <c r="X1026" i="12" s="1"/>
  <c r="I4" i="3"/>
  <c r="I2" i="3" s="1"/>
  <c r="H8" i="9" s="1"/>
  <c r="Y1027" i="12" s="1"/>
  <c r="Y1026" i="12" s="1"/>
  <c r="H58" i="3"/>
  <c r="G53" i="9" s="1"/>
  <c r="I60" i="3"/>
  <c r="I58" i="3" s="1"/>
  <c r="H53" i="9" s="1"/>
  <c r="J2" i="2"/>
  <c r="N2" i="2" s="1"/>
  <c r="M2" i="2"/>
  <c r="N18" i="11" l="1"/>
  <c r="Y1538" i="12"/>
  <c r="Y1537" i="12" s="1"/>
  <c r="X1537" i="12"/>
  <c r="X1528" i="12"/>
  <c r="Y1529" i="12"/>
  <c r="Y1528" i="12" s="1"/>
  <c r="X1373" i="12"/>
  <c r="Y1374" i="12"/>
  <c r="Y1373" i="12" s="1"/>
  <c r="Y1498" i="12"/>
  <c r="Y1497" i="12" s="1"/>
  <c r="X1497" i="12"/>
  <c r="Y1068" i="12"/>
  <c r="Y1055" i="12" s="1"/>
  <c r="X1055" i="12"/>
  <c r="X1379" i="12"/>
  <c r="Y1380" i="12"/>
  <c r="Y1379" i="12" s="1"/>
  <c r="X1548" i="12"/>
  <c r="Y1549" i="12"/>
  <c r="Y1548" i="12" s="1"/>
  <c r="Y1292" i="12"/>
  <c r="Y1275" i="12" s="1"/>
  <c r="X1275" i="12"/>
  <c r="X355" i="12"/>
  <c r="Y356" i="12"/>
  <c r="Y355" i="12" s="1"/>
  <c r="D17" i="17"/>
  <c r="D49" i="17" s="1"/>
  <c r="D54" i="17"/>
  <c r="Y1253" i="12"/>
  <c r="Y1249" i="12" s="1"/>
  <c r="X1249" i="12"/>
  <c r="Y467" i="12"/>
  <c r="Y466" i="12" s="1"/>
  <c r="X466" i="12"/>
  <c r="E22" i="17"/>
  <c r="X361" i="12"/>
  <c r="Y362" i="12"/>
  <c r="Y361" i="12" s="1"/>
  <c r="X470" i="12"/>
  <c r="Y471" i="12"/>
  <c r="Y470" i="12" s="1"/>
  <c r="Y1362" i="12"/>
  <c r="Y1360" i="12" s="1"/>
  <c r="X1360" i="12"/>
  <c r="X438" i="12"/>
  <c r="Y439" i="12"/>
  <c r="Y438" i="12" s="1"/>
  <c r="Y360" i="12"/>
  <c r="Y359" i="12" s="1"/>
  <c r="X359" i="12"/>
  <c r="X464" i="12"/>
  <c r="Y465" i="12"/>
  <c r="Y464" i="12" s="1"/>
  <c r="AD22" i="9"/>
  <c r="AE22" i="9" s="1"/>
  <c r="V21" i="17"/>
  <c r="V53" i="17" s="1"/>
  <c r="D52" i="9"/>
  <c r="Y1340" i="12"/>
  <c r="Y1335" i="12" s="1"/>
  <c r="X1355" i="12"/>
  <c r="X1351" i="12" s="1"/>
  <c r="X588" i="12"/>
  <c r="X584" i="12" s="1"/>
  <c r="X1340" i="12"/>
  <c r="X1335" i="12" s="1"/>
  <c r="X821" i="12"/>
  <c r="X817" i="12" s="1"/>
  <c r="AE20" i="9" l="1"/>
  <c r="AF20" i="9" s="1"/>
  <c r="G22" i="17"/>
  <c r="E17" i="17"/>
  <c r="E49" i="17" s="1"/>
  <c r="E54" i="17"/>
  <c r="F22" i="17"/>
  <c r="W21" i="17"/>
  <c r="W53" i="17" s="1"/>
  <c r="Y1355" i="12"/>
  <c r="Y1351" i="12" s="1"/>
  <c r="Y821" i="12"/>
  <c r="Y817" i="12" s="1"/>
  <c r="Y588" i="12"/>
  <c r="Y584" i="12" s="1"/>
  <c r="AF22" i="9" l="1"/>
  <c r="AG22" i="9" s="1"/>
  <c r="F54" i="17"/>
  <c r="F17" i="17"/>
  <c r="F49" i="17" s="1"/>
  <c r="G54" i="17"/>
  <c r="H22" i="17"/>
  <c r="G17" i="17"/>
  <c r="G49" i="17" s="1"/>
  <c r="X21" i="17"/>
  <c r="X53" i="17" s="1"/>
  <c r="AG20" i="9" l="1"/>
  <c r="AH20" i="9" s="1"/>
  <c r="H54" i="17"/>
  <c r="H17" i="17"/>
  <c r="H49" i="17" s="1"/>
  <c r="I22" i="17"/>
  <c r="Y21" i="17"/>
  <c r="Y53" i="17" s="1"/>
  <c r="AH22" i="9" l="1"/>
  <c r="AI22" i="9" s="1"/>
  <c r="I54" i="17"/>
  <c r="J22" i="17"/>
  <c r="I17" i="17"/>
  <c r="I49" i="17" s="1"/>
  <c r="Z21" i="17"/>
  <c r="Z53" i="17" s="1"/>
  <c r="AI20" i="9" l="1"/>
  <c r="AJ20" i="9" s="1"/>
  <c r="J54" i="17"/>
  <c r="J17" i="17"/>
  <c r="J49" i="17" s="1"/>
  <c r="K22" i="17"/>
  <c r="AA21" i="17"/>
  <c r="AA53" i="17" s="1"/>
  <c r="AJ22" i="9" l="1"/>
  <c r="AK22" i="9" s="1"/>
  <c r="K54" i="17"/>
  <c r="K17" i="17"/>
  <c r="K49" i="17" s="1"/>
  <c r="L22" i="17"/>
  <c r="AB21" i="17"/>
  <c r="AB53" i="17" s="1"/>
  <c r="AK20" i="9" l="1"/>
  <c r="AL20" i="9" s="1"/>
  <c r="L54" i="17"/>
  <c r="M22" i="17"/>
  <c r="L17" i="17"/>
  <c r="L49" i="17" s="1"/>
  <c r="AC21" i="17"/>
  <c r="AC53" i="17" s="1"/>
  <c r="AL22" i="9" l="1"/>
  <c r="AM22" i="9" s="1"/>
  <c r="M54" i="17"/>
  <c r="M17" i="17"/>
  <c r="M49" i="17" s="1"/>
  <c r="N22" i="17"/>
  <c r="AD21" i="17"/>
  <c r="AD53" i="17" s="1"/>
  <c r="AM20" i="9" l="1"/>
  <c r="AN20" i="9" s="1"/>
  <c r="N54" i="17"/>
  <c r="O22" i="17"/>
  <c r="N17" i="17"/>
  <c r="N49" i="17" s="1"/>
  <c r="AE21" i="17"/>
  <c r="AE53" i="17" s="1"/>
  <c r="AN22" i="9" l="1"/>
  <c r="AO22" i="9" s="1"/>
  <c r="O54" i="17"/>
  <c r="O17" i="17"/>
  <c r="O49" i="17" s="1"/>
  <c r="P22" i="17"/>
  <c r="AF21" i="17"/>
  <c r="AF53" i="17" s="1"/>
  <c r="AO20" i="9" l="1"/>
  <c r="AP20" i="9" s="1"/>
  <c r="P54" i="17"/>
  <c r="Q22" i="17"/>
  <c r="P17" i="17"/>
  <c r="P49" i="17" s="1"/>
  <c r="AG21" i="17"/>
  <c r="AG53" i="17" s="1"/>
  <c r="AP22" i="9"/>
  <c r="AQ22" i="9" s="1"/>
  <c r="Q54" i="17" l="1"/>
  <c r="R22" i="17"/>
  <c r="Q17" i="17"/>
  <c r="Q49" i="17" s="1"/>
  <c r="AH21" i="17"/>
  <c r="AH53" i="17" s="1"/>
  <c r="AQ20" i="9"/>
  <c r="AR20" i="9" s="1"/>
  <c r="R54" i="17" l="1"/>
  <c r="S22" i="17"/>
  <c r="R17" i="17"/>
  <c r="R49" i="17" s="1"/>
  <c r="AI21" i="17"/>
  <c r="AI53" i="17" s="1"/>
  <c r="AR22" i="9"/>
  <c r="AS22" i="9" s="1"/>
  <c r="S54" i="17" l="1"/>
  <c r="S17" i="17"/>
  <c r="S49" i="17" s="1"/>
  <c r="T22" i="17"/>
  <c r="AJ21" i="17"/>
  <c r="AJ53" i="17" s="1"/>
  <c r="AS20" i="9"/>
  <c r="AT20" i="9" s="1"/>
  <c r="T54" i="17" l="1"/>
  <c r="U22" i="17"/>
  <c r="T17" i="17"/>
  <c r="T49" i="17" s="1"/>
  <c r="AK21" i="17"/>
  <c r="AK53" i="17" s="1"/>
  <c r="AT22" i="9"/>
  <c r="AU22" i="9" s="1"/>
  <c r="U54" i="17" l="1"/>
  <c r="U17" i="17"/>
  <c r="U49" i="17" s="1"/>
  <c r="V22" i="17"/>
  <c r="AL21" i="17"/>
  <c r="AL53" i="17" s="1"/>
  <c r="AU20" i="9"/>
  <c r="AV20" i="9" s="1"/>
  <c r="V54" i="17" l="1"/>
  <c r="W22" i="17"/>
  <c r="V17" i="17"/>
  <c r="V49" i="17" s="1"/>
  <c r="AM21" i="17"/>
  <c r="AM53" i="17" s="1"/>
  <c r="AV22" i="9"/>
  <c r="AW22" i="9" s="1"/>
  <c r="W54" i="17" l="1"/>
  <c r="X22" i="17"/>
  <c r="W17" i="17"/>
  <c r="W49" i="17" s="1"/>
  <c r="AN21" i="17"/>
  <c r="AN53" i="17" s="1"/>
  <c r="AW20" i="9"/>
  <c r="AX20" i="9" s="1"/>
  <c r="X54" i="17" l="1"/>
  <c r="X17" i="17"/>
  <c r="X49" i="17" s="1"/>
  <c r="Y22" i="17"/>
  <c r="AO21" i="17"/>
  <c r="AO53" i="17" s="1"/>
  <c r="AX22" i="9"/>
  <c r="AY22" i="9" s="1"/>
  <c r="Y54" i="17" l="1"/>
  <c r="Y17" i="17"/>
  <c r="Y49" i="17" s="1"/>
  <c r="Z22" i="17"/>
  <c r="AP21" i="17"/>
  <c r="AP53" i="17" s="1"/>
  <c r="AY20" i="9"/>
  <c r="AZ20" i="9" s="1"/>
  <c r="Z54" i="17" l="1"/>
  <c r="Z17" i="17"/>
  <c r="Z49" i="17" s="1"/>
  <c r="AA22" i="17"/>
  <c r="AQ21" i="17"/>
  <c r="AQ53" i="17" s="1"/>
  <c r="AZ22" i="9"/>
  <c r="BA22" i="9" s="1"/>
  <c r="AA54" i="17" l="1"/>
  <c r="AA17" i="17"/>
  <c r="AA49" i="17" s="1"/>
  <c r="AB22" i="17"/>
  <c r="AR21" i="17"/>
  <c r="AR53" i="17" s="1"/>
  <c r="BA20" i="9"/>
  <c r="BB20" i="9" s="1"/>
  <c r="AB54" i="17" l="1"/>
  <c r="AC22" i="17"/>
  <c r="AB17" i="17"/>
  <c r="AB49" i="17" s="1"/>
  <c r="AS21" i="17"/>
  <c r="AS53" i="17" s="1"/>
  <c r="BB22" i="9"/>
  <c r="AC54" i="17" l="1"/>
  <c r="AC17" i="17"/>
  <c r="AC49" i="17" s="1"/>
  <c r="AD22" i="17"/>
  <c r="AT21" i="17"/>
  <c r="AT53" i="17" s="1"/>
  <c r="AD54" i="17" l="1"/>
  <c r="AE22" i="17"/>
  <c r="AD17" i="17"/>
  <c r="AD49" i="17" s="1"/>
  <c r="AU21" i="17"/>
  <c r="AU53" i="17" s="1"/>
  <c r="AE54" i="17" l="1"/>
  <c r="AE17" i="17"/>
  <c r="AE49" i="17" s="1"/>
  <c r="AF22" i="17"/>
  <c r="AV21" i="17"/>
  <c r="AV53" i="17" s="1"/>
  <c r="AF54" i="17" l="1"/>
  <c r="AG22" i="17"/>
  <c r="AF17" i="17"/>
  <c r="AF49" i="17" s="1"/>
  <c r="AW21" i="17"/>
  <c r="AW53" i="17" s="1"/>
  <c r="AG54" i="17" l="1"/>
  <c r="AG17" i="17"/>
  <c r="AG49" i="17" s="1"/>
  <c r="AH22" i="17"/>
  <c r="AX21" i="17"/>
  <c r="AX53" i="17" s="1"/>
  <c r="AH54" i="17" l="1"/>
  <c r="AI22" i="17"/>
  <c r="AH17" i="17"/>
  <c r="AH49" i="17" s="1"/>
  <c r="AY21" i="17"/>
  <c r="AY53" i="17" s="1"/>
  <c r="AI54" i="17" l="1"/>
  <c r="AI17" i="17"/>
  <c r="AI49" i="17" s="1"/>
  <c r="AJ22" i="17"/>
  <c r="AZ21" i="17"/>
  <c r="AZ53" i="17" s="1"/>
  <c r="AJ54" i="17" l="1"/>
  <c r="AJ17" i="17"/>
  <c r="AJ49" i="17" s="1"/>
  <c r="AK22" i="17"/>
  <c r="BA21" i="17"/>
  <c r="BA53" i="17" s="1"/>
  <c r="AK54" i="17" l="1"/>
  <c r="AK17" i="17"/>
  <c r="AK49" i="17" s="1"/>
  <c r="AL22" i="17"/>
  <c r="AL54" i="17" l="1"/>
  <c r="AL17" i="17"/>
  <c r="AL49" i="17" s="1"/>
  <c r="AM22" i="17"/>
  <c r="AM54" i="17" l="1"/>
  <c r="AN22" i="17"/>
  <c r="AM17" i="17"/>
  <c r="AM49" i="17" s="1"/>
  <c r="AN54" i="17" l="1"/>
  <c r="AO22" i="17"/>
  <c r="AN17" i="17"/>
  <c r="AN49" i="17" s="1"/>
  <c r="AO54" i="17" l="1"/>
  <c r="AO17" i="17"/>
  <c r="AO49" i="17" s="1"/>
  <c r="AP22" i="17"/>
  <c r="F11" i="3"/>
  <c r="E27" i="9" s="1"/>
  <c r="V1314" i="12" s="1"/>
  <c r="V1296" i="12" s="1"/>
  <c r="G11" i="3"/>
  <c r="F27" i="9" s="1"/>
  <c r="W1314" i="12" s="1"/>
  <c r="W1296" i="12" s="1"/>
  <c r="H11" i="3"/>
  <c r="G27" i="9" s="1"/>
  <c r="X1314" i="12" s="1"/>
  <c r="X1296" i="12" s="1"/>
  <c r="I11" i="3"/>
  <c r="H27" i="9" s="1"/>
  <c r="Y1314" i="12" s="1"/>
  <c r="Y1296" i="12" s="1"/>
  <c r="AP54" i="17" l="1"/>
  <c r="AP17" i="17"/>
  <c r="AP49" i="17" s="1"/>
  <c r="AQ22" i="17"/>
  <c r="S15" i="16"/>
  <c r="K60" i="16"/>
  <c r="AQ54" i="17" l="1"/>
  <c r="AR22" i="17"/>
  <c r="AQ17" i="17"/>
  <c r="AQ49" i="17" s="1"/>
  <c r="E22" i="15"/>
  <c r="N22" i="15" s="1"/>
  <c r="S60" i="16"/>
  <c r="AR54" i="17" l="1"/>
  <c r="AS22" i="17"/>
  <c r="AR17" i="17"/>
  <c r="AR49" i="17" s="1"/>
  <c r="E13" i="15"/>
  <c r="N13" i="15" s="1"/>
  <c r="D28" i="17"/>
  <c r="D60" i="17" s="1"/>
  <c r="AS54" i="17" l="1"/>
  <c r="AS17" i="17"/>
  <c r="AS49" i="17" s="1"/>
  <c r="AT22" i="17"/>
  <c r="D14" i="17"/>
  <c r="D46" i="17" s="1"/>
  <c r="E27" i="15"/>
  <c r="N27" i="15"/>
  <c r="AT54" i="17" l="1"/>
  <c r="AU22" i="17"/>
  <c r="AT17" i="17"/>
  <c r="AT49" i="17" s="1"/>
  <c r="D29" i="17"/>
  <c r="D61" i="17" s="1"/>
  <c r="D15" i="17"/>
  <c r="D47" i="17" s="1"/>
  <c r="AU54" i="17" l="1"/>
  <c r="AV22" i="17"/>
  <c r="AU17" i="17"/>
  <c r="AU49" i="17" s="1"/>
  <c r="D16" i="17"/>
  <c r="D48" i="17" s="1"/>
  <c r="AV54" i="17" l="1"/>
  <c r="AW22" i="17"/>
  <c r="AV17" i="17"/>
  <c r="AV49" i="17" s="1"/>
  <c r="T15" i="16"/>
  <c r="L60" i="16"/>
  <c r="AW54" i="17" l="1"/>
  <c r="AW17" i="17"/>
  <c r="AW49" i="17" s="1"/>
  <c r="AX22" i="17"/>
  <c r="T60" i="16"/>
  <c r="F22" i="15"/>
  <c r="O22" i="15" s="1"/>
  <c r="AX54" i="17" l="1"/>
  <c r="AY22" i="17"/>
  <c r="AX17" i="17"/>
  <c r="AX49" i="17" s="1"/>
  <c r="E28" i="17"/>
  <c r="E60" i="17" s="1"/>
  <c r="F13" i="15"/>
  <c r="O13" i="15" s="1"/>
  <c r="AY54" i="17" l="1"/>
  <c r="AY17" i="17"/>
  <c r="AY49" i="17" s="1"/>
  <c r="AZ22" i="17"/>
  <c r="O27" i="15"/>
  <c r="E14" i="17"/>
  <c r="E46" i="17" s="1"/>
  <c r="F27" i="15"/>
  <c r="AZ54" i="17" l="1"/>
  <c r="BA22" i="17"/>
  <c r="AZ17" i="17"/>
  <c r="AZ49" i="17" s="1"/>
  <c r="E29" i="17"/>
  <c r="E61" i="17" s="1"/>
  <c r="E15" i="17"/>
  <c r="E47" i="17" s="1"/>
  <c r="BA17" i="17" l="1"/>
  <c r="BA49" i="17" s="1"/>
  <c r="BA54" i="17"/>
  <c r="E16" i="17"/>
  <c r="E48" i="17" s="1"/>
  <c r="U15" i="16" l="1"/>
  <c r="M60" i="16"/>
  <c r="U60" i="16" l="1"/>
  <c r="G22" i="15"/>
  <c r="P22" i="15" s="1"/>
  <c r="F28" i="17" l="1"/>
  <c r="F60" i="17" s="1"/>
  <c r="G13" i="15"/>
  <c r="P13" i="15" s="1"/>
  <c r="G27" i="15" l="1"/>
  <c r="P27" i="15"/>
  <c r="F14" i="17"/>
  <c r="F46" i="17" s="1"/>
  <c r="F15" i="17" l="1"/>
  <c r="F29" i="17"/>
  <c r="F61" i="17" s="1"/>
  <c r="F16" i="17" l="1"/>
  <c r="F48" i="17" s="1"/>
  <c r="F47" i="17"/>
  <c r="N60" i="16" l="1"/>
  <c r="V15" i="16"/>
  <c r="V60" i="16" l="1"/>
  <c r="H22" i="15"/>
  <c r="Q22" i="15" s="1"/>
  <c r="H13" i="15" l="1"/>
  <c r="Q13" i="15" s="1"/>
  <c r="G28" i="17"/>
  <c r="G60" i="17" s="1"/>
  <c r="G14" i="17" l="1"/>
  <c r="Q27" i="15"/>
  <c r="H27" i="15"/>
  <c r="G46" i="17" l="1"/>
  <c r="G15" i="17"/>
  <c r="G47" i="17" s="1"/>
  <c r="G29" i="17"/>
  <c r="G61" i="17" s="1"/>
  <c r="V36" i="11" l="1"/>
  <c r="P36" i="11"/>
  <c r="Q36" i="11"/>
  <c r="U36" i="11"/>
  <c r="W36" i="11"/>
  <c r="Y36" i="11"/>
  <c r="T36" i="11"/>
  <c r="X36" i="11"/>
  <c r="R36" i="11"/>
  <c r="S36" i="11"/>
  <c r="O14" i="11" l="1"/>
  <c r="P6" i="11" s="1"/>
  <c r="O17" i="11"/>
  <c r="D30" i="17" l="1"/>
  <c r="D62" i="17" s="1"/>
  <c r="E52" i="9"/>
  <c r="V1101" i="12" s="1"/>
  <c r="V1091" i="12" s="1"/>
  <c r="V1550" i="12" s="1"/>
  <c r="O18" i="11"/>
  <c r="Z37" i="11"/>
  <c r="Y37" i="11"/>
  <c r="X37" i="11"/>
  <c r="V37" i="11"/>
  <c r="P37" i="11"/>
  <c r="Q37" i="11"/>
  <c r="W37" i="11"/>
  <c r="R37" i="11"/>
  <c r="S37" i="11"/>
  <c r="T37" i="11"/>
  <c r="U37" i="11"/>
  <c r="P15" i="11" l="1"/>
  <c r="P14" i="11" s="1"/>
  <c r="Q6" i="11" s="1"/>
  <c r="P17" i="11"/>
  <c r="F52" i="9" l="1"/>
  <c r="W1101" i="12" s="1"/>
  <c r="W1091" i="12" s="1"/>
  <c r="W1550" i="12" s="1"/>
  <c r="P18" i="11"/>
  <c r="E30" i="17"/>
  <c r="E62" i="17" s="1"/>
  <c r="Z38" i="11" l="1"/>
  <c r="AA38" i="11"/>
  <c r="Y38" i="11"/>
  <c r="X38" i="11"/>
  <c r="U38" i="11"/>
  <c r="T38" i="11"/>
  <c r="V38" i="11"/>
  <c r="W38" i="11"/>
  <c r="Q38" i="11"/>
  <c r="R38" i="11"/>
  <c r="S38" i="11"/>
  <c r="Q17" i="11" l="1"/>
  <c r="Q15" i="11"/>
  <c r="Q14" i="11" s="1"/>
  <c r="R6" i="11" l="1"/>
  <c r="F30" i="17"/>
  <c r="F62" i="17" s="1"/>
  <c r="G52" i="9"/>
  <c r="Q18" i="11"/>
  <c r="X1101" i="12" l="1"/>
  <c r="X1091" i="12" s="1"/>
  <c r="X1550" i="12" s="1"/>
  <c r="AA39" i="11"/>
  <c r="Y39" i="11"/>
  <c r="Z39" i="11"/>
  <c r="AB39" i="11"/>
  <c r="X39" i="11"/>
  <c r="T39" i="11"/>
  <c r="V39" i="11"/>
  <c r="U39" i="11"/>
  <c r="W39" i="11"/>
  <c r="S39" i="11"/>
  <c r="R39" i="11"/>
  <c r="R17" i="11" s="1"/>
  <c r="R15" i="11" l="1"/>
  <c r="R14" i="11" s="1"/>
  <c r="R18" i="11" l="1"/>
  <c r="H52" i="9"/>
  <c r="Y1101" i="12" s="1"/>
  <c r="Y1091" i="12" s="1"/>
  <c r="Y1550" i="12" s="1"/>
  <c r="S6" i="11"/>
  <c r="G30" i="17"/>
  <c r="G62" i="17" s="1"/>
  <c r="G16" i="17" l="1"/>
  <c r="G48" i="17" l="1"/>
  <c r="H16" i="17"/>
  <c r="I16" i="17" l="1"/>
  <c r="H48" i="17"/>
  <c r="H15" i="17"/>
  <c r="S5" i="11" s="1"/>
  <c r="S40" i="11" l="1"/>
  <c r="T40" i="11"/>
  <c r="U40" i="11"/>
  <c r="AA40" i="11"/>
  <c r="V40" i="11"/>
  <c r="AC40" i="11"/>
  <c r="Z40" i="11"/>
  <c r="Y40" i="11"/>
  <c r="W40" i="11"/>
  <c r="AB40" i="11"/>
  <c r="X40" i="11"/>
  <c r="H47" i="17"/>
  <c r="J16" i="17"/>
  <c r="I48" i="17"/>
  <c r="I15" i="17"/>
  <c r="T5" i="11" s="1"/>
  <c r="S17" i="11" l="1"/>
  <c r="S14" i="11"/>
  <c r="K16" i="17"/>
  <c r="J48" i="17"/>
  <c r="J15" i="17"/>
  <c r="U5" i="11" s="1"/>
  <c r="I47" i="17"/>
  <c r="H28" i="17" l="1"/>
  <c r="S18" i="11"/>
  <c r="T6" i="11"/>
  <c r="H30" i="17"/>
  <c r="H62" i="17" s="1"/>
  <c r="J47" i="17"/>
  <c r="L16" i="17"/>
  <c r="K48" i="17"/>
  <c r="K15" i="17"/>
  <c r="V5" i="11" s="1"/>
  <c r="T41" i="11" l="1"/>
  <c r="V41" i="11"/>
  <c r="AC41" i="11"/>
  <c r="Z41" i="11"/>
  <c r="U41" i="11"/>
  <c r="AA41" i="11"/>
  <c r="AB41" i="11"/>
  <c r="Y41" i="11"/>
  <c r="AD41" i="11"/>
  <c r="W41" i="11"/>
  <c r="X41" i="11"/>
  <c r="H60" i="17"/>
  <c r="H14" i="17"/>
  <c r="M16" i="17"/>
  <c r="L48" i="17"/>
  <c r="L15" i="17"/>
  <c r="W5" i="11" s="1"/>
  <c r="K47" i="17"/>
  <c r="H46" i="17" l="1"/>
  <c r="H29" i="17"/>
  <c r="H61" i="17" s="1"/>
  <c r="T17" i="11"/>
  <c r="T14" i="11"/>
  <c r="L47" i="17"/>
  <c r="N16" i="17"/>
  <c r="M48" i="17"/>
  <c r="M15" i="17"/>
  <c r="X5" i="11" s="1"/>
  <c r="I28" i="17" l="1"/>
  <c r="T18" i="11"/>
  <c r="U6" i="11"/>
  <c r="I30" i="17"/>
  <c r="I62" i="17" s="1"/>
  <c r="M47" i="17"/>
  <c r="O16" i="17"/>
  <c r="N48" i="17"/>
  <c r="N15" i="17"/>
  <c r="Y5" i="11" s="1"/>
  <c r="X42" i="11" l="1"/>
  <c r="U42" i="11"/>
  <c r="Z42" i="11"/>
  <c r="AC42" i="11"/>
  <c r="W42" i="11"/>
  <c r="V42" i="11"/>
  <c r="Y42" i="11"/>
  <c r="AD42" i="11"/>
  <c r="AB42" i="11"/>
  <c r="AA42" i="11"/>
  <c r="AE42" i="11"/>
  <c r="I60" i="17"/>
  <c r="I14" i="17"/>
  <c r="N47" i="17"/>
  <c r="P16" i="17"/>
  <c r="O48" i="17"/>
  <c r="O15" i="17"/>
  <c r="Z5" i="11" s="1"/>
  <c r="I46" i="17" l="1"/>
  <c r="I29" i="17"/>
  <c r="I61" i="17" s="1"/>
  <c r="U14" i="11"/>
  <c r="U17" i="11"/>
  <c r="O47" i="17"/>
  <c r="Q16" i="17"/>
  <c r="P48" i="17"/>
  <c r="P15" i="17"/>
  <c r="AA5" i="11" s="1"/>
  <c r="V6" i="11" l="1"/>
  <c r="J28" i="17"/>
  <c r="U18" i="11"/>
  <c r="J30" i="17"/>
  <c r="J62" i="17" s="1"/>
  <c r="P47" i="17"/>
  <c r="R16" i="17"/>
  <c r="Q48" i="17"/>
  <c r="Q15" i="17"/>
  <c r="AB5" i="11" s="1"/>
  <c r="J60" i="17" l="1"/>
  <c r="J14" i="17"/>
  <c r="AC43" i="11"/>
  <c r="V43" i="11"/>
  <c r="AA43" i="11"/>
  <c r="W43" i="11"/>
  <c r="AE43" i="11"/>
  <c r="AD43" i="11"/>
  <c r="Y43" i="11"/>
  <c r="Z43" i="11"/>
  <c r="AF43" i="11"/>
  <c r="X43" i="11"/>
  <c r="AB43" i="11"/>
  <c r="Q47" i="17"/>
  <c r="S16" i="17"/>
  <c r="R48" i="17"/>
  <c r="R15" i="17"/>
  <c r="AC5" i="11" s="1"/>
  <c r="J46" i="17" l="1"/>
  <c r="J29" i="17"/>
  <c r="J61" i="17" s="1"/>
  <c r="V17" i="11"/>
  <c r="V14" i="11"/>
  <c r="T16" i="17"/>
  <c r="S48" i="17"/>
  <c r="S15" i="17"/>
  <c r="AD5" i="11" s="1"/>
  <c r="R47" i="17"/>
  <c r="K28" i="17" l="1"/>
  <c r="V18" i="11"/>
  <c r="W6" i="11"/>
  <c r="K30" i="17"/>
  <c r="K62" i="17" s="1"/>
  <c r="S47" i="17"/>
  <c r="U16" i="17"/>
  <c r="T48" i="17"/>
  <c r="T15" i="17"/>
  <c r="AE5" i="11" s="1"/>
  <c r="Y44" i="11" l="1"/>
  <c r="AF44" i="11"/>
  <c r="Z44" i="11"/>
  <c r="AG44" i="11"/>
  <c r="X44" i="11"/>
  <c r="AA44" i="11"/>
  <c r="AC44" i="11"/>
  <c r="W44" i="11"/>
  <c r="AB44" i="11"/>
  <c r="AD44" i="11"/>
  <c r="AE44" i="11"/>
  <c r="K60" i="17"/>
  <c r="K14" i="17"/>
  <c r="T47" i="17"/>
  <c r="V16" i="17"/>
  <c r="U48" i="17"/>
  <c r="U15" i="17"/>
  <c r="AF5" i="11" s="1"/>
  <c r="K29" i="17" l="1"/>
  <c r="K61" i="17" s="1"/>
  <c r="K46" i="17"/>
  <c r="W17" i="11"/>
  <c r="W14" i="11"/>
  <c r="U47" i="17"/>
  <c r="W16" i="17"/>
  <c r="V48" i="17"/>
  <c r="V15" i="17"/>
  <c r="AG5" i="11" s="1"/>
  <c r="L28" i="17" l="1"/>
  <c r="W18" i="11"/>
  <c r="X6" i="11"/>
  <c r="L30" i="17"/>
  <c r="L62" i="17" s="1"/>
  <c r="X16" i="17"/>
  <c r="W48" i="17"/>
  <c r="W15" i="17"/>
  <c r="AH5" i="11" s="1"/>
  <c r="V47" i="17"/>
  <c r="X45" i="11" l="1"/>
  <c r="AG45" i="11"/>
  <c r="AC45" i="11"/>
  <c r="AE45" i="11"/>
  <c r="AA45" i="11"/>
  <c r="AD45" i="11"/>
  <c r="AH45" i="11"/>
  <c r="AB45" i="11"/>
  <c r="Y45" i="11"/>
  <c r="AF45" i="11"/>
  <c r="Z45" i="11"/>
  <c r="L60" i="17"/>
  <c r="L14" i="17"/>
  <c r="W47" i="17"/>
  <c r="Y16" i="17"/>
  <c r="X48" i="17"/>
  <c r="X15" i="17"/>
  <c r="AI5" i="11" s="1"/>
  <c r="L46" i="17" l="1"/>
  <c r="L29" i="17"/>
  <c r="L61" i="17" s="1"/>
  <c r="X17" i="11"/>
  <c r="X14" i="11"/>
  <c r="Y6" i="11" s="1"/>
  <c r="X47" i="17"/>
  <c r="Z16" i="17"/>
  <c r="Y48" i="17"/>
  <c r="Y15" i="17"/>
  <c r="AJ5" i="11" s="1"/>
  <c r="M30" i="17" l="1"/>
  <c r="M62" i="17" s="1"/>
  <c r="M28" i="17"/>
  <c r="X18" i="11"/>
  <c r="Y47" i="17"/>
  <c r="AA16" i="17"/>
  <c r="Z48" i="17"/>
  <c r="Z15" i="17"/>
  <c r="AK5" i="11" s="1"/>
  <c r="M60" i="17" l="1"/>
  <c r="M14" i="17"/>
  <c r="AI46" i="11"/>
  <c r="AA46" i="11"/>
  <c r="Y46" i="11"/>
  <c r="AF46" i="11"/>
  <c r="AC46" i="11"/>
  <c r="Z46" i="11"/>
  <c r="AH46" i="11"/>
  <c r="AD46" i="11"/>
  <c r="AB46" i="11"/>
  <c r="AG46" i="11"/>
  <c r="AE46" i="11"/>
  <c r="AB16" i="17"/>
  <c r="AA48" i="17"/>
  <c r="AA15" i="17"/>
  <c r="AL5" i="11" s="1"/>
  <c r="Z47" i="17"/>
  <c r="Y14" i="11" l="1"/>
  <c r="Y17" i="11"/>
  <c r="M46" i="17"/>
  <c r="M29" i="17"/>
  <c r="M61" i="17" s="1"/>
  <c r="AA47" i="17"/>
  <c r="AC16" i="17"/>
  <c r="AB48" i="17"/>
  <c r="AB15" i="17"/>
  <c r="AM5" i="11" s="1"/>
  <c r="N28" i="17" l="1"/>
  <c r="Z6" i="11"/>
  <c r="Y18" i="11"/>
  <c r="N30" i="17"/>
  <c r="N62" i="17" s="1"/>
  <c r="AB47" i="17"/>
  <c r="AD16" i="17"/>
  <c r="AC48" i="17"/>
  <c r="AC15" i="17"/>
  <c r="AN5" i="11" s="1"/>
  <c r="AI47" i="11" l="1"/>
  <c r="AA47" i="11"/>
  <c r="AE47" i="11"/>
  <c r="AJ47" i="11"/>
  <c r="AH47" i="11"/>
  <c r="AC47" i="11"/>
  <c r="AB47" i="11"/>
  <c r="AD47" i="11"/>
  <c r="AG47" i="11"/>
  <c r="Z47" i="11"/>
  <c r="AF47" i="11"/>
  <c r="N60" i="17"/>
  <c r="N14" i="17"/>
  <c r="AC47" i="17"/>
  <c r="AE16" i="17"/>
  <c r="AD48" i="17"/>
  <c r="AD15" i="17"/>
  <c r="AO5" i="11" s="1"/>
  <c r="N29" i="17" l="1"/>
  <c r="N61" i="17" s="1"/>
  <c r="N46" i="17"/>
  <c r="Z14" i="11"/>
  <c r="Z17" i="11"/>
  <c r="AD47" i="17"/>
  <c r="AF16" i="17"/>
  <c r="AE48" i="17"/>
  <c r="AE15" i="17"/>
  <c r="AP5" i="11" s="1"/>
  <c r="O30" i="17" l="1"/>
  <c r="O62" i="17" s="1"/>
  <c r="O28" i="17"/>
  <c r="Z18" i="11"/>
  <c r="AA6" i="11"/>
  <c r="AE47" i="17"/>
  <c r="AG16" i="17"/>
  <c r="AF48" i="17"/>
  <c r="AF15" i="17"/>
  <c r="AQ5" i="11" s="1"/>
  <c r="AI48" i="11" l="1"/>
  <c r="AC48" i="11"/>
  <c r="AE48" i="11"/>
  <c r="AK48" i="11"/>
  <c r="AF48" i="11"/>
  <c r="AB48" i="11"/>
  <c r="AJ48" i="11"/>
  <c r="AA48" i="11"/>
  <c r="AD48" i="11"/>
  <c r="AH48" i="11"/>
  <c r="AG48" i="11"/>
  <c r="O60" i="17"/>
  <c r="O14" i="17"/>
  <c r="AH16" i="17"/>
  <c r="AG48" i="17"/>
  <c r="AG15" i="17"/>
  <c r="AR5" i="11" s="1"/>
  <c r="AF47" i="17"/>
  <c r="AA14" i="11" l="1"/>
  <c r="AA17" i="11"/>
  <c r="O46" i="17"/>
  <c r="O29" i="17"/>
  <c r="O61" i="17" s="1"/>
  <c r="AG47" i="17"/>
  <c r="AI16" i="17"/>
  <c r="AH48" i="17"/>
  <c r="AH15" i="17"/>
  <c r="AS5" i="11" s="1"/>
  <c r="P30" i="17" l="1"/>
  <c r="P62" i="17" s="1"/>
  <c r="P28" i="17"/>
  <c r="AA18" i="11"/>
  <c r="AB6" i="11"/>
  <c r="AJ16" i="17"/>
  <c r="AI48" i="17"/>
  <c r="AI15" i="17"/>
  <c r="AT5" i="11" s="1"/>
  <c r="AH47" i="17"/>
  <c r="P60" i="17" l="1"/>
  <c r="P14" i="17"/>
  <c r="AL49" i="11"/>
  <c r="AB49" i="11"/>
  <c r="AI49" i="11"/>
  <c r="AJ49" i="11"/>
  <c r="AC49" i="11"/>
  <c r="AD49" i="11"/>
  <c r="AK49" i="11"/>
  <c r="AG49" i="11"/>
  <c r="AE49" i="11"/>
  <c r="AF49" i="11"/>
  <c r="AH49" i="11"/>
  <c r="AI47" i="17"/>
  <c r="AK16" i="17"/>
  <c r="AJ48" i="17"/>
  <c r="AJ15" i="17"/>
  <c r="AU5" i="11" s="1"/>
  <c r="P46" i="17" l="1"/>
  <c r="P29" i="17"/>
  <c r="P61" i="17" s="1"/>
  <c r="AB17" i="11"/>
  <c r="AB14" i="11"/>
  <c r="AL16" i="17"/>
  <c r="AK48" i="17"/>
  <c r="AK15" i="17"/>
  <c r="AV5" i="11" s="1"/>
  <c r="AJ47" i="17"/>
  <c r="Q28" i="17" l="1"/>
  <c r="AB18" i="11"/>
  <c r="AC6" i="11"/>
  <c r="Q30" i="17"/>
  <c r="Q62" i="17" s="1"/>
  <c r="AK47" i="17"/>
  <c r="AM16" i="17"/>
  <c r="AL48" i="17"/>
  <c r="AL15" i="17"/>
  <c r="AW5" i="11" s="1"/>
  <c r="AK50" i="11" l="1"/>
  <c r="AJ50" i="11"/>
  <c r="AD50" i="11"/>
  <c r="AF50" i="11"/>
  <c r="AE50" i="11"/>
  <c r="AC50" i="11"/>
  <c r="AH50" i="11"/>
  <c r="AI50" i="11"/>
  <c r="AL50" i="11"/>
  <c r="AM50" i="11"/>
  <c r="AG50" i="11"/>
  <c r="Q60" i="17"/>
  <c r="Q14" i="17"/>
  <c r="AN16" i="17"/>
  <c r="AM48" i="17"/>
  <c r="AM15" i="17"/>
  <c r="AX5" i="11" s="1"/>
  <c r="AL47" i="17"/>
  <c r="AC17" i="11" l="1"/>
  <c r="AC14" i="11"/>
  <c r="Q46" i="17"/>
  <c r="Q29" i="17"/>
  <c r="Q61" i="17" s="1"/>
  <c r="AM47" i="17"/>
  <c r="AO16" i="17"/>
  <c r="AN48" i="17"/>
  <c r="AN15" i="17"/>
  <c r="AY5" i="11" s="1"/>
  <c r="R28" i="17" l="1"/>
  <c r="AD6" i="11"/>
  <c r="AC18" i="11"/>
  <c r="R30" i="17"/>
  <c r="R62" i="17" s="1"/>
  <c r="AN47" i="17"/>
  <c r="AP16" i="17"/>
  <c r="AO48" i="17"/>
  <c r="AO15" i="17"/>
  <c r="AZ5" i="11" s="1"/>
  <c r="AJ51" i="11" l="1"/>
  <c r="AE51" i="11"/>
  <c r="AN51" i="11"/>
  <c r="AD51" i="11"/>
  <c r="AK51" i="11"/>
  <c r="AH51" i="11"/>
  <c r="AF51" i="11"/>
  <c r="AM51" i="11"/>
  <c r="AG51" i="11"/>
  <c r="AI51" i="11"/>
  <c r="AL51" i="11"/>
  <c r="R60" i="17"/>
  <c r="R14" i="17"/>
  <c r="AO47" i="17"/>
  <c r="AQ16" i="17"/>
  <c r="AP48" i="17"/>
  <c r="AP15" i="17"/>
  <c r="BA5" i="11" s="1"/>
  <c r="R46" i="17" l="1"/>
  <c r="R29" i="17"/>
  <c r="R61" i="17" s="1"/>
  <c r="AD17" i="11"/>
  <c r="AD14" i="11"/>
  <c r="AR16" i="17"/>
  <c r="AQ48" i="17"/>
  <c r="AQ15" i="17"/>
  <c r="BB5" i="11" s="1"/>
  <c r="AP47" i="17"/>
  <c r="S28" i="17" l="1"/>
  <c r="AE6" i="11"/>
  <c r="AD18" i="11"/>
  <c r="S30" i="17"/>
  <c r="S62" i="17" s="1"/>
  <c r="AQ47" i="17"/>
  <c r="AS16" i="17"/>
  <c r="AR48" i="17"/>
  <c r="AR15" i="17"/>
  <c r="BC5" i="11" s="1"/>
  <c r="AG52" i="11" l="1"/>
  <c r="AE52" i="11"/>
  <c r="AH52" i="11"/>
  <c r="AK52" i="11"/>
  <c r="AF52" i="11"/>
  <c r="AL52" i="11"/>
  <c r="AJ52" i="11"/>
  <c r="AI52" i="11"/>
  <c r="AM52" i="11"/>
  <c r="AO52" i="11"/>
  <c r="AN52" i="11"/>
  <c r="S60" i="17"/>
  <c r="S14" i="17"/>
  <c r="AR47" i="17"/>
  <c r="AT16" i="17"/>
  <c r="AS48" i="17"/>
  <c r="AS15" i="17"/>
  <c r="BD5" i="11" s="1"/>
  <c r="S29" i="17" l="1"/>
  <c r="S61" i="17" s="1"/>
  <c r="S46" i="17"/>
  <c r="AE17" i="11"/>
  <c r="AE14" i="11"/>
  <c r="AS47" i="17"/>
  <c r="AU16" i="17"/>
  <c r="AT48" i="17"/>
  <c r="AT15" i="17"/>
  <c r="BE5" i="11" s="1"/>
  <c r="T28" i="17" l="1"/>
  <c r="AF6" i="11"/>
  <c r="AE18" i="11"/>
  <c r="T30" i="17"/>
  <c r="T62" i="17" s="1"/>
  <c r="AT47" i="17"/>
  <c r="AV16" i="17"/>
  <c r="AU48" i="17"/>
  <c r="AU15" i="17"/>
  <c r="BF5" i="11" s="1"/>
  <c r="AO53" i="11" l="1"/>
  <c r="AI53" i="11"/>
  <c r="AH53" i="11"/>
  <c r="AL53" i="11"/>
  <c r="AK53" i="11"/>
  <c r="AF53" i="11"/>
  <c r="AM53" i="11"/>
  <c r="AN53" i="11"/>
  <c r="AP53" i="11"/>
  <c r="AJ53" i="11"/>
  <c r="AG53" i="11"/>
  <c r="T60" i="17"/>
  <c r="T14" i="17"/>
  <c r="AW16" i="17"/>
  <c r="AV48" i="17"/>
  <c r="AV15" i="17"/>
  <c r="BG5" i="11" s="1"/>
  <c r="AU47" i="17"/>
  <c r="AF17" i="11" l="1"/>
  <c r="AF14" i="11"/>
  <c r="T29" i="17"/>
  <c r="T61" i="17" s="1"/>
  <c r="T46" i="17"/>
  <c r="AV47" i="17"/>
  <c r="AX16" i="17"/>
  <c r="AW48" i="17"/>
  <c r="AW15" i="17"/>
  <c r="BH5" i="11" s="1"/>
  <c r="U28" i="17" l="1"/>
  <c r="AG6" i="11"/>
  <c r="AF18" i="11"/>
  <c r="U30" i="17"/>
  <c r="U62" i="17" s="1"/>
  <c r="AW47" i="17"/>
  <c r="AY16" i="17"/>
  <c r="AX48" i="17"/>
  <c r="AX15" i="17"/>
  <c r="BI5" i="11" s="1"/>
  <c r="AM54" i="11" l="1"/>
  <c r="AP54" i="11"/>
  <c r="AH54" i="11"/>
  <c r="AG54" i="11"/>
  <c r="AI54" i="11"/>
  <c r="AQ54" i="11"/>
  <c r="AL54" i="11"/>
  <c r="AO54" i="11"/>
  <c r="AN54" i="11"/>
  <c r="AK54" i="11"/>
  <c r="AJ54" i="11"/>
  <c r="U60" i="17"/>
  <c r="U14" i="17"/>
  <c r="AX47" i="17"/>
  <c r="AZ16" i="17"/>
  <c r="AY48" i="17"/>
  <c r="AY15" i="17"/>
  <c r="BJ5" i="11" s="1"/>
  <c r="U29" i="17" l="1"/>
  <c r="U61" i="17" s="1"/>
  <c r="U46" i="17"/>
  <c r="AG17" i="11"/>
  <c r="AG14" i="11"/>
  <c r="AY47" i="17"/>
  <c r="BA16" i="17"/>
  <c r="AZ48" i="17"/>
  <c r="AZ15" i="17"/>
  <c r="BK5" i="11" s="1"/>
  <c r="V30" i="17" l="1"/>
  <c r="V62" i="17" s="1"/>
  <c r="V28" i="17"/>
  <c r="AG18" i="11"/>
  <c r="AH6" i="11"/>
  <c r="BA48" i="17"/>
  <c r="BA15" i="17"/>
  <c r="BL5" i="11" s="1"/>
  <c r="AZ47" i="17"/>
  <c r="V60" i="17" l="1"/>
  <c r="V14" i="17"/>
  <c r="AL55" i="11"/>
  <c r="AR55" i="11"/>
  <c r="AM55" i="11"/>
  <c r="AI55" i="11"/>
  <c r="AK55" i="11"/>
  <c r="AJ55" i="11"/>
  <c r="AN55" i="11"/>
  <c r="AO55" i="11"/>
  <c r="AP55" i="11"/>
  <c r="AQ55" i="11"/>
  <c r="AH55" i="11"/>
  <c r="BA47" i="17"/>
  <c r="AH17" i="11" l="1"/>
  <c r="AH14" i="11"/>
  <c r="V29" i="17"/>
  <c r="V61" i="17" s="1"/>
  <c r="V46" i="17"/>
  <c r="W30" i="17" l="1"/>
  <c r="W62" i="17" s="1"/>
  <c r="W28" i="17"/>
  <c r="AH18" i="11"/>
  <c r="AI6" i="11"/>
  <c r="AJ56" i="11" l="1"/>
  <c r="AP56" i="11"/>
  <c r="AK56" i="11"/>
  <c r="AR56" i="11"/>
  <c r="AN56" i="11"/>
  <c r="AM56" i="11"/>
  <c r="AI56" i="11"/>
  <c r="AQ56" i="11"/>
  <c r="AO56" i="11"/>
  <c r="AL56" i="11"/>
  <c r="AS56" i="11"/>
  <c r="W60" i="17"/>
  <c r="W14" i="17"/>
  <c r="AI14" i="11" l="1"/>
  <c r="AI17" i="11"/>
  <c r="W46" i="17"/>
  <c r="W29" i="17"/>
  <c r="W61" i="17" s="1"/>
  <c r="X30" i="17" l="1"/>
  <c r="X62" i="17" s="1"/>
  <c r="X28" i="17"/>
  <c r="AI18" i="11"/>
  <c r="AJ6" i="11"/>
  <c r="AN57" i="11" l="1"/>
  <c r="AL57" i="11"/>
  <c r="AK57" i="11"/>
  <c r="AP57" i="11"/>
  <c r="AR57" i="11"/>
  <c r="AM57" i="11"/>
  <c r="AT57" i="11"/>
  <c r="AO57" i="11"/>
  <c r="AS57" i="11"/>
  <c r="AQ57" i="11"/>
  <c r="AJ57" i="11"/>
  <c r="X60" i="17"/>
  <c r="X14" i="17"/>
  <c r="X46" i="17" l="1"/>
  <c r="X29" i="17"/>
  <c r="X61" i="17" s="1"/>
  <c r="AJ17" i="11"/>
  <c r="AJ14" i="11"/>
  <c r="Y30" i="17" l="1"/>
  <c r="Y62" i="17" s="1"/>
  <c r="Y28" i="17"/>
  <c r="AK6" i="11"/>
  <c r="AJ18" i="11"/>
  <c r="AK58" i="11" l="1"/>
  <c r="AM58" i="11"/>
  <c r="AO58" i="11"/>
  <c r="AP58" i="11"/>
  <c r="AU58" i="11"/>
  <c r="AR58" i="11"/>
  <c r="AT58" i="11"/>
  <c r="AL58" i="11"/>
  <c r="AN58" i="11"/>
  <c r="AS58" i="11"/>
  <c r="AQ58" i="11"/>
  <c r="Y60" i="17"/>
  <c r="Y14" i="17"/>
  <c r="Y29" i="17" l="1"/>
  <c r="Y61" i="17" s="1"/>
  <c r="Y46" i="17"/>
  <c r="AK14" i="11"/>
  <c r="AK17" i="11"/>
  <c r="Z30" i="17" l="1"/>
  <c r="Z62" i="17" s="1"/>
  <c r="Z28" i="17"/>
  <c r="AK18" i="11"/>
  <c r="AL6" i="11"/>
  <c r="AN59" i="11" l="1"/>
  <c r="AT59" i="11"/>
  <c r="AL59" i="11"/>
  <c r="AU59" i="11"/>
  <c r="AV59" i="11"/>
  <c r="AM59" i="11"/>
  <c r="AO59" i="11"/>
  <c r="AS59" i="11"/>
  <c r="AP59" i="11"/>
  <c r="AQ59" i="11"/>
  <c r="AR59" i="11"/>
  <c r="Z60" i="17"/>
  <c r="Z14" i="17"/>
  <c r="AL14" i="11" l="1"/>
  <c r="AL17" i="11"/>
  <c r="Z29" i="17"/>
  <c r="Z61" i="17" s="1"/>
  <c r="Z46" i="17"/>
  <c r="AA28" i="17" l="1"/>
  <c r="AL18" i="11"/>
  <c r="AM6" i="11"/>
  <c r="AA30" i="17"/>
  <c r="AA62" i="17" s="1"/>
  <c r="AS60" i="11" l="1"/>
  <c r="AP60" i="11"/>
  <c r="AV60" i="11"/>
  <c r="AM60" i="11"/>
  <c r="AQ60" i="11"/>
  <c r="AT60" i="11"/>
  <c r="AR60" i="11"/>
  <c r="AO60" i="11"/>
  <c r="AW60" i="11"/>
  <c r="AU60" i="11"/>
  <c r="AN60" i="11"/>
  <c r="AA60" i="17"/>
  <c r="AA14" i="17"/>
  <c r="AM14" i="11" l="1"/>
  <c r="AM17" i="11"/>
  <c r="AA29" i="17"/>
  <c r="AA61" i="17" s="1"/>
  <c r="AA46" i="17"/>
  <c r="AB30" i="17" l="1"/>
  <c r="AB62" i="17" s="1"/>
  <c r="AB28" i="17"/>
  <c r="AM18" i="11"/>
  <c r="AN6" i="11"/>
  <c r="AB60" i="17" l="1"/>
  <c r="AB14" i="17"/>
  <c r="AR61" i="11"/>
  <c r="AT61" i="11"/>
  <c r="AV61" i="11"/>
  <c r="AP61" i="11"/>
  <c r="AX61" i="11"/>
  <c r="AW61" i="11"/>
  <c r="AN61" i="11"/>
  <c r="AS61" i="11"/>
  <c r="AU61" i="11"/>
  <c r="AO61" i="11"/>
  <c r="AQ61" i="11"/>
  <c r="AN17" i="11" l="1"/>
  <c r="AN14" i="11"/>
  <c r="AB29" i="17"/>
  <c r="AB61" i="17" s="1"/>
  <c r="AB46" i="17"/>
  <c r="AC28" i="17" l="1"/>
  <c r="AN18" i="11"/>
  <c r="AO6" i="11"/>
  <c r="AC30" i="17"/>
  <c r="AC62" i="17" s="1"/>
  <c r="AT62" i="11" l="1"/>
  <c r="AP62" i="11"/>
  <c r="AR62" i="11"/>
  <c r="AS62" i="11"/>
  <c r="AX62" i="11"/>
  <c r="AW62" i="11"/>
  <c r="AY62" i="11"/>
  <c r="AQ62" i="11"/>
  <c r="AU62" i="11"/>
  <c r="AO62" i="11"/>
  <c r="AV62" i="11"/>
  <c r="AC60" i="17"/>
  <c r="AC14" i="17"/>
  <c r="AO14" i="11" l="1"/>
  <c r="AO17" i="11"/>
  <c r="AC46" i="17"/>
  <c r="AC29" i="17"/>
  <c r="AC61" i="17" s="1"/>
  <c r="AD30" i="17" l="1"/>
  <c r="AD62" i="17" s="1"/>
  <c r="AD28" i="17"/>
  <c r="AO18" i="11"/>
  <c r="AP6" i="11"/>
  <c r="AW63" i="11" l="1"/>
  <c r="AZ63" i="11"/>
  <c r="AT63" i="11"/>
  <c r="AY63" i="11"/>
  <c r="AS63" i="11"/>
  <c r="AP63" i="11"/>
  <c r="AV63" i="11"/>
  <c r="AU63" i="11"/>
  <c r="AR63" i="11"/>
  <c r="AX63" i="11"/>
  <c r="AQ63" i="11"/>
  <c r="AD60" i="17"/>
  <c r="AD14" i="17"/>
  <c r="AD29" i="17" l="1"/>
  <c r="AD61" i="17" s="1"/>
  <c r="AD46" i="17"/>
  <c r="AP14" i="11"/>
  <c r="AP17" i="11"/>
  <c r="AE30" i="17" l="1"/>
  <c r="AE62" i="17" s="1"/>
  <c r="AE28" i="17"/>
  <c r="AQ6" i="11"/>
  <c r="AP18" i="11"/>
  <c r="AV64" i="11" l="1"/>
  <c r="BA64" i="11"/>
  <c r="AS64" i="11"/>
  <c r="AQ64" i="11"/>
  <c r="AT64" i="11"/>
  <c r="AU64" i="11"/>
  <c r="AX64" i="11"/>
  <c r="AY64" i="11"/>
  <c r="AW64" i="11"/>
  <c r="AR64" i="11"/>
  <c r="AZ64" i="11"/>
  <c r="AE60" i="17"/>
  <c r="AE14" i="17"/>
  <c r="AE29" i="17" l="1"/>
  <c r="AE61" i="17" s="1"/>
  <c r="AE46" i="17"/>
  <c r="AQ17" i="11"/>
  <c r="AQ14" i="11"/>
  <c r="AF28" i="17" l="1"/>
  <c r="AQ18" i="11"/>
  <c r="AR6" i="11"/>
  <c r="AF30" i="17"/>
  <c r="AF62" i="17" s="1"/>
  <c r="BB65" i="11" l="1"/>
  <c r="AV65" i="11"/>
  <c r="AR65" i="11"/>
  <c r="AT65" i="11"/>
  <c r="BA65" i="11"/>
  <c r="AW65" i="11"/>
  <c r="AS65" i="11"/>
  <c r="AX65" i="11"/>
  <c r="AY65" i="11"/>
  <c r="AU65" i="11"/>
  <c r="AZ65" i="11"/>
  <c r="AF60" i="17"/>
  <c r="AF14" i="17"/>
  <c r="AF29" i="17" l="1"/>
  <c r="AF61" i="17" s="1"/>
  <c r="AF46" i="17"/>
  <c r="AR14" i="11"/>
  <c r="AR17" i="11"/>
  <c r="AG30" i="17" l="1"/>
  <c r="AG62" i="17" s="1"/>
  <c r="AG28" i="17"/>
  <c r="AR18" i="11"/>
  <c r="AS6" i="11"/>
  <c r="BA66" i="11" l="1"/>
  <c r="BB66" i="11"/>
  <c r="AX66" i="11"/>
  <c r="AU66" i="11"/>
  <c r="AV66" i="11"/>
  <c r="AW66" i="11"/>
  <c r="AS66" i="11"/>
  <c r="BC66" i="11"/>
  <c r="AY66" i="11"/>
  <c r="AZ66" i="11"/>
  <c r="AT66" i="11"/>
  <c r="AG60" i="17"/>
  <c r="AG14" i="17"/>
  <c r="AG29" i="17" l="1"/>
  <c r="AG61" i="17" s="1"/>
  <c r="AG46" i="17"/>
  <c r="AS17" i="11"/>
  <c r="AS14" i="11"/>
  <c r="AH30" i="17" l="1"/>
  <c r="AH62" i="17" s="1"/>
  <c r="AH28" i="17"/>
  <c r="AS18" i="11"/>
  <c r="AT6" i="11"/>
  <c r="BD67" i="11" l="1"/>
  <c r="AT67" i="11"/>
  <c r="BC67" i="11"/>
  <c r="AV67" i="11"/>
  <c r="BA67" i="11"/>
  <c r="AY67" i="11"/>
  <c r="AW67" i="11"/>
  <c r="AX67" i="11"/>
  <c r="AU67" i="11"/>
  <c r="BB67" i="11"/>
  <c r="AZ67" i="11"/>
  <c r="AH60" i="17"/>
  <c r="AH14" i="17"/>
  <c r="AH46" i="17" l="1"/>
  <c r="AH29" i="17"/>
  <c r="AH61" i="17" s="1"/>
  <c r="AT14" i="11"/>
  <c r="AT17" i="11"/>
  <c r="AI28" i="17" l="1"/>
  <c r="AT18" i="11"/>
  <c r="AU6" i="11"/>
  <c r="AI30" i="17"/>
  <c r="AI62" i="17" s="1"/>
  <c r="BC68" i="11" l="1"/>
  <c r="BD68" i="11"/>
  <c r="AV68" i="11"/>
  <c r="AZ68" i="11"/>
  <c r="AU68" i="11"/>
  <c r="BB68" i="11"/>
  <c r="BA68" i="11"/>
  <c r="AY68" i="11"/>
  <c r="AW68" i="11"/>
  <c r="BE68" i="11"/>
  <c r="AX68" i="11"/>
  <c r="AI60" i="17"/>
  <c r="AI14" i="17"/>
  <c r="AI29" i="17" l="1"/>
  <c r="AI61" i="17" s="1"/>
  <c r="AI46" i="17"/>
  <c r="AU17" i="11"/>
  <c r="AU14" i="11"/>
  <c r="AJ28" i="17" l="1"/>
  <c r="AU18" i="11"/>
  <c r="AV6" i="11"/>
  <c r="AJ30" i="17"/>
  <c r="AJ62" i="17" s="1"/>
  <c r="AY69" i="11" l="1"/>
  <c r="BC69" i="11"/>
  <c r="AW69" i="11"/>
  <c r="BE69" i="11"/>
  <c r="BF69" i="11"/>
  <c r="AZ69" i="11"/>
  <c r="AV69" i="11"/>
  <c r="BB69" i="11"/>
  <c r="BA69" i="11"/>
  <c r="AX69" i="11"/>
  <c r="BD69" i="11"/>
  <c r="AJ60" i="17"/>
  <c r="AJ14" i="17"/>
  <c r="AJ46" i="17" l="1"/>
  <c r="AJ29" i="17"/>
  <c r="AJ61" i="17" s="1"/>
  <c r="AV17" i="11"/>
  <c r="AV14" i="11"/>
  <c r="AK28" i="17" l="1"/>
  <c r="AV18" i="11"/>
  <c r="AW6" i="11"/>
  <c r="AK30" i="17"/>
  <c r="AK62" i="17" s="1"/>
  <c r="AY70" i="11" l="1"/>
  <c r="AZ70" i="11"/>
  <c r="BF70" i="11"/>
  <c r="BD70" i="11"/>
  <c r="BG70" i="11"/>
  <c r="BA70" i="11"/>
  <c r="BE70" i="11"/>
  <c r="AX70" i="11"/>
  <c r="BB70" i="11"/>
  <c r="AW70" i="11"/>
  <c r="BC70" i="11"/>
  <c r="AK60" i="17"/>
  <c r="AK14" i="17"/>
  <c r="AK29" i="17" l="1"/>
  <c r="AK61" i="17" s="1"/>
  <c r="AK46" i="17"/>
  <c r="AW14" i="11"/>
  <c r="AW17" i="11"/>
  <c r="AL28" i="17" l="1"/>
  <c r="AW18" i="11"/>
  <c r="AX6" i="11"/>
  <c r="AL30" i="17"/>
  <c r="AL62" i="17" s="1"/>
  <c r="AZ71" i="11" l="1"/>
  <c r="BC71" i="11"/>
  <c r="BB71" i="11"/>
  <c r="AX71" i="11"/>
  <c r="BF71" i="11"/>
  <c r="BE71" i="11"/>
  <c r="BG71" i="11"/>
  <c r="BH71" i="11"/>
  <c r="BA71" i="11"/>
  <c r="AY71" i="11"/>
  <c r="BD71" i="11"/>
  <c r="AL60" i="17"/>
  <c r="AL14" i="17"/>
  <c r="AL46" i="17" l="1"/>
  <c r="AL29" i="17"/>
  <c r="AL61" i="17" s="1"/>
  <c r="AX17" i="11"/>
  <c r="AX14" i="11"/>
  <c r="AM28" i="17" l="1"/>
  <c r="AY6" i="11"/>
  <c r="AX18" i="11"/>
  <c r="AM30" i="17"/>
  <c r="AM62" i="17" s="1"/>
  <c r="AY72" i="11" l="1"/>
  <c r="BC72" i="11"/>
  <c r="BH72" i="11"/>
  <c r="BB72" i="11"/>
  <c r="AZ72" i="11"/>
  <c r="BF72" i="11"/>
  <c r="BD72" i="11"/>
  <c r="BG72" i="11"/>
  <c r="BI72" i="11"/>
  <c r="BA72" i="11"/>
  <c r="BE72" i="11"/>
  <c r="AM60" i="17"/>
  <c r="AM14" i="17"/>
  <c r="AM29" i="17" l="1"/>
  <c r="AM61" i="17" s="1"/>
  <c r="AM46" i="17"/>
  <c r="AY14" i="11"/>
  <c r="AY17" i="11"/>
  <c r="AZ6" i="11" l="1"/>
  <c r="AN28" i="17"/>
  <c r="AY18" i="11"/>
  <c r="AN30" i="17"/>
  <c r="AN62" i="17" s="1"/>
  <c r="AN60" i="17" l="1"/>
  <c r="AN14" i="17"/>
  <c r="BF73" i="11"/>
  <c r="BC73" i="11"/>
  <c r="BD73" i="11"/>
  <c r="BG73" i="11"/>
  <c r="BE73" i="11"/>
  <c r="BI73" i="11"/>
  <c r="BB73" i="11"/>
  <c r="BA73" i="11"/>
  <c r="BH73" i="11"/>
  <c r="AZ73" i="11"/>
  <c r="BJ73" i="11"/>
  <c r="AN29" i="17" l="1"/>
  <c r="AN61" i="17" s="1"/>
  <c r="AN46" i="17"/>
  <c r="AZ14" i="11"/>
  <c r="AZ17" i="11"/>
  <c r="AO30" i="17" l="1"/>
  <c r="AO62" i="17" s="1"/>
  <c r="AO28" i="17"/>
  <c r="AZ18" i="11"/>
  <c r="BA6" i="11"/>
  <c r="BE74" i="11" l="1"/>
  <c r="BI74" i="11"/>
  <c r="BK74" i="11"/>
  <c r="BA74" i="11"/>
  <c r="BB74" i="11"/>
  <c r="BD74" i="11"/>
  <c r="BG74" i="11"/>
  <c r="BC74" i="11"/>
  <c r="BH74" i="11"/>
  <c r="BJ74" i="11"/>
  <c r="BF74" i="11"/>
  <c r="AO60" i="17"/>
  <c r="AO14" i="17"/>
  <c r="BA17" i="11" l="1"/>
  <c r="BA14" i="11"/>
  <c r="AO29" i="17"/>
  <c r="AO61" i="17" s="1"/>
  <c r="AO46" i="17"/>
  <c r="AP28" i="17" l="1"/>
  <c r="BA18" i="11"/>
  <c r="BB6" i="11"/>
  <c r="AP30" i="17"/>
  <c r="AP62" i="17" s="1"/>
  <c r="BG75" i="11" l="1"/>
  <c r="BL75" i="11"/>
  <c r="BH75" i="11"/>
  <c r="BK75" i="11"/>
  <c r="BE75" i="11"/>
  <c r="BF75" i="11"/>
  <c r="BD75" i="11"/>
  <c r="BI75" i="11"/>
  <c r="BJ75" i="11"/>
  <c r="BB75" i="11"/>
  <c r="BC75" i="11"/>
  <c r="AP60" i="17"/>
  <c r="AP14" i="17"/>
  <c r="AP46" i="17" l="1"/>
  <c r="AP29" i="17"/>
  <c r="AP61" i="17" s="1"/>
  <c r="BB17" i="11"/>
  <c r="BB14" i="11"/>
  <c r="AQ28" i="17" l="1"/>
  <c r="BC6" i="11"/>
  <c r="BB18" i="11"/>
  <c r="AQ30" i="17"/>
  <c r="AQ62" i="17" s="1"/>
  <c r="BJ76" i="11" l="1"/>
  <c r="BI76" i="11"/>
  <c r="BG76" i="11"/>
  <c r="BK76" i="11"/>
  <c r="BF76" i="11"/>
  <c r="BL76" i="11"/>
  <c r="BH76" i="11"/>
  <c r="BE76" i="11"/>
  <c r="BD76" i="11"/>
  <c r="BC76" i="11"/>
  <c r="AQ60" i="17"/>
  <c r="AQ14" i="17"/>
  <c r="AQ46" i="17" l="1"/>
  <c r="AQ29" i="17"/>
  <c r="AQ61" i="17" s="1"/>
  <c r="BC17" i="11"/>
  <c r="BC14" i="11"/>
  <c r="AR28" i="17" l="1"/>
  <c r="BD6" i="11"/>
  <c r="BC18" i="11"/>
  <c r="AR30" i="17"/>
  <c r="AR62" i="17" s="1"/>
  <c r="BH77" i="11" l="1"/>
  <c r="BG77" i="11"/>
  <c r="BJ77" i="11"/>
  <c r="BE77" i="11"/>
  <c r="BK77" i="11"/>
  <c r="BI77" i="11"/>
  <c r="BL77" i="11"/>
  <c r="BF77" i="11"/>
  <c r="BD77" i="11"/>
  <c r="AR60" i="17"/>
  <c r="AR14" i="17"/>
  <c r="AR46" i="17" l="1"/>
  <c r="AR29" i="17"/>
  <c r="AR61" i="17" s="1"/>
  <c r="BD14" i="11"/>
  <c r="BD17" i="11"/>
  <c r="AS30" i="17" l="1"/>
  <c r="AS62" i="17" s="1"/>
  <c r="BE6" i="11"/>
  <c r="BD18" i="11"/>
  <c r="AS28" i="17"/>
  <c r="AS60" i="17" l="1"/>
  <c r="AS14" i="17"/>
  <c r="BI78" i="11"/>
  <c r="BE78" i="11"/>
  <c r="BG78" i="11"/>
  <c r="BF78" i="11"/>
  <c r="BK78" i="11"/>
  <c r="BJ78" i="11"/>
  <c r="BH78" i="11"/>
  <c r="BL78" i="11"/>
  <c r="BE17" i="11" l="1"/>
  <c r="BE14" i="11"/>
  <c r="AS46" i="17"/>
  <c r="AS29" i="17"/>
  <c r="AS61" i="17" s="1"/>
  <c r="BE18" i="11" l="1"/>
  <c r="BF6" i="11"/>
  <c r="AT28" i="17"/>
  <c r="AT30" i="17"/>
  <c r="AT62" i="17" s="1"/>
  <c r="BL79" i="11" l="1"/>
  <c r="BK79" i="11"/>
  <c r="BH79" i="11"/>
  <c r="BI79" i="11"/>
  <c r="BG79" i="11"/>
  <c r="BJ79" i="11"/>
  <c r="BF79" i="11"/>
  <c r="AT60" i="17"/>
  <c r="AT14" i="17"/>
  <c r="BF14" i="11" l="1"/>
  <c r="BF17" i="11"/>
  <c r="AT29" i="17"/>
  <c r="AT61" i="17" s="1"/>
  <c r="AT46" i="17"/>
  <c r="AU30" i="17" l="1"/>
  <c r="AU62" i="17" s="1"/>
  <c r="AU28" i="17"/>
  <c r="BF18" i="11"/>
  <c r="BG6" i="11"/>
  <c r="BJ80" i="11" l="1"/>
  <c r="BK80" i="11"/>
  <c r="BI80" i="11"/>
  <c r="BH80" i="11"/>
  <c r="BL80" i="11"/>
  <c r="BG80" i="11"/>
  <c r="AU60" i="17"/>
  <c r="AU14" i="17"/>
  <c r="BG14" i="11" l="1"/>
  <c r="BG17" i="11"/>
  <c r="AU29" i="17"/>
  <c r="AU61" i="17" s="1"/>
  <c r="AU46" i="17"/>
  <c r="AV30" i="17" l="1"/>
  <c r="AV62" i="17" s="1"/>
  <c r="AV28" i="17"/>
  <c r="BH6" i="11"/>
  <c r="BG18" i="11"/>
  <c r="BI81" i="11" l="1"/>
  <c r="BL81" i="11"/>
  <c r="BK81" i="11"/>
  <c r="BJ81" i="11"/>
  <c r="BH81" i="11"/>
  <c r="AV60" i="17"/>
  <c r="AV14" i="17"/>
  <c r="BH17" i="11" l="1"/>
  <c r="BH14" i="11"/>
  <c r="AV46" i="17"/>
  <c r="AV29" i="17"/>
  <c r="AV61" i="17" s="1"/>
  <c r="BI6" i="11" l="1"/>
  <c r="BH18" i="11"/>
  <c r="AW28" i="17"/>
  <c r="AW30" i="17"/>
  <c r="AW62" i="17" s="1"/>
  <c r="AW60" i="17" l="1"/>
  <c r="AW14" i="17"/>
  <c r="BJ82" i="11"/>
  <c r="BL82" i="11"/>
  <c r="BK82" i="11"/>
  <c r="BI82" i="11"/>
  <c r="BI17" i="11" l="1"/>
  <c r="BI14" i="11"/>
  <c r="AW46" i="17"/>
  <c r="AW29" i="17"/>
  <c r="AW61" i="17" s="1"/>
  <c r="BJ6" i="11" l="1"/>
  <c r="BI18" i="11"/>
  <c r="AX28" i="17"/>
  <c r="AX30" i="17"/>
  <c r="AX62" i="17" s="1"/>
  <c r="AX60" i="17" l="1"/>
  <c r="AX14" i="17"/>
  <c r="BL83" i="11"/>
  <c r="BJ83" i="11"/>
  <c r="BK83" i="11"/>
  <c r="BJ17" i="11" l="1"/>
  <c r="BJ14" i="11"/>
  <c r="AX29" i="17"/>
  <c r="AX61" i="17" s="1"/>
  <c r="AX46" i="17"/>
  <c r="BK6" i="11" l="1"/>
  <c r="AY28" i="17"/>
  <c r="BJ18" i="11"/>
  <c r="AY30" i="17"/>
  <c r="AY62" i="17" s="1"/>
  <c r="AY60" i="17" l="1"/>
  <c r="AY14" i="17"/>
  <c r="BL84" i="11"/>
  <c r="BK84" i="11"/>
  <c r="BK14" i="11" l="1"/>
  <c r="BK17" i="11"/>
  <c r="AY29" i="17"/>
  <c r="AY61" i="17" s="1"/>
  <c r="AY46" i="17"/>
  <c r="AZ30" i="17" l="1"/>
  <c r="AZ62" i="17" s="1"/>
  <c r="AZ28" i="17"/>
  <c r="BL6" i="11"/>
  <c r="BL85" i="11" s="1"/>
  <c r="BK18" i="11"/>
  <c r="BL17" i="11" l="1"/>
  <c r="BL14" i="11"/>
  <c r="AZ60" i="17"/>
  <c r="AZ14" i="17"/>
  <c r="AZ46" i="17" l="1"/>
  <c r="AZ29" i="17"/>
  <c r="AZ61" i="17" s="1"/>
  <c r="BL18" i="11"/>
  <c r="BA28" i="17"/>
  <c r="BA30" i="17"/>
  <c r="BA62" i="17" s="1"/>
  <c r="BA60" i="17" l="1"/>
  <c r="BA14" i="17"/>
  <c r="BA46" i="17" l="1"/>
  <c r="BA29" i="17"/>
  <c r="BA61" i="17" s="1"/>
</calcChain>
</file>

<file path=xl/comments1.xml><?xml version="1.0" encoding="utf-8"?>
<comments xmlns="http://schemas.openxmlformats.org/spreadsheetml/2006/main">
  <authors>
    <author>Erik Bugyi</author>
  </authors>
  <commentList>
    <comment ref="B6" authorId="0" shapeId="0">
      <text>
        <r>
          <rPr>
            <sz val="9"/>
            <color indexed="81"/>
            <rFont val="Segoe UI"/>
            <family val="2"/>
          </rPr>
          <t>kompenzácie na zamestnanca * zamestnanosť podľa ESA</t>
        </r>
      </text>
    </comment>
    <comment ref="B13" authorId="0" shapeId="0">
      <text>
        <r>
          <rPr>
            <sz val="9"/>
            <color indexed="81"/>
            <rFont val="Segoe UI"/>
            <family val="2"/>
          </rPr>
          <t>výkazníctvo</t>
        </r>
      </text>
    </comment>
    <comment ref="B14" authorId="0" shapeId="0">
      <text>
        <r>
          <rPr>
            <sz val="9"/>
            <color indexed="81"/>
            <rFont val="Segoe UI"/>
            <family val="2"/>
          </rPr>
          <t>výkazníctvo</t>
        </r>
      </text>
    </comment>
    <comment ref="B16" authorId="0" shapeId="0">
      <text>
        <r>
          <rPr>
            <sz val="9"/>
            <color indexed="81"/>
            <rFont val="Segoe UI"/>
            <family val="2"/>
          </rPr>
          <t>miera evidovanej nezamestnanosti * ekonomicky aktívne obyvateľstvo</t>
        </r>
      </text>
    </comment>
    <comment ref="B19" authorId="0" shapeId="0">
      <text>
        <r>
          <rPr>
            <sz val="9"/>
            <color indexed="81"/>
            <rFont val="Segoe UI"/>
            <family val="2"/>
          </rPr>
          <t>nízkopríjmová inflácia</t>
        </r>
      </text>
    </comment>
  </commentList>
</comments>
</file>

<file path=xl/comments2.xml><?xml version="1.0" encoding="utf-8"?>
<comments xmlns="http://schemas.openxmlformats.org/spreadsheetml/2006/main">
  <authors>
    <author>bugyi</author>
  </authors>
  <commentList>
    <comment ref="B27" authorId="0" shapeId="0">
      <text>
        <r>
          <rPr>
            <sz val="9"/>
            <color indexed="81"/>
            <rFont val="Segoe UI"/>
            <family val="2"/>
            <charset val="238"/>
          </rPr>
          <t>saldo sa vykrýva príspevkom na osobitný účet</t>
        </r>
      </text>
    </comment>
    <comment ref="B43" authorId="0" shapeId="0">
      <text>
        <r>
          <rPr>
            <sz val="9"/>
            <color indexed="81"/>
            <rFont val="Segoe UI"/>
            <family val="2"/>
            <charset val="238"/>
          </rPr>
          <t>projekcia v dlhodobej časti napojená na level 2017 ZS mierami rastu</t>
        </r>
      </text>
    </comment>
    <comment ref="B47" authorId="0" shapeId="0">
      <text>
        <r>
          <rPr>
            <sz val="9"/>
            <color indexed="81"/>
            <rFont val="Segoe UI"/>
            <family val="2"/>
            <charset val="238"/>
          </rPr>
          <t>projekcia</t>
        </r>
        <r>
          <rPr>
            <b/>
            <sz val="9"/>
            <color indexed="81"/>
            <rFont val="Segoe UI"/>
            <family val="2"/>
            <charset val="238"/>
          </rPr>
          <t xml:space="preserve"> </t>
        </r>
        <r>
          <rPr>
            <sz val="9"/>
            <color indexed="81"/>
            <rFont val="Segoe UI"/>
            <family val="2"/>
            <charset val="238"/>
          </rPr>
          <t>v dlhodobej časti napojená na level 2017 ZS mierami rastu</t>
        </r>
      </text>
    </comment>
    <comment ref="B51" authorId="0" shapeId="0">
      <text>
        <r>
          <rPr>
            <sz val="9"/>
            <color indexed="81"/>
            <rFont val="Segoe UI"/>
            <family val="2"/>
            <charset val="238"/>
          </rPr>
          <t>projekcia v dlhodobej časti napojená na level 2017 ZS mierami rastu</t>
        </r>
      </text>
    </comment>
  </commentList>
</comments>
</file>

<file path=xl/comments3.xml><?xml version="1.0" encoding="utf-8"?>
<comments xmlns="http://schemas.openxmlformats.org/spreadsheetml/2006/main">
  <authors>
    <author>bugyi</author>
  </authors>
  <commentList>
    <comment ref="N7" authorId="0" shapeId="0">
      <text>
        <r>
          <rPr>
            <sz val="9"/>
            <color indexed="81"/>
            <rFont val="Segoe UI"/>
            <family val="2"/>
            <charset val="238"/>
          </rPr>
          <t>dlh Agentúry pre núdzové zásoby ropy a ropné produkty - predpoklad postupného splatenia</t>
        </r>
      </text>
    </comment>
    <comment ref="C11" authorId="0" shapeId="0">
      <text>
        <r>
          <rPr>
            <sz val="9"/>
            <color indexed="81"/>
            <rFont val="Segoe UI"/>
            <family val="2"/>
            <charset val="238"/>
          </rPr>
          <t>odhad rovnakej sadzby za obdobie 2002-2011 tak, aby implicitná sadzba za rok 2013 sa rovnala skutočnosti</t>
        </r>
      </text>
    </comment>
    <comment ref="N9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predpokladá sa splatenie v polovici roka </t>
        </r>
      </text>
    </comment>
    <comment ref="N100" authorId="0" shapeId="0">
      <text>
        <r>
          <rPr>
            <sz val="9"/>
            <color indexed="81"/>
            <rFont val="Segoe UI"/>
            <family val="2"/>
            <charset val="238"/>
          </rPr>
          <t>predpokladá sa emisia v polovici roka</t>
        </r>
      </text>
    </comment>
  </commentList>
</comments>
</file>

<file path=xl/comments4.xml><?xml version="1.0" encoding="utf-8"?>
<comments xmlns="http://schemas.openxmlformats.org/spreadsheetml/2006/main">
  <authors>
    <author>bugyi</author>
  </authors>
  <commentList>
    <comment ref="A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ide o členenie na účely zákaldného scenára (opatrenie MF SR neobsahuje členenie podpoložiek EKRK na nižšie úrovne)
</t>
        </r>
      </text>
    </comment>
  </commentList>
</comments>
</file>

<file path=xl/comments5.xml><?xml version="1.0" encoding="utf-8"?>
<comments xmlns="http://schemas.openxmlformats.org/spreadsheetml/2006/main">
  <authors>
    <author>bugyi</author>
  </authors>
  <commentList>
    <comment ref="D2" authorId="0" shapeId="0">
      <text>
        <r>
          <rPr>
            <sz val="9"/>
            <color indexed="81"/>
            <rFont val="Segoe UI"/>
            <family val="2"/>
            <charset val="238"/>
          </rPr>
          <t>zmeny sú v podfarbených bunkách</t>
        </r>
      </text>
    </comment>
    <comment ref="G2" authorId="0" shapeId="0">
      <text>
        <r>
          <rPr>
            <sz val="9"/>
            <color indexed="81"/>
            <rFont val="Segoe UI"/>
            <family val="2"/>
            <charset val="238"/>
          </rPr>
          <t>zmeny sú v podfarbených bunkách</t>
        </r>
      </text>
    </comment>
    <comment ref="J2" authorId="0" shapeId="0">
      <text>
        <r>
          <rPr>
            <sz val="9"/>
            <color indexed="81"/>
            <rFont val="Segoe UI"/>
            <family val="2"/>
            <charset val="238"/>
          </rPr>
          <t>zmeny sú v podfarbených bunkách</t>
        </r>
      </text>
    </comment>
    <comment ref="B3" authorId="0" shapeId="0">
      <text>
        <r>
          <rPr>
            <sz val="9"/>
            <color indexed="81"/>
            <rFont val="Segoe UI"/>
            <family val="2"/>
            <charset val="238"/>
          </rPr>
          <t>COFOG 9</t>
        </r>
      </text>
    </comment>
  </commentList>
</comments>
</file>

<file path=xl/comments6.xml><?xml version="1.0" encoding="utf-8"?>
<comments xmlns="http://schemas.openxmlformats.org/spreadsheetml/2006/main">
  <authors>
    <author>bugyi</author>
  </authors>
  <commentList>
    <comment ref="P1" authorId="0" shapeId="0">
      <text>
        <r>
          <rPr>
            <sz val="9"/>
            <color indexed="81"/>
            <rFont val="Segoe UI"/>
            <family val="2"/>
            <charset val="238"/>
          </rPr>
          <t>zmeny sú v podfarbených bunkách</t>
        </r>
      </text>
    </comment>
  </commentList>
</comments>
</file>

<file path=xl/sharedStrings.xml><?xml version="1.0" encoding="utf-8"?>
<sst xmlns="http://schemas.openxmlformats.org/spreadsheetml/2006/main" count="5235" uniqueCount="1212">
  <si>
    <t>označenie</t>
  </si>
  <si>
    <t>názov</t>
  </si>
  <si>
    <t>jednotka</t>
  </si>
  <si>
    <t>Makroekonomické ukazovatele</t>
  </si>
  <si>
    <t>HDP</t>
  </si>
  <si>
    <t>hrubý domáci produkt v bežných cenách</t>
  </si>
  <si>
    <t>x</t>
  </si>
  <si>
    <t>KSD</t>
  </si>
  <si>
    <t>konečná spotreba domácností v bežných cenách</t>
  </si>
  <si>
    <t>KOM</t>
  </si>
  <si>
    <t>kompenzácie zamestnancov v bežných cenách</t>
  </si>
  <si>
    <t>MVS</t>
  </si>
  <si>
    <t>medzispotreba verejnej správy v bežných cenách</t>
  </si>
  <si>
    <t>IVS</t>
  </si>
  <si>
    <t>investície verejnej správy v bežných cenách</t>
  </si>
  <si>
    <t>nhdp</t>
  </si>
  <si>
    <t>tempo rastu hrubého domáceho produktu v bežných cenách</t>
  </si>
  <si>
    <t>%</t>
  </si>
  <si>
    <t>rhdp</t>
  </si>
  <si>
    <t>tempo rastu hrubého domáceho produktu v stálych cenách</t>
  </si>
  <si>
    <t>rksd</t>
  </si>
  <si>
    <t>tempo rastu konečnej spotreby domácností v stálych cenách</t>
  </si>
  <si>
    <t>rdisp</t>
  </si>
  <si>
    <t>tempo rastu disponibilných príjmov domácností v stálych cenách</t>
  </si>
  <si>
    <t>mb</t>
  </si>
  <si>
    <t>tempo rastu mzdovej základne v bežných cenách</t>
  </si>
  <si>
    <t>emp</t>
  </si>
  <si>
    <t>tempo rastu zamestnanosti</t>
  </si>
  <si>
    <t>nmzd</t>
  </si>
  <si>
    <t>tempo rastu miezd v súkromnom sektore v bežných cenách</t>
  </si>
  <si>
    <t>NEZ</t>
  </si>
  <si>
    <t>počet nezamestnaných</t>
  </si>
  <si>
    <t>osôb</t>
  </si>
  <si>
    <t>cpi</t>
  </si>
  <si>
    <t>tempo rastu cenovej hladiny spotrebiteľských cien</t>
  </si>
  <si>
    <t>cpic</t>
  </si>
  <si>
    <t>jadrová inflácia</t>
  </si>
  <si>
    <t>zm</t>
  </si>
  <si>
    <t>tempo rastu životného minima k 1.7. bežného roka</t>
  </si>
  <si>
    <t>VKL</t>
  </si>
  <si>
    <t>stav vkladov</t>
  </si>
  <si>
    <t>iv</t>
  </si>
  <si>
    <t>úroková miera z vkladov</t>
  </si>
  <si>
    <t>10Y</t>
  </si>
  <si>
    <t>výnos z 10-ročných štátnych dlhopisov</t>
  </si>
  <si>
    <t>Demografické ukazovatele</t>
  </si>
  <si>
    <t>POP</t>
  </si>
  <si>
    <t>celkový počet obyvateľov</t>
  </si>
  <si>
    <t>počet obyvateľov vo veku 0 rokov</t>
  </si>
  <si>
    <t>počet obyvateľov vo veku od 0 do 3 rokov</t>
  </si>
  <si>
    <t>počet obyvateľov vo veku od 1 do 15 rokov</t>
  </si>
  <si>
    <t>počet obyvateľov vo veku od 0 do 25 rokov</t>
  </si>
  <si>
    <t>počet obyvateľov vo veku od 3 do 25 rokov</t>
  </si>
  <si>
    <t>počet obyvateľov vo veku od 6 do 19 rokov</t>
  </si>
  <si>
    <t>počet obyvateľov vo veku od 15 do 25 rokov</t>
  </si>
  <si>
    <t>počet obyvateľov vo veku od 15 do 64 rokov</t>
  </si>
  <si>
    <t>počet obyvateľov vo veku nad 18 rokov</t>
  </si>
  <si>
    <t>ZOM</t>
  </si>
  <si>
    <t>počet zomretých</t>
  </si>
  <si>
    <t>INV</t>
  </si>
  <si>
    <t>počet poberateľov invalidných dôchodkov</t>
  </si>
  <si>
    <t>Daňové príjmy</t>
  </si>
  <si>
    <t>daň z príjmov fyzických osôb zo závislej činnosti</t>
  </si>
  <si>
    <t>daň z príjmov fyzických osôb z podnikania</t>
  </si>
  <si>
    <t>DPFO2%</t>
  </si>
  <si>
    <t>prevod podielu dane z príjmov fyzických osôb na osobitný účel</t>
  </si>
  <si>
    <t>DPZRV</t>
  </si>
  <si>
    <t>daň z príjmov vyberaná zrážkou z vkladov</t>
  </si>
  <si>
    <t>DPZRO</t>
  </si>
  <si>
    <t>daň z príjmov vyberaná zrážkou z ostatných zdrojov</t>
  </si>
  <si>
    <t>DPH</t>
  </si>
  <si>
    <t>daň z pridanej hodnoty</t>
  </si>
  <si>
    <t>SDM</t>
  </si>
  <si>
    <t>spotrebná daň z minerálneho oleja</t>
  </si>
  <si>
    <t>SDL</t>
  </si>
  <si>
    <t>spotrebná daň z liehu</t>
  </si>
  <si>
    <t>SDP</t>
  </si>
  <si>
    <t>spotrebná daň z piva</t>
  </si>
  <si>
    <t>SDV</t>
  </si>
  <si>
    <t>spotrebná daň z vína</t>
  </si>
  <si>
    <t>SDT</t>
  </si>
  <si>
    <t>spotrebná daň z tabakových výrobkov</t>
  </si>
  <si>
    <t>SDE</t>
  </si>
  <si>
    <t>spotrebná daň z elektriny</t>
  </si>
  <si>
    <t>SDU</t>
  </si>
  <si>
    <t>spotrebná daň z uhlia</t>
  </si>
  <si>
    <t>SDZ</t>
  </si>
  <si>
    <t>spotrebná daň zo zemného plynu</t>
  </si>
  <si>
    <t>VFP</t>
  </si>
  <si>
    <t>podiel na vybraných finančných prostriedkoch</t>
  </si>
  <si>
    <t>SPE</t>
  </si>
  <si>
    <t>príjmy z poistného na sociálne poistenie (EAO)</t>
  </si>
  <si>
    <t>SPD</t>
  </si>
  <si>
    <t>príjmy z poistného na sociálne poistenie (dlžné)</t>
  </si>
  <si>
    <t>ZPE</t>
  </si>
  <si>
    <t>príjmy z poistného na zdravotné poistenie (EAO)</t>
  </si>
  <si>
    <t>ZPD</t>
  </si>
  <si>
    <t>príjmy z poistného na zdravotné poistenie (dlžné)</t>
  </si>
  <si>
    <t>Vplyv legislatívy</t>
  </si>
  <si>
    <t>vplyv legislatívy na daň z príjmov fyzických osôb zo závislej činnosti</t>
  </si>
  <si>
    <t>vplyv legislatívy na daň z príjmov fyzických osôb z podnikania</t>
  </si>
  <si>
    <t>vplyv legislatívy na prevod podielu dane z príjmov fyzických osôb na osobitný účel</t>
  </si>
  <si>
    <t>vplyv legislatívy na daň z príjmov vyberanú zrážkou z vkladov</t>
  </si>
  <si>
    <t>vplyv legislatívy na daň z príjmov vyberanú zrážkou z ostatných zdrojov</t>
  </si>
  <si>
    <t>vplyv legislatívy na daň z pridanej hodnoty</t>
  </si>
  <si>
    <t>vplyv legislatívy na spotrebnú daň z minerálneho oleja</t>
  </si>
  <si>
    <t>vplyv legislatívy na spotrebnú daň z liehu</t>
  </si>
  <si>
    <t>vplyv legislatívy na spotrebnú daň z piva</t>
  </si>
  <si>
    <t>vplyv legislatívy na spotrebnú daň z vína</t>
  </si>
  <si>
    <t>vplyv legislatívy na spotrebnú daň z tabakových výrobkov</t>
  </si>
  <si>
    <t>vplyv legislatívy na spotrebnú daň z elektriny</t>
  </si>
  <si>
    <t>vplyv legislatívy na spotrebnú daň z uhlia</t>
  </si>
  <si>
    <t>vplyv legislatívy na spotrebnú daň zo zemného plynu</t>
  </si>
  <si>
    <t>vplyv legislatívy na podiel na vybraných finančných prostriedkoch</t>
  </si>
  <si>
    <t>vplyv legislatívy na príjmy z poistného na sociálne poistenie (EAO)</t>
  </si>
  <si>
    <t>vplyv legislatívy na príjmy z poistného na sociálne poistenie (dlžné)</t>
  </si>
  <si>
    <t>vplyv legislatívy na príjmy z poistného na zdravotné poistenie (EAO)</t>
  </si>
  <si>
    <t>vplyv legislatívy na príjmy z poistného na zdravotné poistenie (dlžné)</t>
  </si>
  <si>
    <t>sadz</t>
  </si>
  <si>
    <t>sadzba zdravotného poistenia plateného štátom</t>
  </si>
  <si>
    <t>skutočnosť</t>
  </si>
  <si>
    <t xml:space="preserve">projekcie základného scenára             </t>
  </si>
  <si>
    <t xml:space="preserve">prognóza VpMP a VpDP                         </t>
  </si>
  <si>
    <t>mil. eur</t>
  </si>
  <si>
    <t>tis. osôb</t>
  </si>
  <si>
    <t>DPPO2%</t>
  </si>
  <si>
    <t>prevod podielu dane z príjmov právnických osôb na osobitný účel</t>
  </si>
  <si>
    <t>vplyv legislatívy na daň z príjmov právnických osôb</t>
  </si>
  <si>
    <t>vplyv legislatívy na prevod podielu dane z príjmov právnických osôb</t>
  </si>
  <si>
    <t>Jednorazové vplyvy</t>
  </si>
  <si>
    <t>Platba za dostuponosť PPP projektu</t>
  </si>
  <si>
    <t>Zníženie pohľadávky voči Granvii</t>
  </si>
  <si>
    <t>Odvod na krytie dlhu + ZRAM</t>
  </si>
  <si>
    <t>Príspevky od držiteľov povolenia na prevádzku jadrových zariadení</t>
  </si>
  <si>
    <t>Výdavky na vyraďovanie jadrových zariadení</t>
  </si>
  <si>
    <t>PPP projekty</t>
  </si>
  <si>
    <t>Starnutie populácie</t>
  </si>
  <si>
    <t>Na dôchodkové dávky zo starobného poistenia</t>
  </si>
  <si>
    <t>(mil. eur)</t>
  </si>
  <si>
    <t>tis. eur</t>
  </si>
  <si>
    <t>Na dôchodkové dávky z invalidného poistenia</t>
  </si>
  <si>
    <t>Na dávku v hmotnej núdzi - dôchodcom</t>
  </si>
  <si>
    <t>Vianočný príspevok</t>
  </si>
  <si>
    <t>Zdravotníckym zariadeniam</t>
  </si>
  <si>
    <t>Záväzky zdravotníckych zariadení</t>
  </si>
  <si>
    <t>% HDP</t>
  </si>
  <si>
    <t>Ostatné</t>
  </si>
  <si>
    <t>Tempo rastu nominálneho HDP (AWG)</t>
  </si>
  <si>
    <t>daň z príjmov právnických osôb</t>
  </si>
  <si>
    <t>Daň z príjmov vyberaná zrážkou</t>
  </si>
  <si>
    <t xml:space="preserve"> - z vkladov</t>
  </si>
  <si>
    <t xml:space="preserve"> - ostatné (najviac licencie)</t>
  </si>
  <si>
    <t>Úhrada za služby verejnosti poskytované Rozhlasom a televíziou Slovenska</t>
  </si>
  <si>
    <t>ESA95</t>
  </si>
  <si>
    <t xml:space="preserve"> - fyzické osoby (D59REC)</t>
  </si>
  <si>
    <t xml:space="preserve"> - zamestnávatelia (D29REC)</t>
  </si>
  <si>
    <t>Z odvodu</t>
  </si>
  <si>
    <t xml:space="preserve"> - príspevky od držiteľov povolenia na prevádzku jadrových zariadení</t>
  </si>
  <si>
    <t xml:space="preserve"> - ostatné</t>
  </si>
  <si>
    <t>Iné</t>
  </si>
  <si>
    <t xml:space="preserve"> - odvod na krytie dlhu + ZRAM</t>
  </si>
  <si>
    <t>Poplatky a odvody</t>
  </si>
  <si>
    <t xml:space="preserve"> - odplata za postúpenú pohľadávku na poistnom a daňovú pohľadávku</t>
  </si>
  <si>
    <t>Na príspevok na osobitný účet</t>
  </si>
  <si>
    <t xml:space="preserve"> - saldo osobitného účtu</t>
  </si>
  <si>
    <t>reziduál</t>
  </si>
  <si>
    <t xml:space="preserve"> - ostatné výdavky</t>
  </si>
  <si>
    <t>Na nemocenské dávky</t>
  </si>
  <si>
    <t>Soc. poist.</t>
  </si>
  <si>
    <t>nemocenské</t>
  </si>
  <si>
    <t>nemocenské platené ako zamestnávateľ</t>
  </si>
  <si>
    <t>ošetrovné</t>
  </si>
  <si>
    <t>materské a vyrovnávacia dávka</t>
  </si>
  <si>
    <t>Na ostatné dávky poskytované štátom</t>
  </si>
  <si>
    <t>vianočný príspevok</t>
  </si>
  <si>
    <t>nesystémové dávky a ostatné</t>
  </si>
  <si>
    <t>Na platené poistné za skupiny osôb ustanovené zákonom</t>
  </si>
  <si>
    <t xml:space="preserve"> - sociálne poistenie platené štátom</t>
  </si>
  <si>
    <t xml:space="preserve"> - sociálne poistenie platené SP</t>
  </si>
  <si>
    <t xml:space="preserve"> - zdravotné poistenie platené štátom</t>
  </si>
  <si>
    <t>Právnickej osobe založenej štátom, obcou alebo vyšším územným celkom</t>
  </si>
  <si>
    <t xml:space="preserve"> - vyraďovanie jadrových zariadení</t>
  </si>
  <si>
    <t>Ostatnej právnickej osobe</t>
  </si>
  <si>
    <t>Na dávku v hmotnej núdzi a príspevky k dávke</t>
  </si>
  <si>
    <t xml:space="preserve"> - dôchodcom</t>
  </si>
  <si>
    <t xml:space="preserve"> - ostatným</t>
  </si>
  <si>
    <t>Budov, objektov alebo ich častí</t>
  </si>
  <si>
    <t xml:space="preserve"> - platba za dostupnosť PPP projektu</t>
  </si>
  <si>
    <t>bežné výdavky KRRZ (mzdy+poistné/bežné výdavky)</t>
  </si>
  <si>
    <t>113000a</t>
  </si>
  <si>
    <t>113000b</t>
  </si>
  <si>
    <t>139001a</t>
  </si>
  <si>
    <t>139001b</t>
  </si>
  <si>
    <t>292009a</t>
  </si>
  <si>
    <t>292009b</t>
  </si>
  <si>
    <t>292027a</t>
  </si>
  <si>
    <t>292027b</t>
  </si>
  <si>
    <t>637012a</t>
  </si>
  <si>
    <t>637012b</t>
  </si>
  <si>
    <t>642008a</t>
  </si>
  <si>
    <t>642008b</t>
  </si>
  <si>
    <t>642015a</t>
  </si>
  <si>
    <t>642015b</t>
  </si>
  <si>
    <t>642015c</t>
  </si>
  <si>
    <t>642015d</t>
  </si>
  <si>
    <t>642018a</t>
  </si>
  <si>
    <t>642018b</t>
  </si>
  <si>
    <t>642031a</t>
  </si>
  <si>
    <t>642031b</t>
  </si>
  <si>
    <t>642031c</t>
  </si>
  <si>
    <t>644001a</t>
  </si>
  <si>
    <t>644001b</t>
  </si>
  <si>
    <t>644002a</t>
  </si>
  <si>
    <t>644002b</t>
  </si>
  <si>
    <t>723001a</t>
  </si>
  <si>
    <t>723001b</t>
  </si>
  <si>
    <t>642026a</t>
  </si>
  <si>
    <t>642026b</t>
  </si>
  <si>
    <t>636001a</t>
  </si>
  <si>
    <t>636001b</t>
  </si>
  <si>
    <t>EKRK 193</t>
  </si>
  <si>
    <t>štátom platené poistné na soc.pois. (pomer P a V)</t>
  </si>
  <si>
    <t>Sociálnou poisťovňou platené poistné na soc.pois. (pomer P a V)</t>
  </si>
  <si>
    <t xml:space="preserve">Zo závislej činnosti </t>
  </si>
  <si>
    <t xml:space="preserve">Z podnikania, z inej samostatnej zárobkovej činnosti a z prenájmu </t>
  </si>
  <si>
    <t>Výnos dane z príjmov poukázaný územnej samospráve</t>
  </si>
  <si>
    <t>Prevod podielu dane z príjmov fyzických osôb na osobitný účel</t>
  </si>
  <si>
    <t xml:space="preserve">Daň z príjmov právnickej osoby </t>
  </si>
  <si>
    <t>Prevod podielu dane z príjmov právnickej osoby na osobitný účel</t>
  </si>
  <si>
    <t>Z pozemkov</t>
  </si>
  <si>
    <t>Zo stavieb</t>
  </si>
  <si>
    <t>Z bytov a nebytových priestorov v bytovom dome</t>
  </si>
  <si>
    <t>Dane z dedičstva a darovania</t>
  </si>
  <si>
    <t>Z prevodu a prechodu nehnuteľností</t>
  </si>
  <si>
    <t>Ďalšie dane z majetku</t>
  </si>
  <si>
    <t xml:space="preserve">Daň z pridanej hodnoty </t>
  </si>
  <si>
    <t>Z minerálneho oleja</t>
  </si>
  <si>
    <t>Z liehu</t>
  </si>
  <si>
    <t>Z piva</t>
  </si>
  <si>
    <t>Z vína</t>
  </si>
  <si>
    <t>Z tabakových výrobkov</t>
  </si>
  <si>
    <t>Z elektriny</t>
  </si>
  <si>
    <t>Z uhlia</t>
  </si>
  <si>
    <t>Zo zemného plynu</t>
  </si>
  <si>
    <t>Za psa</t>
  </si>
  <si>
    <t>Za nevýherné hracie prístroje</t>
  </si>
  <si>
    <t>Za predajné automaty</t>
  </si>
  <si>
    <t>Za vjazd a zotrvanie motorového vozidla v historickej časti mesta</t>
  </si>
  <si>
    <t>Za ubytovanie</t>
  </si>
  <si>
    <t>Za užívanie verejného priestranstva</t>
  </si>
  <si>
    <t>Za komunálne odpady a drobné stavebné odpady</t>
  </si>
  <si>
    <t>Za jadrové zariadenia</t>
  </si>
  <si>
    <t>Z úhrad za dobývací priestor</t>
  </si>
  <si>
    <t>Z motorových vozidiel</t>
  </si>
  <si>
    <t>Z úhrad za uskladňovanie plynov a kvapalín</t>
  </si>
  <si>
    <t>Zo zrušených mestských poplatkov</t>
  </si>
  <si>
    <t>Dovozné clo</t>
  </si>
  <si>
    <t>Dovozná prirážka</t>
  </si>
  <si>
    <t>Podiel na vybratých finančných prostriedkoch</t>
  </si>
  <si>
    <t>Ostatné colné príjmy</t>
  </si>
  <si>
    <t>Poistné</t>
  </si>
  <si>
    <t>Sociálne poistenie - EAO</t>
  </si>
  <si>
    <t>Sociálne poistenie - dlžné</t>
  </si>
  <si>
    <t>Zdravotné poistenie - EAO</t>
  </si>
  <si>
    <t>Zdravotné poistenie - dlžné</t>
  </si>
  <si>
    <t>Sociálna poisťovňa</t>
  </si>
  <si>
    <t>Sankcie uložené v daňovom konaní a sankcie súvisiace s úhradami za služby verejnosti poskytované Rozhlasom a televíziou Slovenska</t>
  </si>
  <si>
    <t>Sankcie súvisiace so zdravotným poistením a sociálnym poistením</t>
  </si>
  <si>
    <t>Daň z emisných kvót</t>
  </si>
  <si>
    <t>Osobitný odvod vybraných finančných inštitúcií</t>
  </si>
  <si>
    <t>Odplata za postúpenú pohľadávku na poistnom a daňovú pohľadávku</t>
  </si>
  <si>
    <t>Osobitný odvod z podnikania v regulovaných odvetviach</t>
  </si>
  <si>
    <t>Ďalšie iné dane</t>
  </si>
  <si>
    <t>Dividendy</t>
  </si>
  <si>
    <t>Iné príjmy z podnikania</t>
  </si>
  <si>
    <t>Z úhrad za vydobyté nerasty</t>
  </si>
  <si>
    <t>Z prenajatých pozemkov</t>
  </si>
  <si>
    <t>Z prenajatých budov, priestorov a objektov</t>
  </si>
  <si>
    <t>Z prenajatých strojov, prístrojov, zariadení, techniky a náradia</t>
  </si>
  <si>
    <t>Z úhrad za využívanie prírodných liečivých zdrojov a prírodných zdrojov minerálnych vôd</t>
  </si>
  <si>
    <t>Z úhrad za nakladanie so zdrojmi ionizujúceho žiarenia</t>
  </si>
  <si>
    <t>Súdne poplatky</t>
  </si>
  <si>
    <t>Tržby z predaja kolkových známok</t>
  </si>
  <si>
    <t>Puncové poplatky</t>
  </si>
  <si>
    <t>Ostatné poplatky</t>
  </si>
  <si>
    <t>Licencie</t>
  </si>
  <si>
    <t>Pokuty, penále a iné sankcie</t>
  </si>
  <si>
    <t>Za porušenie finančnej disciplíny</t>
  </si>
  <si>
    <t>Z účtov Európskej únie</t>
  </si>
  <si>
    <t>Za porušenie predpisov</t>
  </si>
  <si>
    <t>Poplatky a platby z nepriemyselného a náhodného predaja a služieb</t>
  </si>
  <si>
    <t>Za predaj výrobkov, tovarov a služieb</t>
  </si>
  <si>
    <t>Za školy a školské zariadenia</t>
  </si>
  <si>
    <t>Za stravné</t>
  </si>
  <si>
    <t xml:space="preserve">Za prebytočný hnuteľný majetok </t>
  </si>
  <si>
    <t>Za vypúšťanie odpadových vôd do povrchových vôd</t>
  </si>
  <si>
    <t>Za odber podzemnej vody</t>
  </si>
  <si>
    <t>Za znečisťovanie ovzdušia</t>
  </si>
  <si>
    <t xml:space="preserve">Príjem z predaja kapitálových aktív </t>
  </si>
  <si>
    <t>Príjem z predaja hmotných a mobilizačných rezerv</t>
  </si>
  <si>
    <t>Príjem z predaja pozemkov a nehmotných aktív</t>
  </si>
  <si>
    <t>Z predaja pozemkov</t>
  </si>
  <si>
    <t>Z predaja nehmotných aktív</t>
  </si>
  <si>
    <t>Ďalšie kapitálové príjmy</t>
  </si>
  <si>
    <t>Zo združených investičných prostriedkov</t>
  </si>
  <si>
    <t>Z vratiek</t>
  </si>
  <si>
    <t>Z úverov a pôžičiek</t>
  </si>
  <si>
    <t>Z vkladov</t>
  </si>
  <si>
    <t>Z účtov finančného hospodárenia</t>
  </si>
  <si>
    <t>Z termínovaných vkladov</t>
  </si>
  <si>
    <t>Z návratných finančných výpomocí</t>
  </si>
  <si>
    <t>Ostatné platby</t>
  </si>
  <si>
    <t>Od neziskovej organizácie poskytujúcej všeobecne prospešné služby</t>
  </si>
  <si>
    <t>Od rozpočtovej organizácie a príspevkovej organizácie</t>
  </si>
  <si>
    <t>Od ostatných neziskových právnických osôb</t>
  </si>
  <si>
    <t>Od fyzickej osoby</t>
  </si>
  <si>
    <t>Z účtu prostriedkov Európskej únie</t>
  </si>
  <si>
    <t>Od obce a vyššieho územného celku</t>
  </si>
  <si>
    <t>Od nefinančnej právnickej osoby</t>
  </si>
  <si>
    <t>Od ostatných subjektov verejnej správy</t>
  </si>
  <si>
    <t>Ostatné príjmy</t>
  </si>
  <si>
    <t>Z náhrad poistného plnenia</t>
  </si>
  <si>
    <t>Z odvodov z hazardných hier a iných podobných hier</t>
  </si>
  <si>
    <t>Z dobropisov</t>
  </si>
  <si>
    <t>Z refundácie</t>
  </si>
  <si>
    <t>Z kurzových rozdielov</t>
  </si>
  <si>
    <t xml:space="preserve"> - odvod na krytie dlhu</t>
  </si>
  <si>
    <t>Granty</t>
  </si>
  <si>
    <t>Transfery v rámci verejnej správy</t>
  </si>
  <si>
    <t>Transfery subjektom nezaradeným vo verejnej správe v registri organizácií vedenom ŠÚ SR</t>
  </si>
  <si>
    <t>Transfery od subjektov nezaradených vo verejnej správy v registri organizácií vedenom ŠÚ SR</t>
  </si>
  <si>
    <t>Bežné</t>
  </si>
  <si>
    <t>Od zahraničného subjektu iného ako medzinárodná organizácia</t>
  </si>
  <si>
    <t>Od medzinárodnej organizácie</t>
  </si>
  <si>
    <t>Prostriedky z rozpočtu Európskej únie</t>
  </si>
  <si>
    <t>Tarifný plat, osobný plat, základný plat, funkčný plat, hodnostný plat, plat, vrátane ich náhrad</t>
  </si>
  <si>
    <t>Príplatky</t>
  </si>
  <si>
    <t>Osobný príplatok</t>
  </si>
  <si>
    <t>Ostatné príplatky okrem osobných príplatkov</t>
  </si>
  <si>
    <t>Náhrada za pracovnú pohotovosť, služobnú pohotovosť a náhrada, odmena za pohotovosť</t>
  </si>
  <si>
    <t>Odmeny</t>
  </si>
  <si>
    <t>Ostatné osobné vyrovnania</t>
  </si>
  <si>
    <t>Doplatok k platu a ďalší plat</t>
  </si>
  <si>
    <t>Poistné do Všeobecnej zdravotnej poisťovne</t>
  </si>
  <si>
    <t>Poistné do ostatných zdravotných poisťovní</t>
  </si>
  <si>
    <t>Na nemocenské poistenie</t>
  </si>
  <si>
    <t>Na starobné poistenie</t>
  </si>
  <si>
    <t>Na úrazové poistenie</t>
  </si>
  <si>
    <t>Na invalidné poistenie</t>
  </si>
  <si>
    <t>Na poistenie v nezamestnanosti</t>
  </si>
  <si>
    <t>Na garančné poistenie</t>
  </si>
  <si>
    <t>Na poistenie do rezervného fondu solidarity</t>
  </si>
  <si>
    <t>Príspevok do doplnkových dôchodkových poisťovní</t>
  </si>
  <si>
    <t>Na nemocenské zabezpečenie</t>
  </si>
  <si>
    <t>Na výsluhový dôchodok</t>
  </si>
  <si>
    <t>Na úrazové zabezpečenie</t>
  </si>
  <si>
    <t>Na invalidný výsluhový dôchodok</t>
  </si>
  <si>
    <t>Na výsluhový príspevok</t>
  </si>
  <si>
    <t>Príspevok na starobné dôchodkové sporenie</t>
  </si>
  <si>
    <t>Cestovné náhrady</t>
  </si>
  <si>
    <t>Tuzemské</t>
  </si>
  <si>
    <t>Zahraničné</t>
  </si>
  <si>
    <t>Pri dočasnom pridelení na výkon práce a pri vzniku pracovného pomeru</t>
  </si>
  <si>
    <t>Cestovné náhrady vlastným zamestnancom</t>
  </si>
  <si>
    <t xml:space="preserve">Energie, voda a komunikácie </t>
  </si>
  <si>
    <t>Energie</t>
  </si>
  <si>
    <t>Vodné, stočné</t>
  </si>
  <si>
    <t>Poštové služby a telekomunikačné služby</t>
  </si>
  <si>
    <t>Komunikačná infraštruktúra</t>
  </si>
  <si>
    <t>Interiérové vybavenie</t>
  </si>
  <si>
    <t>Výpočtová technika</t>
  </si>
  <si>
    <t>Telekomunikačná technika</t>
  </si>
  <si>
    <t>Prevádzkové stroje, prístroje, zariadenie, technika a náradie</t>
  </si>
  <si>
    <t>Špeciálne stroje, prístroje, zariadenie, technika a náradie</t>
  </si>
  <si>
    <t>Všeobecný materiál</t>
  </si>
  <si>
    <t>Špeciálny materiál</t>
  </si>
  <si>
    <t>Krv a krvné výrobky</t>
  </si>
  <si>
    <t>Knihy, časopisy, noviny, učebnice, učebné pomôcky a kompenzačné pomôcky</t>
  </si>
  <si>
    <t>Pracovné odevy, obuv a pracovné pomôcky</t>
  </si>
  <si>
    <t>Potraviny</t>
  </si>
  <si>
    <t>Osobná spotreba dieťaťa</t>
  </si>
  <si>
    <t>Softvér</t>
  </si>
  <si>
    <t>Vojenská výstavba a obstaranie budov vojenského charakteru</t>
  </si>
  <si>
    <t>Palivá ako zdroj energie</t>
  </si>
  <si>
    <t>Reprezentačné</t>
  </si>
  <si>
    <t>Intervenčné zásoby</t>
  </si>
  <si>
    <t>Ostatný</t>
  </si>
  <si>
    <t>Dopravné</t>
  </si>
  <si>
    <t>Palivo, mazivá, oleje, špeciálne kvapaliny</t>
  </si>
  <si>
    <t>Servis, údržba, opravy a výdavky s tým spojené</t>
  </si>
  <si>
    <t xml:space="preserve">Poistenie </t>
  </si>
  <si>
    <t>Prepravné a nájom dopravných prostriedkov</t>
  </si>
  <si>
    <t>Karty, známky, poplatky</t>
  </si>
  <si>
    <t>Rutinná a štandardná údržba</t>
  </si>
  <si>
    <t>Interiérového vybavenia</t>
  </si>
  <si>
    <t>Výpočtovej techniky</t>
  </si>
  <si>
    <t>Telekomunikačnej techniky</t>
  </si>
  <si>
    <t>Prevádzkových strojov, prístrojov, zariadení, techniky a náradia</t>
  </si>
  <si>
    <t>Špeciálnych strojov, prístrojov, zariadení, techniky a náradia</t>
  </si>
  <si>
    <t>Pracovných odevov, obuvi a pracovných pomôcok</t>
  </si>
  <si>
    <t>Kníh, učebných pomôcok a kompenzačných pomôcok</t>
  </si>
  <si>
    <t>Softvéru</t>
  </si>
  <si>
    <t>Komunikačnej infraštruktúry</t>
  </si>
  <si>
    <t>Ostatného</t>
  </si>
  <si>
    <t>Nájomné za nájom</t>
  </si>
  <si>
    <t>Špeciálnych strojov, prístrojov, zariadení, techniky, náradia a materiálu</t>
  </si>
  <si>
    <t>Dopravných prostriedkov</t>
  </si>
  <si>
    <t>Zo zmluvy o nájme veci s právom kúpy prenajatej veci</t>
  </si>
  <si>
    <t>Služby</t>
  </si>
  <si>
    <t>Školenia, kurzy, semináre, porady, konferencie, sympóziá</t>
  </si>
  <si>
    <t>Konkurzy a súťaže</t>
  </si>
  <si>
    <t>Propagácia, reklama a inzercia</t>
  </si>
  <si>
    <t>Všeobecné služby</t>
  </si>
  <si>
    <t>Špeciálne služby</t>
  </si>
  <si>
    <t>Náhrady</t>
  </si>
  <si>
    <t>Náhrada nákladov hospodárskej mobilizácie a intervenčných zásob</t>
  </si>
  <si>
    <t>Náhrada mzdy a platu</t>
  </si>
  <si>
    <t>Na úlohy výskumu a vývoja</t>
  </si>
  <si>
    <t>Štúdie, expertízy, posudky</t>
  </si>
  <si>
    <t>Naturálne mzdy</t>
  </si>
  <si>
    <t>Stravovanie</t>
  </si>
  <si>
    <t>Prídel do sociálneho fondu</t>
  </si>
  <si>
    <t>Provízia</t>
  </si>
  <si>
    <t>Vrátenie príjmov z minulých rokov</t>
  </si>
  <si>
    <t>Register obnovenej evidencie pozemkov</t>
  </si>
  <si>
    <t>Finančné zúčtovanie</t>
  </si>
  <si>
    <t>Refundácie</t>
  </si>
  <si>
    <t>Osobitné finančné prostriedky</t>
  </si>
  <si>
    <t>Kolkové známky</t>
  </si>
  <si>
    <t>Vyrovnanie kurzových rozdielov</t>
  </si>
  <si>
    <t>Nezrovnalosti</t>
  </si>
  <si>
    <t>Odmeny a príspevky</t>
  </si>
  <si>
    <t>Odmeny zamestnancov mimopracovného pomeru</t>
  </si>
  <si>
    <t>Odstúpenie od kúpnych zmlúv</t>
  </si>
  <si>
    <t>Manká a škody</t>
  </si>
  <si>
    <t>Preddavky</t>
  </si>
  <si>
    <t>Pokuty a penále</t>
  </si>
  <si>
    <t>Mylné platby</t>
  </si>
  <si>
    <t>Zálohy na projekty Európskej únie</t>
  </si>
  <si>
    <t>Dane</t>
  </si>
  <si>
    <t>Reprezentačné výdavky</t>
  </si>
  <si>
    <t>Vratky</t>
  </si>
  <si>
    <t>Občianskemu združeniu, nadácii a neinvestičnému fondu</t>
  </si>
  <si>
    <t>Neziskovej organizácii poskytujúcej všeobecne prospešné služby</t>
  </si>
  <si>
    <t>Cirkevnej škole</t>
  </si>
  <si>
    <t>Súkromnej škole</t>
  </si>
  <si>
    <t>Na členské príspevky</t>
  </si>
  <si>
    <t>Cirkvi, náboženskej spoločnosti a cirkevnej charite</t>
  </si>
  <si>
    <t>Nefinančnej právnickej osobe</t>
  </si>
  <si>
    <t>Politickej strane a politickému hnutiu</t>
  </si>
  <si>
    <t>Odborovej organizácii</t>
  </si>
  <si>
    <t>Na odstupné</t>
  </si>
  <si>
    <t>Na odchodné</t>
  </si>
  <si>
    <t>Jednotlivcovi</t>
  </si>
  <si>
    <t>Na úrazové dávky</t>
  </si>
  <si>
    <t>Na prídavok na dieťa</t>
  </si>
  <si>
    <t>Na príspevok pri narodení dieťaťa</t>
  </si>
  <si>
    <t>Na príspevok na pohreb</t>
  </si>
  <si>
    <t>Na príspevky na podporu náhradnej starostlivosti o dieťa</t>
  </si>
  <si>
    <t>Na peňažné príspevky na kompenzáciu</t>
  </si>
  <si>
    <t>Na úmrtné</t>
  </si>
  <si>
    <t>Na náhradu</t>
  </si>
  <si>
    <t>Príplatky a príspevky</t>
  </si>
  <si>
    <t>Na aktívne opatrenia na trhu práce</t>
  </si>
  <si>
    <t>Dávka v nezamestnanosti</t>
  </si>
  <si>
    <t>Na peňažné náležitosti v ozbrojených silách a ozbrojených zboroch</t>
  </si>
  <si>
    <t>Na štipendiá</t>
  </si>
  <si>
    <t>Na náhradné výživné</t>
  </si>
  <si>
    <t>Na príplatok k prídavku na dieťa</t>
  </si>
  <si>
    <t>Na príplatok k príspevku pri narodení dieťaťa</t>
  </si>
  <si>
    <t>Na príspevok rodičom, ktorým sa súčasne narodili tri deti alebo viac detí alebo ktorým sa v priebehu dvoch rokov opakovane narodili dvojčatá alebo viac detí súčasne</t>
  </si>
  <si>
    <t>Na rodičovský príspevok</t>
  </si>
  <si>
    <t>Ostatné sociálne dávky</t>
  </si>
  <si>
    <t xml:space="preserve">Ostatné     </t>
  </si>
  <si>
    <t>Fyzickej osobe - podnikateľovi</t>
  </si>
  <si>
    <t>Príspevkovej organizácii nezaradenej vo verejnej správe v registri organizácií vedenom ŠÚ SR</t>
  </si>
  <si>
    <t>Náklady na likvidáciu štátnych podnikov a akciových spoločností</t>
  </si>
  <si>
    <t>Náklady spojené s ručením Fondu národného majetku SR za sprivatizovaný majetok</t>
  </si>
  <si>
    <t>Úhrada majetkovej ujmy</t>
  </si>
  <si>
    <t>Na služby súvisiace so štátnymi zárukami</t>
  </si>
  <si>
    <t>Na hospodársku mobilizáciu</t>
  </si>
  <si>
    <t>Na podporu zahraničných investícií a exportu</t>
  </si>
  <si>
    <t>Na úhradu výdavkov na činnosť Kancelárie Rady pre rozpočtovú zodpovednosť</t>
  </si>
  <si>
    <t>Zahraničnej vláde</t>
  </si>
  <si>
    <t>Jednotlivcovi a právnickej osobe inej ako medzinárodná organizácia</t>
  </si>
  <si>
    <t>Medzinárodnej organizácii</t>
  </si>
  <si>
    <t>Odvody do rozpočtu EÚ</t>
  </si>
  <si>
    <t>Splácanie úrokov a ostatné platby súvisiace s úverom, pôžičkou, návratnou finančnou výpomocou a finančným prenájmom</t>
  </si>
  <si>
    <t>Manipulačné poplatky</t>
  </si>
  <si>
    <t>Provízie</t>
  </si>
  <si>
    <t>Poistné na zabezpečenie finančných operácií</t>
  </si>
  <si>
    <t>Pozemkov</t>
  </si>
  <si>
    <t>Lesov</t>
  </si>
  <si>
    <t>Licencií</t>
  </si>
  <si>
    <t>Ostatných nehmotných aktív</t>
  </si>
  <si>
    <t>Budov alebo objektov určených na likvidáciu</t>
  </si>
  <si>
    <t>Nákup strojov, prístrojov, zariadení, techniky a náradia</t>
  </si>
  <si>
    <t>Prevádzkových strojov, prístrojov, zariadení, techniky a  náradia</t>
  </si>
  <si>
    <t>Špeciálnych strojov, prístrojov, zariadení, techniky, náradia a materiálu</t>
  </si>
  <si>
    <t>Nákup dopravných prostriedkov všetkých druhov</t>
  </si>
  <si>
    <t>Osobných automobilov</t>
  </si>
  <si>
    <t>Autobusov</t>
  </si>
  <si>
    <t>Motocyklov, člnov, trojkoliek, štvorkoliek</t>
  </si>
  <si>
    <t>Nákladných vozidiel, ťahačov, prípojných vozidiel, pracovných strojov, traktorov</t>
  </si>
  <si>
    <t>Špeciálnych automobilov</t>
  </si>
  <si>
    <t>Dopravných lietadiel, vrtuľníkov</t>
  </si>
  <si>
    <t>Iných dopravných prostriedkov</t>
  </si>
  <si>
    <t>Prípravná a projektová dokumentácia</t>
  </si>
  <si>
    <t>Realizácia stavieb a ich technického zhodnotenia</t>
  </si>
  <si>
    <t>Realizácia nových stavieb</t>
  </si>
  <si>
    <t>Rekonštrukcia a modernizácia</t>
  </si>
  <si>
    <t>Prístavby, nadstavby, stavebné úpravy</t>
  </si>
  <si>
    <t>Špeciálnych strojov, prístrojov, zariadení, techniky, náradia</t>
  </si>
  <si>
    <t>Ostatné kapitálové výdavky</t>
  </si>
  <si>
    <t>Na združené prostriedky na investície</t>
  </si>
  <si>
    <t>Na nákup umeleckých diel a zbierok</t>
  </si>
  <si>
    <t>Na doplnenie a tvorbu hmotných rezerv a mobilizačných rezerv</t>
  </si>
  <si>
    <t>Na osobitné finančné prostriedky</t>
  </si>
  <si>
    <t>Na nákup zvierat základného stáda</t>
  </si>
  <si>
    <t>Neziskovej právnickej osobe nezaradenej v podpoložke 722001 a podpoložke 722002</t>
  </si>
  <si>
    <t>Ostatnej právnickej osobe nezaradenej v podpoložke 723001</t>
  </si>
  <si>
    <t>Na realizovanú záruku</t>
  </si>
  <si>
    <t>Ostatným finančným inštitúciám</t>
  </si>
  <si>
    <t>Štát - SP</t>
  </si>
  <si>
    <t>Štát - ZP</t>
  </si>
  <si>
    <t xml:space="preserve">skutočnosť posledného roka upravená o zmenu nominálnych miezd súkromnom sektore, </t>
  </si>
  <si>
    <t>Daň vyberaná zrážkou</t>
  </si>
  <si>
    <t>skutočnosť posledného roka</t>
  </si>
  <si>
    <t>skutočnosť posledného roka upravená o vývoj reálneho HDP (3-ročný priemer rastu)</t>
  </si>
  <si>
    <t>rovnomerné klesanie k nule v horizonte strednodobej časti základného scenára,</t>
  </si>
  <si>
    <t>nulové hodnoty</t>
  </si>
  <si>
    <t>skutočnosť posledného roka upravená o vývoj reálnych disponibilných príjmov</t>
  </si>
  <si>
    <t>skutočnosť posledného roka upravená o infláciu meranú CPI a vývojom počtu obyvateľov</t>
  </si>
  <si>
    <t>skutočnosť posledného roka upravená o vývoj reálneho HDP</t>
  </si>
  <si>
    <t>skutočnosť posledného roka upravená o zmenu veľkosti populácie v produktívnom veku,</t>
  </si>
  <si>
    <t>skutočnosť posledného roka,</t>
  </si>
  <si>
    <t xml:space="preserve">skutočnosť posledného roka upravená o zmenu nominálneho HDP </t>
  </si>
  <si>
    <t>priemer za posledné 3 roky,</t>
  </si>
  <si>
    <t xml:space="preserve">skutočnosť posledného roka upravená o zmenu nominálneho HDP zníženého o kompenzácie zamestnancov </t>
  </si>
  <si>
    <t xml:space="preserve">skutočnosť posledného roka upravená o zmenu nominálneho HDP zníženého o kompenzácie zamestnancov, </t>
  </si>
  <si>
    <t>skutočnosť za posledný rok</t>
  </si>
  <si>
    <t>skutočnosť za posledný rok upravená o mieru inflácie,</t>
  </si>
  <si>
    <t>skutočnosť za posledný rok upravená o mieru inflácie a zmenu počtu detí vo veku 3 až 25 rokov</t>
  </si>
  <si>
    <t>skutočnosť za posledný rok,</t>
  </si>
  <si>
    <t xml:space="preserve">skutočnosť za posledný rok upravená o mieru inflácie </t>
  </si>
  <si>
    <t xml:space="preserve">skutočnosť posledného roka upravená o kombináciu miery inflácie a rastu miezd v súkromnom sektore, </t>
  </si>
  <si>
    <t>skutočnosť posledného roka upravená o zmenu nominálneho HDP,</t>
  </si>
  <si>
    <t>skutočnosť posledného roka upravená o zmenu nominálneho HDP</t>
  </si>
  <si>
    <t>skutočnosť posledného roka upravená o mieru inflácie,</t>
  </si>
  <si>
    <t>skutočnosť posledného roka upravená o zmenu nominálnych miezd v súkromnom sektore</t>
  </si>
  <si>
    <t>priemer za posledné tri roky</t>
  </si>
  <si>
    <t>skutočnosť posledného roka upravená o zmenu nominálnych miezd súkromnom sektore</t>
  </si>
  <si>
    <t>skutočnosť posledného roka upravená o mieru inflácie</t>
  </si>
  <si>
    <t>skutočnosť posledného roka upravená o mieru inflácie a zmenu nominálnych miezd v súkromnom sektore (s rovnakými váhami)</t>
  </si>
  <si>
    <t xml:space="preserve">skutočnosť posledného roka upravená o kombináciu miery inflácie a zmeny nominálnych miezd v súkromnom sektore (váhami 20:80) a medziročnú zmenu počtu populácie vo veku 6-19 rokov, </t>
  </si>
  <si>
    <t>každoročne vyplácané sumy: skutočnosť upravená o zmenu nominálnych miezd v súkromnom sektore v predchádzajúcom roku,
sumy vyplácané vo volebnom roku: skutočnosť upravená o zmenu nominálnych miezd v súkromnom sektore v predchádzajúcich rokoch a zmenu počtu obyvateľov vo veku nad 18 rokov</t>
  </si>
  <si>
    <t xml:space="preserve">skutočnosť posledného roka upravená o zmenu nominálnych miezd v súkromnom sektore a zmenu počtu narodených detí, </t>
  </si>
  <si>
    <t>skutočnosť posledného roka upravená o zmenu životného minima a zmenu počtu detí vo veku 0-25 rokov v danom roku,</t>
  </si>
  <si>
    <t>skutočnosť posledného roka upravená o zmenu životného minima a zmenu počtu narodených detí v danom roku,</t>
  </si>
  <si>
    <t>skutočnosť posledného roka upravená o zmenu životného minima a zmenu počtu zomretých v danom roku,</t>
  </si>
  <si>
    <t>skutočnosť posledného roka upravená o mieru inflácie a zmenu počtu poberateľov invalidných dôchodkov,</t>
  </si>
  <si>
    <t>skutočnosť posledného roka upravená o zmenu nominálnej mzdy v súkromnom sektore spred dvoch rokov a zmenu počtu produktívnej populácie,</t>
  </si>
  <si>
    <t>skutočnosť posledného roka upravená o zmenu nominálnej mzdy v súkromnom sektore a mieru inflácie</t>
  </si>
  <si>
    <t>skutočnosť posledného roka upravená o zmenu nominálnej mzdy v súkromnom sektore spred dvoch rokov, zmenu počtu celkovej populácie a zmenu sadzby odvodu v skutočnosti posledného roka skutočnosti oproti legislatívou stanovenej sadzbe,</t>
  </si>
  <si>
    <t xml:space="preserve">skutočnosť posledného roka upravená o mieru inflácie a medziročnú zmenu populácie vo veku 15-25 rokov, </t>
  </si>
  <si>
    <t>skutočnosť posledného roka upravená o mieru inflácie a rast nominálnych miezd v súkromnom sektore,</t>
  </si>
  <si>
    <t>skutočnosť posledného roka upravená o zmenu počtu nezamestnaných a zmenu nominálnych miezd v súkromnom sektore v danom roku,</t>
  </si>
  <si>
    <t>skutočnosť posledného roka upravená o zmenu životného minima a zmenu počtu detí vo veku 1 až 15 rokov v danom roku,</t>
  </si>
  <si>
    <t>skutočnosť posledného roka upravená o zmenu životného minima a zmenu počtu detí vo veku do 3 rokov,</t>
  </si>
  <si>
    <t>skutočnosť posledného roka upravená o mieru inflácie a zmenu nominálnych miezd v súkromnom sektore (váhy na základe skutočných výdavkov KRRZ)</t>
  </si>
  <si>
    <t>skutočnosť posledného roka upravená o tempo rastu nominálneho HDP</t>
  </si>
  <si>
    <t>priemer za posledné 3 roky</t>
  </si>
  <si>
    <t>EKRK</t>
  </si>
  <si>
    <t>popis</t>
  </si>
  <si>
    <t>číslo</t>
  </si>
  <si>
    <t>pravidlo</t>
  </si>
  <si>
    <t>skutočnosť posledného roka upravená o zmenu životného minima a zmenu počtu zomretých v danom roku</t>
  </si>
  <si>
    <t>skutočnosť posledného roka upravená o zmenu životného minima a zmenu počtu narodených detí v danom roku</t>
  </si>
  <si>
    <t>skutočnosť posledného roka upravená o zmenu životného minima a zmenu počtu detí vo veku do 3 rokov</t>
  </si>
  <si>
    <t>skutočnosť posledného roka upravená o zmenu životného minima a zmenu počtu detí vo veku 1 až 15 rokov v danom roku</t>
  </si>
  <si>
    <t>skutočnosť posledného roka upravená o zmenu životného minima a zmenu počtu detí vo veku 0-25 rokov v danom roku</t>
  </si>
  <si>
    <t>skutočnosť posledného roka upravená o zmenu veľkosti populácie v produktívnom veku</t>
  </si>
  <si>
    <t>skutočnosť posledného roka upravená o zmenu úrokových sadzieb z vkladov</t>
  </si>
  <si>
    <t>skutočnosť posledného roka upravená o zmenu počtu nezamestnaných a zmenu životného minima</t>
  </si>
  <si>
    <t>skutočnosť posledného roka upravená o zmenu nominálnych miezd v súkromnom sektore v predchádzajúcom roku</t>
  </si>
  <si>
    <t>skutočnosť posledného roka upravená o zmenu nominálnych miezd v súkromnom sektore a zmenu počtu narodených detí</t>
  </si>
  <si>
    <t>skutočnosť posledného roka upravená o zmenu nominálneho HDP zníženého o kompenzácie zamestnancov</t>
  </si>
  <si>
    <t>skutočnosť posledného roka upravená o mieru inflácie a zmenu počtu poberateľov invalidných dôchodkov</t>
  </si>
  <si>
    <t>skutočnosť posledného roka upravená o mieru inflácie a medziročnú zmenu populácie vo veku 15-25 rokov</t>
  </si>
  <si>
    <t>skutočnosť posledného roka upravená o mieru inflácie a medziročnú zmenu počtu nezamestnaných</t>
  </si>
  <si>
    <t>skutočnosť posledného roka upravená o kombináciu miery inflácie a zmeny nominálnych miezd v súkromnom sektore (váhami 20:80) a medziročnú zmenu počtu populácie vo veku 6-19 rokov</t>
  </si>
  <si>
    <t>rovnomerné klesanie k nule v horizonte strednodobej časti základného scenára</t>
  </si>
  <si>
    <t>skutočnosť posledného roka upravená o vývoj reálneho HDP (3-ročný priemer rastu: t-1 až t+1)</t>
  </si>
  <si>
    <t>skutočnosť posledného roka upravená o vývoj zamestnanosti</t>
  </si>
  <si>
    <t>skutočnosť posledného roka upravená o zmenu nominálnych miezd v súkromnom sektore spred dvoch rokov a zmenu počtu produktívnej populácie</t>
  </si>
  <si>
    <t>skutočnosť posledného roka upravená o zmenu nominálnych miezd v súkromnom sektore spred dvoch rokov, zmenu počtu celkovej populácie a zmenu sadzby odvodu v skutočnosti posledného roka skutočnosti oproti legislatívou stanovenej sadzbe</t>
  </si>
  <si>
    <t>skutočnosť posledného roka upravená o zmenu čerpania prostriedkov z fondov EÚ</t>
  </si>
  <si>
    <t>skutočnosť posledného roka upravená o zmenu výdavkov na školstvo z AWG</t>
  </si>
  <si>
    <t>skutočnosť posledného roka upravená o zmenu výdavkov na dlhodobú starostlivosť z AWG</t>
  </si>
  <si>
    <t>Zo štátneho rozpočtu okrem transferu na úhradu nákladov preneseného výkonu štátnej správy</t>
  </si>
  <si>
    <t>Zo štátneho účelového fondu</t>
  </si>
  <si>
    <t>Zo zdravotných poisťovní</t>
  </si>
  <si>
    <t>Z Fondu národného majetku Slovenskej republiky</t>
  </si>
  <si>
    <t>Zo Slovenského pozemkového fondu</t>
  </si>
  <si>
    <t>Z rozpočtu obce</t>
  </si>
  <si>
    <t>Z rozpočtu vyššieho územného celku</t>
  </si>
  <si>
    <t>Zo Sociálnej poisťovne</t>
  </si>
  <si>
    <t>Zo štátnych finančných aktív</t>
  </si>
  <si>
    <t>Zo štátneho rozpočtu na úhradu nákladov preneseného výkonu štátnej správy</t>
  </si>
  <si>
    <t>Zo štátneho rozpočtu</t>
  </si>
  <si>
    <t>Príspevkovej organizácii</t>
  </si>
  <si>
    <t>Štátnemu účelovému fondu</t>
  </si>
  <si>
    <t>Sociálnej poisťovni a zdravotným poisťovniam</t>
  </si>
  <si>
    <t>Rozpočtovej organizácii</t>
  </si>
  <si>
    <t>Verejnej vysokej škole</t>
  </si>
  <si>
    <t>Obci okrem transferu na úhradu nákladov preneseného v</t>
  </si>
  <si>
    <t>Vyššiemu územnému celku okrem transferu na úhradu nákladov preneseného výkonu štátnej správy</t>
  </si>
  <si>
    <t>Fondu národného majetku Slovenskej republiky</t>
  </si>
  <si>
    <t>Ostatným subjektom verejnej správy</t>
  </si>
  <si>
    <t>Obci na úhradu nákladov preneseného výkonu štátnej správy</t>
  </si>
  <si>
    <t>Vyššiemu územnému celku na úhradu nákladov prenesenéh</t>
  </si>
  <si>
    <t>Slovenskému pozemkovému fondu</t>
  </si>
  <si>
    <t>Obci</t>
  </si>
  <si>
    <t>Vyššiemu územnému celku</t>
  </si>
  <si>
    <t xml:space="preserve"> - Kancelárii RRZ</t>
  </si>
  <si>
    <t>644001c</t>
  </si>
  <si>
    <t>výkaz kapitoly MPSVR</t>
  </si>
  <si>
    <t>daň z príjmov vyberaná zrážkou</t>
  </si>
  <si>
    <t>DPZR</t>
  </si>
  <si>
    <t>Poistné na zdravotné poistenie</t>
  </si>
  <si>
    <t>CELKOVO</t>
  </si>
  <si>
    <t>Možnosť výstupu z 2. piliera</t>
  </si>
  <si>
    <t xml:space="preserve">Časové rozlíšenie záväzkov nemocníc </t>
  </si>
  <si>
    <t>Mimoriadny odvod v bankovom sektore (vrátane DPPO)</t>
  </si>
  <si>
    <t>Osobitný odvod bankového sektora</t>
  </si>
  <si>
    <t>JAVYS (dobrovoľný príspevok)</t>
  </si>
  <si>
    <t>Korekcie k EÚ fondom</t>
  </si>
  <si>
    <t>Splácanie NFV Cargo a.s. (kapitálový transfer v 2009)</t>
  </si>
  <si>
    <t>Splátka NFV Vodohospodárska výstavba, š.p. (kapitálový transfer pred 2002)</t>
  </si>
  <si>
    <t xml:space="preserve"> - mimoriadny odvod</t>
  </si>
  <si>
    <t xml:space="preserve"> - daň z príjmov právnických osôb</t>
  </si>
  <si>
    <t xml:space="preserve"> - osobitný odvod</t>
  </si>
  <si>
    <t xml:space="preserve">Zdanenie nerozdelených ziskov spred roku 2004 </t>
  </si>
  <si>
    <t>Osobitný odvod z podnikania v regulovaných odvetviach (vrátane DPPO)</t>
  </si>
  <si>
    <t>D.75 REC</t>
  </si>
  <si>
    <t>D.99 REC</t>
  </si>
  <si>
    <t>ND</t>
  </si>
  <si>
    <t>D.99 PAY</t>
  </si>
  <si>
    <t xml:space="preserve"> - znížnenie pohľadávky voči Granvia</t>
  </si>
  <si>
    <t>637004a</t>
  </si>
  <si>
    <t>637004b</t>
  </si>
  <si>
    <t xml:space="preserve"> - zníženie pohľadávky voči Granvia</t>
  </si>
  <si>
    <t>Prevod peňažných prostriedkov zo zrušených vkladov na doručiteľa</t>
  </si>
  <si>
    <t>Výdavky na vyraďovanie jadrových zariadení (hlbinné úložisko)</t>
  </si>
  <si>
    <t>Spolu</t>
  </si>
  <si>
    <t xml:space="preserve">skutočnosť posledného roka upravená o zmenu nominálnych miezd v súkromnom sektore v predchádzajúcom roku, </t>
  </si>
  <si>
    <t>skutočnosť posledného roka upravená o zmenu počtu nezamestnaných a zmenu nominálnych miezd v súkromnom sektore v danom roku</t>
  </si>
  <si>
    <t>EU</t>
  </si>
  <si>
    <t>Štrukturálne fondy a Kohézny fond</t>
  </si>
  <si>
    <t>Poľnohospodárstvo</t>
  </si>
  <si>
    <t>EU fondy</t>
  </si>
  <si>
    <t>prevzatie údajov z hárku dáta</t>
  </si>
  <si>
    <t>data</t>
  </si>
  <si>
    <t>Národnej banke Slovenska</t>
  </si>
  <si>
    <t>Banke a pobočke zahraničnej banky</t>
  </si>
  <si>
    <t>Subjektu verejnej správy</t>
  </si>
  <si>
    <t>Ostatnému veriteľovi</t>
  </si>
  <si>
    <t>Štátnej pokladnici</t>
  </si>
  <si>
    <t>Zahraničnej finančnej inštitúcii</t>
  </si>
  <si>
    <t>Z dodávateľského úveru</t>
  </si>
  <si>
    <t>Splácanie úrokov do zahraničia</t>
  </si>
  <si>
    <t>Ostatné platby súvisiace s úverom, pôžičkou, návratnou finančnou výpomocou a finančným prenájmom</t>
  </si>
  <si>
    <t>Disážio</t>
  </si>
  <si>
    <t>Splácanie úrokov</t>
  </si>
  <si>
    <t>Daň z pridanej hodnoty</t>
  </si>
  <si>
    <t>131000a</t>
  </si>
  <si>
    <t>131000b</t>
  </si>
  <si>
    <t xml:space="preserve"> - výnos dane</t>
  </si>
  <si>
    <t xml:space="preserve"> - odvod do rozpočtu EÚ</t>
  </si>
  <si>
    <t>Úrokové náklady</t>
  </si>
  <si>
    <t>start.rok - t0</t>
  </si>
  <si>
    <t>nominálny dlh v t0</t>
  </si>
  <si>
    <t>EOSA</t>
  </si>
  <si>
    <t>I (t-1)</t>
  </si>
  <si>
    <t>PB (t)</t>
  </si>
  <si>
    <t>292027c</t>
  </si>
  <si>
    <t xml:space="preserve"> - poplatok za správu ropy a ropných produktov</t>
  </si>
  <si>
    <t xml:space="preserve"> - poplatok za správu ropy</t>
  </si>
  <si>
    <t>637008a</t>
  </si>
  <si>
    <t>637008b</t>
  </si>
  <si>
    <t xml:space="preserve"> - ropa a ropné produkty</t>
  </si>
  <si>
    <t>637011a</t>
  </si>
  <si>
    <t>637011b</t>
  </si>
  <si>
    <t>(Viacero položiek)</t>
  </si>
  <si>
    <t>suma</t>
  </si>
  <si>
    <t>typ</t>
  </si>
  <si>
    <t>D11PAY</t>
  </si>
  <si>
    <t>esa</t>
  </si>
  <si>
    <t>ekrk</t>
  </si>
  <si>
    <t>ND*DK12_ZSR - Zaradenie ÄSR do S.13</t>
  </si>
  <si>
    <t>D121PAY</t>
  </si>
  <si>
    <t>D122PAY</t>
  </si>
  <si>
    <t>D211REC</t>
  </si>
  <si>
    <t>D2121REC</t>
  </si>
  <si>
    <t>D2122REC</t>
  </si>
  <si>
    <t>D214REC</t>
  </si>
  <si>
    <t>D29PAY</t>
  </si>
  <si>
    <t>D29REC</t>
  </si>
  <si>
    <t>D319PAY</t>
  </si>
  <si>
    <t>D39PAY</t>
  </si>
  <si>
    <t>ND*DK12_ZSR - Presun prijatřch subevnciÝ platenřch ÄSR z D39PAY do D73PAY. Na strane prÝjmov ÄSR boli prijatÚ subvencie presunutÚ do D.73 (2011q1d82; 2011q2d81, 2011q3d101, 2011q4d241, 2012q1d561, 2012q2d321, 2012q3d281, 2012q4d741, 2013q1d38, 2013q2d35, 201</t>
  </si>
  <si>
    <t>D39REC</t>
  </si>
  <si>
    <t>ND*DK12_ZSR - Presun prijatřch subvenciÝ do D.73 na strane prÝjmov. Na strane vřdavkvo je potrebnÚ spravit obdobnř zßpis v DK21;</t>
  </si>
  <si>
    <t>D41PUBPAY</t>
  </si>
  <si>
    <t>D41PUBREC</t>
  </si>
  <si>
    <t>D421PUBREC</t>
  </si>
  <si>
    <t>D45REC</t>
  </si>
  <si>
    <t>D51PAY</t>
  </si>
  <si>
    <t>NA*D51PAY - odhad</t>
  </si>
  <si>
    <t>D51REC</t>
  </si>
  <si>
    <t>D59REC</t>
  </si>
  <si>
    <t>D61111REC</t>
  </si>
  <si>
    <t>D61121REC</t>
  </si>
  <si>
    <t>D61131CGREC</t>
  </si>
  <si>
    <t>D61131REC</t>
  </si>
  <si>
    <t>D61132REC</t>
  </si>
  <si>
    <t>D612REC</t>
  </si>
  <si>
    <t>D621PAY</t>
  </si>
  <si>
    <t>D624PAY</t>
  </si>
  <si>
    <t>D63121PAY</t>
  </si>
  <si>
    <t>D632PAY</t>
  </si>
  <si>
    <t>D71PAY</t>
  </si>
  <si>
    <t>D72REC</t>
  </si>
  <si>
    <t>D73PAY</t>
  </si>
  <si>
    <t>D74PAY</t>
  </si>
  <si>
    <t>D74REC</t>
  </si>
  <si>
    <t>D75PAY</t>
  </si>
  <si>
    <t>D75REC</t>
  </si>
  <si>
    <t>NA*Vřpo?et D9REC</t>
  </si>
  <si>
    <t>ND*Vřpo?et D9REC</t>
  </si>
  <si>
    <t>D91REC</t>
  </si>
  <si>
    <t>D92PAY</t>
  </si>
  <si>
    <t>D92REC</t>
  </si>
  <si>
    <t>D99PAY</t>
  </si>
  <si>
    <t>D99REC</t>
  </si>
  <si>
    <t>K21A</t>
  </si>
  <si>
    <t>K21D</t>
  </si>
  <si>
    <t>K22A</t>
  </si>
  <si>
    <t>K22D</t>
  </si>
  <si>
    <t>P11</t>
  </si>
  <si>
    <t>P12</t>
  </si>
  <si>
    <t>NA*P12 - odhad</t>
  </si>
  <si>
    <t>P131</t>
  </si>
  <si>
    <t>P2</t>
  </si>
  <si>
    <t>P5111</t>
  </si>
  <si>
    <t>P5112</t>
  </si>
  <si>
    <t>P5113</t>
  </si>
  <si>
    <t>P5121</t>
  </si>
  <si>
    <t>P5132</t>
  </si>
  <si>
    <t>P52A</t>
  </si>
  <si>
    <t>P52D</t>
  </si>
  <si>
    <t>P53A</t>
  </si>
  <si>
    <t>Dane z príjmov a kapitálového majetku</t>
  </si>
  <si>
    <t>Daň z príjmov fyzickej osoby</t>
  </si>
  <si>
    <t>Zo závislej činnosti</t>
  </si>
  <si>
    <t>Z podnikania, z inej samostatnej zárobkovej činnosti a z prenájmu</t>
  </si>
  <si>
    <t>Daň z príjmov právnickej osoby</t>
  </si>
  <si>
    <t>Prevod podielu dane z príjmov právnických osôb na osobitný účel</t>
  </si>
  <si>
    <t>Dane z majetku</t>
  </si>
  <si>
    <t>Daň z nehnuteľnosti</t>
  </si>
  <si>
    <t>Dane z finančných a kapitálových transakcií</t>
  </si>
  <si>
    <t>Dane za tovary a služby</t>
  </si>
  <si>
    <t>Spotrebné dane</t>
  </si>
  <si>
    <t>Dane za špecifické služby</t>
  </si>
  <si>
    <t>Dane z používania tovarov a z povolenia na výkon činnosti</t>
  </si>
  <si>
    <t>Z úhrad za uskladňovanie plynov alebo kvapalín</t>
  </si>
  <si>
    <t>Iné dane za tovary a služby</t>
  </si>
  <si>
    <t>Úhrada za služby verejnosti poskytované Slovenskou televíziou a Slovenským rozhlasom</t>
  </si>
  <si>
    <t>Zo zrušených miestnych poplatkov</t>
  </si>
  <si>
    <t>Dane z medzinárodného obchodu a transakcií</t>
  </si>
  <si>
    <t>Poistné na nemocenské poistenie</t>
  </si>
  <si>
    <t>Zamestnanci</t>
  </si>
  <si>
    <t>Samostatne zárobkovo činné osoby</t>
  </si>
  <si>
    <t>Zamestnávatelia</t>
  </si>
  <si>
    <t>Dlžné poistné</t>
  </si>
  <si>
    <t>Dobrovoľní platitelia</t>
  </si>
  <si>
    <t>Poistné na starobné poistenie</t>
  </si>
  <si>
    <t>Štát</t>
  </si>
  <si>
    <t>Poistné na úrazové poistenie</t>
  </si>
  <si>
    <t>Iní platitelia</t>
  </si>
  <si>
    <t>Prídel z prerozdeľovania poistného na verejné zdravotné poistenie</t>
  </si>
  <si>
    <t>Poistné na poistenie v nezamestnanosti</t>
  </si>
  <si>
    <t>Poistné na garančné poistenie</t>
  </si>
  <si>
    <t>Poistné do rezervného fondu solidarity</t>
  </si>
  <si>
    <t>Poistné na invalidné poistenie</t>
  </si>
  <si>
    <t>Sankcie uložené v daňovom konaní a sankcie súvisiace s úhradami za služby verejnosti poskytované Slovenskou televíziou a Slovenským rozhlasom</t>
  </si>
  <si>
    <t>Iné dane</t>
  </si>
  <si>
    <t>Nedaňové príjmy</t>
  </si>
  <si>
    <t>Príjmy z podnikania a z vlastníctva majetku</t>
  </si>
  <si>
    <t>Príjmy z podnikania</t>
  </si>
  <si>
    <t>Príjmy z vlastníctva</t>
  </si>
  <si>
    <t>Administratívne poplatky a iné poplatky a platby</t>
  </si>
  <si>
    <t>Administratívne poplatky</t>
  </si>
  <si>
    <t>Za materské školy a školské zariadenia</t>
  </si>
  <si>
    <t>Za prebytočný hnuteľný majetok</t>
  </si>
  <si>
    <t>Ďalšie administratívne poplatky a iné poplatky a platby</t>
  </si>
  <si>
    <t>Kapitálové príjmy</t>
  </si>
  <si>
    <t>Príjem z predaja kapitálových aktív</t>
  </si>
  <si>
    <t>Príjem z predaja hmotných rezerv a mobilizačných rezerv</t>
  </si>
  <si>
    <t>Úroky z tuzemských úverov, pôžičiek, návratných finančných výpomocí, vkladov a ážio</t>
  </si>
  <si>
    <t>Úroky zo zahraničných úverov, pôžičiek, návratných finančných výpomocí a vkladov</t>
  </si>
  <si>
    <t>Iné nedaňové príjmy</t>
  </si>
  <si>
    <t>Vrátené neoprávnene použité alebo zadržané finančné prostriedky</t>
  </si>
  <si>
    <t>Z náhrad z poistného plnenia</t>
  </si>
  <si>
    <t>Granty a transfery</t>
  </si>
  <si>
    <t>Tuzemské bežné granty a transfery</t>
  </si>
  <si>
    <t>Transfery subjektom nezaradeným vo verejnej správe v registri organizácií vedenom Štatistickým úradom Slovenskej republiky</t>
  </si>
  <si>
    <t>Tuzemské kapitálové granty a transfery</t>
  </si>
  <si>
    <t>Zahraničné granty</t>
  </si>
  <si>
    <t>Kapitálové</t>
  </si>
  <si>
    <t>Zahraničné transfery</t>
  </si>
  <si>
    <t>Bežné výdavky</t>
  </si>
  <si>
    <t>Mzdy, platy, služobné príjmy a ostatné osobné vyrovnania</t>
  </si>
  <si>
    <t>Poistné a príspevok do poisťovní</t>
  </si>
  <si>
    <t>Poistné do Spoločnej zdravotnej poisťovne</t>
  </si>
  <si>
    <t>Poistné do Sociálnej poisťovne</t>
  </si>
  <si>
    <t>Poistné na osobitné účty</t>
  </si>
  <si>
    <t>Tovary a služby</t>
  </si>
  <si>
    <t>Energie, voda a komunikácie</t>
  </si>
  <si>
    <t>Materiál</t>
  </si>
  <si>
    <t>Knihy, časopisy, noviny , učebnice, učebné pomôcky a kompenzačné pomôcky</t>
  </si>
  <si>
    <t>Poistenie</t>
  </si>
  <si>
    <t>Náhrada nákladov hospodárskej mobilizácie a intervenč</t>
  </si>
  <si>
    <t>Odmeny a príspevky</t>
  </si>
  <si>
    <t>Bežné transfery</t>
  </si>
  <si>
    <t>Transfery jednotlivcom a neziskovým právnickým osobám</t>
  </si>
  <si>
    <t>Neziskovej organizácii poskytujúcej všeobecne prospeš</t>
  </si>
  <si>
    <t>Na aktívne opatrenia trhu práce</t>
  </si>
  <si>
    <t>Transfery nefinančným subjektom a transfery príspevkovým organizáciám nezaradeným vo verejnej správe v registri organizácií vedenom Štatistickým úradom Slovenskej republiky</t>
  </si>
  <si>
    <t>Fyzickej osobe – podnikateľovi</t>
  </si>
  <si>
    <t>Príspevkovej organizácii nezaradenej vo verejnej správe v registri organizácií vedenom Štatistickým úradom Slovenskej republiky</t>
  </si>
  <si>
    <t>Náklady spojené s ručením Fondu národného majetku Slovenskej republiky za sprivatizovaný majetok</t>
  </si>
  <si>
    <t>Transfery do tuzemských finančných inštitúcií</t>
  </si>
  <si>
    <t>Transfery do zahraničia</t>
  </si>
  <si>
    <t>Odvody do rozpočtu Európskej únie</t>
  </si>
  <si>
    <t>Splácanie úrokov v tuzemsku</t>
  </si>
  <si>
    <t>Kapitálové výdavky</t>
  </si>
  <si>
    <t>Obstarávanie kapitálových aktív</t>
  </si>
  <si>
    <t>Nákup pozemkov a nehmotných aktív</t>
  </si>
  <si>
    <t>Ostatných (stará podpoložka)</t>
  </si>
  <si>
    <t>Nákup budov, objektov alebo ich častí</t>
  </si>
  <si>
    <t>Nákladných vozidiel, ťahačov, prípojných vozidiel, dopravných pracovných strojov, traktorov</t>
  </si>
  <si>
    <t>Kapitálové transfery</t>
  </si>
  <si>
    <t>Cirkvi</t>
  </si>
  <si>
    <t>Transfery finančným inštitúciám</t>
  </si>
  <si>
    <t>Príjmy z transakcií s finančnými aktívami a finančnými pasívami</t>
  </si>
  <si>
    <t>Zo splátok tuzemských úverov, pôžičiek a návratných finančných výpomocí (len istín)</t>
  </si>
  <si>
    <t>Od úverovaných subjektov</t>
  </si>
  <si>
    <t>Od verejnoprávnej inštitúcie a zdravotnej poisťovne (vrátane príjmov zo splácania vyplatených finančných náhrad z garančného fondu)</t>
  </si>
  <si>
    <t>Od štátneho účelového fondu</t>
  </si>
  <si>
    <t>Od obce</t>
  </si>
  <si>
    <t>Od vyššieho územného celku</t>
  </si>
  <si>
    <t>Od fyzickej osoby (napr. príjmy zo splácania sociálnej pôžičky - na dobeh)</t>
  </si>
  <si>
    <t>Od neziskovej právnickej osoby</t>
  </si>
  <si>
    <t>Od nefinančného subjektu</t>
  </si>
  <si>
    <t>Od ostatných úverovaných subjektov</t>
  </si>
  <si>
    <t>Od Ministerstva financií Slovenskej republiky</t>
  </si>
  <si>
    <t>Zo splátok zahraničných úverov, pôžičiek a návratných finančných výpomocí (len istín)</t>
  </si>
  <si>
    <t>Od ostatných subjektov</t>
  </si>
  <si>
    <t>Z predaja majetkových účastí</t>
  </si>
  <si>
    <t>Právnickej osoby</t>
  </si>
  <si>
    <t>Právnickej osoby so zahraničnou účasťou</t>
  </si>
  <si>
    <t>Z predaja privatizovaného majetku Fondu národného majetku Slovenskej republiky a Slovenského pozemkového fondu</t>
  </si>
  <si>
    <t>Zo zmlúv uzatvorených v minulých rokoch</t>
  </si>
  <si>
    <t>Zo zmlúv uzatvorených v bežnom roku</t>
  </si>
  <si>
    <t>Z ostatných finančných operácií</t>
  </si>
  <si>
    <t>Z realizácie ostatného finančného majetku</t>
  </si>
  <si>
    <t>Z konkurzu, likvidácie a exekúcie</t>
  </si>
  <si>
    <t>Zostatok prostriedkov z predchádzajúcich rokov</t>
  </si>
  <si>
    <t>Prevod prostriedkov z peňažných fondov</t>
  </si>
  <si>
    <t>Z rezervného fondu obce a z rezervného fondu vyššieho územného celku</t>
  </si>
  <si>
    <t>Z ostatných fondov obce a z ostatných fondov vyššieho územného celku</t>
  </si>
  <si>
    <t>Z peňažných fondov subjektu iného ako obec a vyšší územný celok</t>
  </si>
  <si>
    <t>Odplata za postúpenú pohľadávku</t>
  </si>
  <si>
    <t>Iné príjmové finančné operácie</t>
  </si>
  <si>
    <t>Vklady do základného imania</t>
  </si>
  <si>
    <t>Iné príjmové finančné operácie okrem vkladov do základného imania</t>
  </si>
  <si>
    <t>Prijaté úvery, pôžičky a návratné finančné výpomoci</t>
  </si>
  <si>
    <t>Tuzemské úvery, pôžičky a návratné finančné výpomoci</t>
  </si>
  <si>
    <t>Z dlhopisov</t>
  </si>
  <si>
    <t>Dlhodobé</t>
  </si>
  <si>
    <t>Krátkodobé</t>
  </si>
  <si>
    <t>Ostatné úvery, pôžičky a návratné finančné výpomoci</t>
  </si>
  <si>
    <t>Finančné operácie medzi Štátnou pokladnicou a Ministerstvom financií Slovenskej republiky</t>
  </si>
  <si>
    <t>Zahraničné úvery, pôžičky a návratné finančné výpomoci</t>
  </si>
  <si>
    <t>Od medzinárodných organizácií</t>
  </si>
  <si>
    <t>Od zahraničných vlád</t>
  </si>
  <si>
    <t>Od zahraničných finančných inštitúcií</t>
  </si>
  <si>
    <t>Dodávateľský úver</t>
  </si>
  <si>
    <t>Krátkodobý</t>
  </si>
  <si>
    <t>Dlhodobý</t>
  </si>
  <si>
    <t>Zo štátnych pokladničných poukážok</t>
  </si>
  <si>
    <t>Ďalšie zahraničné úvery, pôžičky a návratné finančné výpomoci</t>
  </si>
  <si>
    <t>Výdavky z transakcií s finančnými aktívami a finančnými pasívami</t>
  </si>
  <si>
    <t>Úvery, pôžičky, návratné finančné výpomoci, účasť na majetku a ostatné výdavkové operácie</t>
  </si>
  <si>
    <t>Úvery, pôžičky a návratné finančné výpomoci v rámci verejnej správy</t>
  </si>
  <si>
    <t>Ministerstvu financií Slovenskej republiky</t>
  </si>
  <si>
    <t>Úvery, pôžičky a návratné finančné výpomoci jednotlivcom a neziskovým právnickým osobám</t>
  </si>
  <si>
    <t>Neziskovej právnickej osobe</t>
  </si>
  <si>
    <t>Úvery, pôžičky a návratné finančné výpomoci nefinančným subjektom</t>
  </si>
  <si>
    <t>Z garančného poistenia</t>
  </si>
  <si>
    <t>Účasť na majetku</t>
  </si>
  <si>
    <t>V tuzemsku</t>
  </si>
  <si>
    <t>V zahraničí</t>
  </si>
  <si>
    <t>Poskytovanie úverov, pôžičiek a návratných finančných výpomocí do zahraničia</t>
  </si>
  <si>
    <t>Úvery, pôžičky a návratné finančné výpomoci finančným inštitúciám</t>
  </si>
  <si>
    <t>Ostatné výdavkové finančné operácie</t>
  </si>
  <si>
    <t>Dlhové cenné papiere</t>
  </si>
  <si>
    <t>Ostatné výdavkové finančné operácie okrem nákupu dlhových cenných papierov</t>
  </si>
  <si>
    <t>Splácanie istín</t>
  </si>
  <si>
    <t>Splácanie tuzemskej istiny</t>
  </si>
  <si>
    <t>Z dlhopisov krátkodobých</t>
  </si>
  <si>
    <t>Z dlhopisov dlhodobých</t>
  </si>
  <si>
    <t>Z bankových úverov krátkodobých</t>
  </si>
  <si>
    <t>Z bankových úverov dlhodobých</t>
  </si>
  <si>
    <t>Z ostatných úverov, pôžičiek a návratných finančných výpomocí krátkodobých</t>
  </si>
  <si>
    <t>Z ostatných úverov, pôžičiek a návratných finančných výpomocí dlhodobých</t>
  </si>
  <si>
    <t>Z finančných operácií medzi Štátnou pokladnicou a Ministerstvom financií Slovenskej republiky</t>
  </si>
  <si>
    <t>Splácanie istiny krátkodobého úveru, pôžičky a návratnej finančnej výpomoci do zahraničia</t>
  </si>
  <si>
    <t>Ďalších zahraničných úverov</t>
  </si>
  <si>
    <t>Dodávateľských úverov</t>
  </si>
  <si>
    <t>Splácanie istiny dlhodobého úveru, pôžičky a návratnej finančnej výpomoci do zahraničia</t>
  </si>
  <si>
    <t>Splácanie finančného prenájmu</t>
  </si>
  <si>
    <t>konanie volieb do NRSR</t>
  </si>
  <si>
    <t>mzdy, cpi</t>
  </si>
  <si>
    <t>mzdy-2,prodpop</t>
  </si>
  <si>
    <t>mzdy-2,pop,sadz</t>
  </si>
  <si>
    <t>priemer</t>
  </si>
  <si>
    <t>rovnom k 0</t>
  </si>
  <si>
    <t>cpi, pop</t>
  </si>
  <si>
    <t>normativ</t>
  </si>
  <si>
    <t>cpi, nez</t>
  </si>
  <si>
    <t>cpi, pop15-25</t>
  </si>
  <si>
    <t>cpi,mzd,krrz</t>
  </si>
  <si>
    <t>cpi,inval</t>
  </si>
  <si>
    <t>rhdp,3y avg</t>
  </si>
  <si>
    <t>zam</t>
  </si>
  <si>
    <t>nhdp-komp</t>
  </si>
  <si>
    <t>nmzd,nar deti</t>
  </si>
  <si>
    <t>nmzd-1</t>
  </si>
  <si>
    <t>nmzd,nez</t>
  </si>
  <si>
    <t>zm,nez</t>
  </si>
  <si>
    <t>us vkl</t>
  </si>
  <si>
    <t>pop prod</t>
  </si>
  <si>
    <t>skol AWG</t>
  </si>
  <si>
    <t>dds AWG</t>
  </si>
  <si>
    <t>zm,det 0-25</t>
  </si>
  <si>
    <t>zm,det 1-15</t>
  </si>
  <si>
    <t>zm, det 0-3</t>
  </si>
  <si>
    <t>zm, nar det</t>
  </si>
  <si>
    <t>zm, zom</t>
  </si>
  <si>
    <t>cpi,det 3-25</t>
  </si>
  <si>
    <t>Nominálne HDP - ZS (do 2017 VpMP, od 2018 rasty AWG)</t>
  </si>
  <si>
    <t>Politickej strane alebo hnutiu</t>
  </si>
  <si>
    <t>642010a</t>
  </si>
  <si>
    <t xml:space="preserve"> - voľby</t>
  </si>
  <si>
    <t>642010b</t>
  </si>
  <si>
    <t xml:space="preserve"> - ostatné roky</t>
  </si>
  <si>
    <t>zohľadnenie roku konania volieb, rastu miezd v súkromnom sektore a populácie vo veku nad 18 rokov</t>
  </si>
  <si>
    <t>Výdavky na dlhodobú starostlivosť (AWG)</t>
  </si>
  <si>
    <t>Nominálne HDP (AWG)</t>
  </si>
  <si>
    <t>Výdavky na školstvo (AWG)</t>
  </si>
  <si>
    <t>Zmena pohľadávky</t>
  </si>
  <si>
    <t>Štrukturálne fondy a Kohézny fond - 1. PO</t>
  </si>
  <si>
    <t>Štrukturálne fondy a Kohézny fond - 2. PO</t>
  </si>
  <si>
    <t>miera spolufin</t>
  </si>
  <si>
    <t>Spolufinancovanie</t>
  </si>
  <si>
    <t xml:space="preserve"> - úroky dlhopisy</t>
  </si>
  <si>
    <t xml:space="preserve"> - EFSF, FISIM</t>
  </si>
  <si>
    <t>úrokové náklady - EFSF</t>
  </si>
  <si>
    <t>úrokové náklady - FISIM</t>
  </si>
  <si>
    <t>Príjmy</t>
  </si>
  <si>
    <t xml:space="preserve"> - policajti</t>
  </si>
  <si>
    <t xml:space="preserve"> - vojaci</t>
  </si>
  <si>
    <t>Výdavky</t>
  </si>
  <si>
    <t>Saldo</t>
  </si>
  <si>
    <t>Sociálne poistenie - vojaci + policajti (výsluhové)</t>
  </si>
  <si>
    <t>Sociálne poistenie - vojaci, policajti</t>
  </si>
  <si>
    <t xml:space="preserve"> - medziročná zmena</t>
  </si>
  <si>
    <t>Príjmy SP EAO+dlžné</t>
  </si>
  <si>
    <t>151001, 151007</t>
  </si>
  <si>
    <t>(prázdne)</t>
  </si>
  <si>
    <t>ND*Poh?adßvky</t>
  </si>
  <si>
    <t>ND*Zßvńzky</t>
  </si>
  <si>
    <t>ND*DK21 - FISIM</t>
  </si>
  <si>
    <t>999*konsD4</t>
  </si>
  <si>
    <t>ND*Akrualizßcia poistnÚho</t>
  </si>
  <si>
    <t>999*konsD7</t>
  </si>
  <si>
    <t>NA*DK21 - KT patriace do D.9 platenÚ S.2 ide o polo×ky (ekrk 721006 ciastka 233 250,- tis Eur - obce; ekrk 721007 ciastka 38 068,- ti. Eur V┌C)</t>
  </si>
  <si>
    <t>999*konsD9</t>
  </si>
  <si>
    <t>ND*DK12_ZSR - Zaokr˙hlovanie</t>
  </si>
  <si>
    <t>ND*DK21 - Zaokruhlovanie</t>
  </si>
  <si>
    <t>ND*DK83 - zaokruhlovanie</t>
  </si>
  <si>
    <t>Saldo VS</t>
  </si>
  <si>
    <t>2013 OO</t>
  </si>
  <si>
    <t>D.51 REC</t>
  </si>
  <si>
    <t>D.29 REC</t>
  </si>
  <si>
    <t>D1PAY</t>
  </si>
  <si>
    <t>D2REC</t>
  </si>
  <si>
    <t>D3PAY</t>
  </si>
  <si>
    <t>D3REC</t>
  </si>
  <si>
    <t>D4PUBREC</t>
  </si>
  <si>
    <t>D5REC</t>
  </si>
  <si>
    <t>D611REC</t>
  </si>
  <si>
    <t>D62PAY</t>
  </si>
  <si>
    <t>D7PAY</t>
  </si>
  <si>
    <t>D7REC</t>
  </si>
  <si>
    <t>D9REC</t>
  </si>
  <si>
    <t>D9PAY</t>
  </si>
  <si>
    <t>P11+P12+P131</t>
  </si>
  <si>
    <t>P51</t>
  </si>
  <si>
    <t>K2+P52+P53</t>
  </si>
  <si>
    <t>Výdavky VS</t>
  </si>
  <si>
    <t>Príjmy VS</t>
  </si>
  <si>
    <t>Sociálne a zdravotné odvody</t>
  </si>
  <si>
    <t xml:space="preserve"> - príspevky NJF</t>
  </si>
  <si>
    <t xml:space="preserve"> - príjmy z majetku</t>
  </si>
  <si>
    <t xml:space="preserve"> - ostatné nedaňové príjmy</t>
  </si>
  <si>
    <t xml:space="preserve"> - Sociálne poistenie ozbrojených zložiek</t>
  </si>
  <si>
    <t xml:space="preserve"> - Ostatné</t>
  </si>
  <si>
    <t>Primárne výdavky</t>
  </si>
  <si>
    <t>Fixné</t>
  </si>
  <si>
    <t>Výdavky citlivé na demografiu</t>
  </si>
  <si>
    <t xml:space="preserve"> - Sociálne poistenie (I. pilier)</t>
  </si>
  <si>
    <t xml:space="preserve"> - dôchodkové dávky (I. pilier)</t>
  </si>
  <si>
    <t xml:space="preserve"> - ozbrojené zložky</t>
  </si>
  <si>
    <t xml:space="preserve"> - zdravotná starostlivosť</t>
  </si>
  <si>
    <t xml:space="preserve"> - dlhodobá starostlivosť</t>
  </si>
  <si>
    <t xml:space="preserve"> - školstvo</t>
  </si>
  <si>
    <t xml:space="preserve"> - dávky v nezamestnanosti</t>
  </si>
  <si>
    <t>Náklady na ukončenie JE</t>
  </si>
  <si>
    <t>Úroky</t>
  </si>
  <si>
    <t>Dlh VS</t>
  </si>
  <si>
    <t>Výpadok do II. piliera</t>
  </si>
  <si>
    <t>Príjmy sociálneho poistenia (celý balík - I. a II. pilier)</t>
  </si>
  <si>
    <t>Výdavky indexované inak ako HDP</t>
  </si>
  <si>
    <t xml:space="preserve"> - bežné transfery politickým stranám (voľby)</t>
  </si>
  <si>
    <t>6. Príjmy z majetku</t>
  </si>
  <si>
    <t>Príjmy z majetku (AWG)</t>
  </si>
  <si>
    <t>Príjmy z majetku - základný scenár</t>
  </si>
  <si>
    <t xml:space="preserve"> - poberateľom dôchodkov</t>
  </si>
  <si>
    <t>Ostatné predpoklady</t>
  </si>
  <si>
    <t>2. Výdavky na zdravotníctvo</t>
  </si>
  <si>
    <t>Spolu (výstup z modelu RRZ)</t>
  </si>
  <si>
    <t>jednotky</t>
  </si>
  <si>
    <t>3. Výdavky na dlhodobú starostlivosť</t>
  </si>
  <si>
    <t>4. Výdavky na vzdelávanie</t>
  </si>
  <si>
    <t>5. Výdavky na nezamestnanosť</t>
  </si>
  <si>
    <t>Výdavky spojené s nezamestnanosťou (AWG)</t>
  </si>
  <si>
    <t>Výnos 10-ročných štátnych dlhopisov (do 2017 VpMP, od 2018 sadzby AWG)</t>
  </si>
  <si>
    <t>Príjmy sociálneho poistenia ozbr. zložiek - EAO+dlžné poistné</t>
  </si>
  <si>
    <t>Na dôchodkové dávky z poistenia ozbr. Zložiek</t>
  </si>
  <si>
    <t>1b. Dôchodkový systém ozbrojených zložiek (výstupy z modelu RRZ)</t>
  </si>
  <si>
    <t>1a. Univerzálny dôchodkový systém (výstupy z modelu RRZ)</t>
  </si>
  <si>
    <t>Schéma vyraďovania jadrových zariadení (projekcie MH SR)</t>
  </si>
  <si>
    <t>PPP projekt (projekcie MDVRR SR)</t>
  </si>
  <si>
    <t>Sadzba 10-ročných dlhopisov</t>
  </si>
  <si>
    <t>Implicitná úroková sadzba</t>
  </si>
  <si>
    <t>VSTUPNÉ ÚDAJE</t>
  </si>
  <si>
    <t>Úroveň hrubého dlhu VS (mil. eur)</t>
  </si>
  <si>
    <t>Zmena hrubého dlhu VS (mil. eur)</t>
  </si>
  <si>
    <t>PROJEKCIA</t>
  </si>
  <si>
    <t>Úrokové miery</t>
  </si>
  <si>
    <t>Hrubý dlh</t>
  </si>
  <si>
    <t>POMOCNÉ VÝPOČTY</t>
  </si>
  <si>
    <t>Štruktúra hrubého dlhu VS (tvorený výlučne dlhopismi, predpoklad 10-ročnej splatnosti)</t>
  </si>
  <si>
    <t>spolufin.</t>
  </si>
  <si>
    <t>odhad čerpania</t>
  </si>
  <si>
    <t>Alokácia fondov EÚ (mil. eur)</t>
  </si>
  <si>
    <t>n/a</t>
  </si>
  <si>
    <t>Rybné hospodárstvo</t>
  </si>
  <si>
    <t>3. programové obdobie 2014-2020</t>
  </si>
  <si>
    <t>2. programové obdobie 2007-2013</t>
  </si>
  <si>
    <t>Projekcia čerpania EU fondov (mil. eur)</t>
  </si>
  <si>
    <t>Projekcia výdavkov na spolufinancovanie (mil. eur)</t>
  </si>
  <si>
    <t>Štrukturálne fondy a Kohézny fond - 3. PO</t>
  </si>
  <si>
    <t>Poľnohospodárstvo (všetky PO)</t>
  </si>
  <si>
    <t>Poľnohospodárstvo (bez priamych platieb)</t>
  </si>
  <si>
    <t>odhad RRZ</t>
  </si>
  <si>
    <t>ŠÚSR, ESA95</t>
  </si>
  <si>
    <t>VpDP</t>
  </si>
  <si>
    <t>ŠÚSR, DK 7_NJF</t>
  </si>
  <si>
    <t>ŠÚSR, DK 7_NJF+312001 DK7_NJF</t>
  </si>
  <si>
    <t>MFSR, sekcia rozpočtovej politiky</t>
  </si>
  <si>
    <t>kniha rozpočtu verejnej správy</t>
  </si>
  <si>
    <t>výstup z modelu RRZ</t>
  </si>
  <si>
    <t>ŠÚSR, DR 3</t>
  </si>
  <si>
    <t xml:space="preserve">ŠÚSR, DK 7_NJF </t>
  </si>
  <si>
    <t>RRZ</t>
  </si>
  <si>
    <t>Názov</t>
  </si>
  <si>
    <t>Pravidlo</t>
  </si>
  <si>
    <t>Časť 1</t>
  </si>
  <si>
    <t>Časť 2</t>
  </si>
  <si>
    <t>Časť 3</t>
  </si>
  <si>
    <t>Časť 4</t>
  </si>
  <si>
    <t>Časť 5</t>
  </si>
  <si>
    <t>Časť 6</t>
  </si>
  <si>
    <t>Časť 7</t>
  </si>
  <si>
    <t>Časť 8</t>
  </si>
  <si>
    <t>Úpravy bilancie príjmov a výdavkov za rok 2013</t>
  </si>
  <si>
    <t>1. Pôvodné bilancie</t>
  </si>
  <si>
    <t>2. Priradenie EKRK kódov všetkým transakciám</t>
  </si>
  <si>
    <t>3. Zlúčenie rovnakých podpoložiek</t>
  </si>
  <si>
    <t>4. Vylúčenie jednorazových vplyvov</t>
  </si>
  <si>
    <t>Definovanie pravidiel pre strednodobú časť základného scenára</t>
  </si>
  <si>
    <t>Projekcia strednodobej časti základného scenára</t>
  </si>
  <si>
    <t>2013 U</t>
  </si>
  <si>
    <t xml:space="preserve">skutočnosť posledného roka upravená o zmenu mzdovej bázy </t>
  </si>
  <si>
    <t xml:space="preserve">priemer za posledné 3 roky, </t>
  </si>
  <si>
    <t>skutočnosť posledného roka upravená o zmenu úrokových sadzieb z vkladov,</t>
  </si>
  <si>
    <t xml:space="preserve">
skutočnosť posledného roka upravená o kombináciu miery inflácie a rastu miezd v súkromnom sektore, 
</t>
  </si>
  <si>
    <t xml:space="preserve">skutočnosť posledného roka upravená o mieru inflácie, </t>
  </si>
  <si>
    <t xml:space="preserve">skutočnosť posledného roka upravenú o zmenu nominálnej mzdy v súkromnom sektore, 
</t>
  </si>
  <si>
    <t>skutočnosť posledného roka upravená o vývoj zamestnanosti,</t>
  </si>
  <si>
    <t>Základný scenár vývoja verejných financií (ESA95, tis. eur)</t>
  </si>
  <si>
    <t>Základný scenár vývoja verejných financií (ESA95, % HDP)</t>
  </si>
  <si>
    <t>Pozn.: 2013 U - skutočnosť upravená o jednorazové vplyvy</t>
  </si>
  <si>
    <t>Strednodobá časť základného scenára (ESA95, tis. eur)</t>
  </si>
  <si>
    <t>Strednodobá časť základného scenára (ESA95, % HDP)</t>
  </si>
  <si>
    <t>Dane z produkcie a dovozu</t>
  </si>
  <si>
    <t>Bežné dane z dôchodkov, majetku</t>
  </si>
  <si>
    <t>Skutočné príspevky na sociálne zabezpečenie</t>
  </si>
  <si>
    <t>Imputované príspevky na sociálne zabezpečenie</t>
  </si>
  <si>
    <t>Tržby</t>
  </si>
  <si>
    <t>Dôchodky z majetku</t>
  </si>
  <si>
    <t>Subvencie</t>
  </si>
  <si>
    <t>Kompenzácie zamestnancov</t>
  </si>
  <si>
    <t>Medzispotreba</t>
  </si>
  <si>
    <t>Sociálne dávky okrem naturálnych soc. transferov</t>
  </si>
  <si>
    <t>Naturálne sociálne transfery (zdravotnícke zariadenia)</t>
  </si>
  <si>
    <t>Ostatné bežné transfery</t>
  </si>
  <si>
    <t>Tvorba hrubého fixného kapitálu</t>
  </si>
  <si>
    <t>Zmena stavu zásob, nadobudnutie mínus úbytok cenností a nadobudnutie mínus úbytok nefinančných neprodukovaných aktív</t>
  </si>
  <si>
    <t>TR</t>
  </si>
  <si>
    <t>TE</t>
  </si>
  <si>
    <t>B.9</t>
  </si>
  <si>
    <t>Ostatné dane z produkcie</t>
  </si>
  <si>
    <t>Transfery individuálnych netrhových tovarov a služieb</t>
  </si>
  <si>
    <t>Základný scenár z roku 2013</t>
  </si>
  <si>
    <t>Súbor obsahuje podrobný popis základného scenára, ktorý sa zostavoval z východiskového roku 2013. Pre lepšiu prehľadnosť sú jednotlivé hárky rozdelené do viacerých farebne rozlíšených častí:</t>
  </si>
  <si>
    <r>
      <rPr>
        <b/>
        <sz val="10"/>
        <color theme="1"/>
        <rFont val="Constantia"/>
        <family val="1"/>
        <charset val="238"/>
      </rPr>
      <t>1. modrou podfarbené hárky</t>
    </r>
    <r>
      <rPr>
        <sz val="10"/>
        <color theme="1"/>
        <rFont val="Constantia"/>
        <family val="1"/>
        <charset val="238"/>
      </rPr>
      <t xml:space="preserve"> obsahujú výstupy. Prvý hárok (</t>
    </r>
    <r>
      <rPr>
        <i/>
        <sz val="10"/>
        <color theme="1"/>
        <rFont val="Constantia"/>
        <family val="1"/>
        <charset val="238"/>
      </rPr>
      <t>vystup_ESA95_SDcast</t>
    </r>
    <r>
      <rPr>
        <sz val="10"/>
        <color theme="1"/>
        <rFont val="Constantia"/>
        <family val="1"/>
        <charset val="238"/>
      </rPr>
      <t>) obsahuje strednodobú časť základného scenára rozdelenú podľa hlavných príjmových a výdavkových kategórií klasifikácie ESA95. Ide o bilanciu príjmov a výdavkov verejnej správy za roky 2013 až 2017, pričom východiskový rok 2013 je očistený o jednorazové vplyvy.
Druhý hárok (</t>
    </r>
    <r>
      <rPr>
        <i/>
        <sz val="10"/>
        <color theme="1"/>
        <rFont val="Constantia"/>
        <family val="1"/>
        <charset val="238"/>
      </rPr>
      <t>vystup_ZS2013</t>
    </r>
    <r>
      <rPr>
        <sz val="10"/>
        <color theme="1"/>
        <rFont val="Constantia"/>
        <family val="1"/>
        <charset val="238"/>
      </rPr>
      <t>) obsahuje kompletný základný scenár do roku 2063. Bilancia príjmov a výdavkov verejnej správy je zobrazená v členení podľa položiek, ktorých vývoj je dôležitý najmä z dlhodobého hľadiska. Táto bilancia bola prezentovaná aj v Správe o dlhodobej udržateľnosti verejných financií z apríla 2014.</t>
    </r>
  </si>
  <si>
    <r>
      <rPr>
        <b/>
        <sz val="10"/>
        <color theme="1"/>
        <rFont val="Constantia"/>
        <family val="1"/>
        <charset val="238"/>
      </rPr>
      <t>2. zelenou podfarbené hárky</t>
    </r>
    <r>
      <rPr>
        <sz val="10"/>
        <color theme="1"/>
        <rFont val="Constantia"/>
        <family val="1"/>
        <charset val="238"/>
      </rPr>
      <t xml:space="preserve"> obsahujú vstupy pre projekcie v základnom scenári. Hárok </t>
    </r>
    <r>
      <rPr>
        <i/>
        <sz val="10"/>
        <color theme="1"/>
        <rFont val="Constantia"/>
        <family val="1"/>
        <charset val="238"/>
      </rPr>
      <t>SD_prognozy</t>
    </r>
    <r>
      <rPr>
        <sz val="10"/>
        <color theme="1"/>
        <rFont val="Constantia"/>
        <family val="1"/>
        <charset val="238"/>
      </rPr>
      <t xml:space="preserve"> obsahuje vstupy pre strednodobú časť základného scenára, ako napríklad prognózu Výboru pre makroekonomické prognózy, Výboru pre daňové prognózy. Jeho súčasťou sú aj demografické projekcie a zoznam jednorazových vplyvov. 
Hárok </t>
    </r>
    <r>
      <rPr>
        <i/>
        <sz val="10"/>
        <color theme="1"/>
        <rFont val="Constantia"/>
        <family val="1"/>
        <charset val="238"/>
      </rPr>
      <t>DD_projekcie</t>
    </r>
    <r>
      <rPr>
        <sz val="10"/>
        <color theme="1"/>
        <rFont val="Constantia"/>
        <family val="1"/>
        <charset val="238"/>
      </rPr>
      <t xml:space="preserve"> obsahuje vstupy pre dlhodobú časť základného scenára (vplyv starnutia populácie, schéma vyraďovania jadrových zariadení, PPP projekt). Ide o kombináciu výstupov z modelov RRZ (dôchodky, zdravotníctvo), projekcie pracovnej skupiny EK zaoberajúcej sa starnutím populácie (AWG - Ageing Working Group) a projekcie Ministerstva hospodárstva SR (jadrové zariadenia) a Ministerstva dopravy, výstavby a regionálneho rozvoja (PPP projekt).
Hárok </t>
    </r>
    <r>
      <rPr>
        <i/>
        <sz val="10"/>
        <color theme="1"/>
        <rFont val="Constantia"/>
        <family val="1"/>
        <charset val="238"/>
      </rPr>
      <t>uroky</t>
    </r>
    <r>
      <rPr>
        <sz val="10"/>
        <color theme="1"/>
        <rFont val="Constantia"/>
        <family val="1"/>
        <charset val="238"/>
      </rPr>
      <t xml:space="preserve"> obsahuje projekciu úrokových nákladov a hrubého dlhu verejnej správy, ktorá zohľadňuje vývoj primárneho salda v základnom scenári, iné faktory ovplyvňujúce výšku dlhu (dlh Agentúry pre núdzové zásoby ropy a ropné produkty) a vývoj sadzieb 10-ročných štátnych dlhopisov. Projekcia vychádza zo zjednodušeného predpokladu, že dlh je tvorený výlučne štátnymi dlhopismi s 10-ročnou splatnosťou.
Hárok </t>
    </r>
    <r>
      <rPr>
        <i/>
        <sz val="10"/>
        <color theme="1"/>
        <rFont val="Constantia"/>
        <family val="1"/>
        <charset val="238"/>
      </rPr>
      <t>EU_fondy</t>
    </r>
    <r>
      <rPr>
        <sz val="10"/>
        <color theme="1"/>
        <rFont val="Constantia"/>
        <family val="1"/>
        <charset val="238"/>
      </rPr>
      <t xml:space="preserve"> obsahuje projekciu čerpania prostriedkov z fondov EÚ a súvisiaceho spolufinancovania do roku 2017 (po roku 2017, t.j. v dlhodobej časti základného scenára projekcia zachováva rovnaký podiel príjmov a výdavkov na HDP ako v roku 2017). Zohľadňuje sa celková alokácia prostriedkov, predpoklad ich vyčerpania, ako aj doterajší priebeh čerpania.</t>
    </r>
  </si>
  <si>
    <r>
      <t xml:space="preserve">3. oranžovou podfarbené hárky </t>
    </r>
    <r>
      <rPr>
        <sz val="10"/>
        <color theme="1"/>
        <rFont val="Constantia"/>
        <family val="1"/>
        <charset val="238"/>
      </rPr>
      <t xml:space="preserve">obsahujú projekciu strednodobej časti základného scenára. Hárok </t>
    </r>
    <r>
      <rPr>
        <i/>
        <sz val="10"/>
        <color theme="1"/>
        <rFont val="Constantia"/>
        <family val="1"/>
        <charset val="238"/>
      </rPr>
      <t>pravidla_SDcast</t>
    </r>
    <r>
      <rPr>
        <sz val="10"/>
        <color theme="1"/>
        <rFont val="Constantia"/>
        <family val="1"/>
        <charset val="238"/>
      </rPr>
      <t xml:space="preserve"> obsahuje zoznam všetkých podpoložiek ekonomickej klasifikácie a ich zložiek (kvôli prehľadnosti im boli pridelené číselné kódy, ktoré však nie sú definované v žiadnej oficiálnej klasifikácii) s priradeným pravidlom indexácie v strednodobej časti a číselným kódom daného pravidla.
Hárok </t>
    </r>
    <r>
      <rPr>
        <i/>
        <sz val="10"/>
        <color theme="1"/>
        <rFont val="Constantia"/>
        <family val="1"/>
        <charset val="238"/>
      </rPr>
      <t>indexy_SDcast</t>
    </r>
    <r>
      <rPr>
        <sz val="10"/>
        <color theme="1"/>
        <rFont val="Constantia"/>
        <family val="1"/>
        <charset val="238"/>
      </rPr>
      <t xml:space="preserve"> obsahuje jednotlivé pravidlá a im prislúchajúce indexy na roky 2014-2017. Tieto indexy sa použijú na bilanciu príjmov a výdavkov za rok 2013 (upravenú o jednorazové vplyvy) podľa priradeného pravidla.
Hárok </t>
    </r>
    <r>
      <rPr>
        <i/>
        <sz val="10"/>
        <color theme="1"/>
        <rFont val="Constantia"/>
        <family val="1"/>
        <charset val="238"/>
      </rPr>
      <t>EKRK_rozdelenie_podpoloziek</t>
    </r>
    <r>
      <rPr>
        <sz val="10"/>
        <color theme="1"/>
        <rFont val="Constantia"/>
        <family val="1"/>
        <charset val="238"/>
      </rPr>
      <t xml:space="preserve"> obsahuje také podpoložky ekonomickej klasifikácie, ktoré sa rozdeľujú na viaceré zložky. Je tu uvedená ich projekcia do roku 2017 na základe priradeného pravidla.
Hárok </t>
    </r>
    <r>
      <rPr>
        <i/>
        <sz val="10"/>
        <color theme="1"/>
        <rFont val="Constantia"/>
        <family val="1"/>
        <charset val="238"/>
      </rPr>
      <t>SDcast</t>
    </r>
    <r>
      <rPr>
        <sz val="10"/>
        <color theme="1"/>
        <rFont val="Constantia"/>
        <family val="1"/>
        <charset val="238"/>
      </rPr>
      <t xml:space="preserve"> obsahuje východiskovú bilanciu príjmov a výdavkov verejnej správy spracovanú z výkazov Štátnej pokladnice a databázy Štatistického úradu SR rozdelenú na 8 súčastí (3 bilancie výdavkov na vzdelávanie, výdavky zdravotníctva, príjmy a výdavky z fondov EÚ, výdavky na spolufinancovanie, výdavky na dlhodobú starostlivosť, ostatné príjmy a výdavky) v klasifikácii podľa ESA95 a ekonomickej klasifikácii. Položkám, ktorým v databáze ŠÚ SR nie sú priradené kódy ekonomickej klasifikácie, sa v ďalšom kroku priradia podľa vecnej povahy položky konkrétne kódy. Následne sa z bilancie vylúčia jednorazové vplyvy roku 2013. V ďalšom kroku sa jednotlivým podpoložkám ekonomickej klasifikácie priradia pravidlá (podľa zoznamu z hárku </t>
    </r>
    <r>
      <rPr>
        <i/>
        <sz val="10"/>
        <color theme="1"/>
        <rFont val="Constantia"/>
        <family val="1"/>
        <charset val="238"/>
      </rPr>
      <t>pravidla_SDcast</t>
    </r>
    <r>
      <rPr>
        <sz val="10"/>
        <color theme="1"/>
        <rFont val="Constantia"/>
        <family val="1"/>
        <charset val="238"/>
      </rPr>
      <t xml:space="preserve">) a podľa príslušných indexov (z hárku </t>
    </r>
    <r>
      <rPr>
        <i/>
        <sz val="10"/>
        <color theme="1"/>
        <rFont val="Constantia"/>
        <family val="1"/>
        <charset val="238"/>
      </rPr>
      <t>indexy_SDcast</t>
    </r>
    <r>
      <rPr>
        <sz val="10"/>
        <color theme="1"/>
        <rFont val="Constantia"/>
        <family val="1"/>
        <charset val="238"/>
      </rPr>
      <t xml:space="preserve">) sa zostaví strednodobá časť základného scenára.
V hárku </t>
    </r>
    <r>
      <rPr>
        <i/>
        <sz val="10"/>
        <color theme="1"/>
        <rFont val="Constantia"/>
        <family val="1"/>
        <charset val="238"/>
      </rPr>
      <t>sumarizacia</t>
    </r>
    <r>
      <rPr>
        <sz val="10"/>
        <color theme="1"/>
        <rFont val="Constantia"/>
        <family val="1"/>
        <charset val="238"/>
      </rPr>
      <t xml:space="preserve"> sa zosumarizuje projekcia z predchádzajúceho hárku podľa hlavných kategórii klasifikácie ESA95 a do bilancie sa pridajú známe jednorazové vplyvy za roky 2014 až 2017. Z tejto bilancie sa zostavujú výstupy zachytené v modrou podfarbených hárkoch.</t>
    </r>
  </si>
  <si>
    <r>
      <t>POP</t>
    </r>
    <r>
      <rPr>
        <vertAlign val="superscript"/>
        <sz val="10"/>
        <color theme="1"/>
        <rFont val="Constantia"/>
        <family val="1"/>
        <charset val="238"/>
      </rPr>
      <t>0</t>
    </r>
  </si>
  <si>
    <r>
      <t>POP</t>
    </r>
    <r>
      <rPr>
        <vertAlign val="superscript"/>
        <sz val="10"/>
        <color theme="1"/>
        <rFont val="Constantia"/>
        <family val="1"/>
        <charset val="238"/>
      </rPr>
      <t>0-3</t>
    </r>
  </si>
  <si>
    <r>
      <t>POP</t>
    </r>
    <r>
      <rPr>
        <vertAlign val="superscript"/>
        <sz val="10"/>
        <color theme="1"/>
        <rFont val="Constantia"/>
        <family val="1"/>
        <charset val="238"/>
      </rPr>
      <t>1-15</t>
    </r>
  </si>
  <si>
    <r>
      <t>POP</t>
    </r>
    <r>
      <rPr>
        <vertAlign val="superscript"/>
        <sz val="10"/>
        <color theme="1"/>
        <rFont val="Constantia"/>
        <family val="1"/>
        <charset val="238"/>
      </rPr>
      <t>0-25</t>
    </r>
  </si>
  <si>
    <r>
      <t>POP</t>
    </r>
    <r>
      <rPr>
        <vertAlign val="superscript"/>
        <sz val="10"/>
        <color theme="1"/>
        <rFont val="Constantia"/>
        <family val="1"/>
        <charset val="238"/>
      </rPr>
      <t>3-25</t>
    </r>
  </si>
  <si>
    <r>
      <t>POP</t>
    </r>
    <r>
      <rPr>
        <vertAlign val="superscript"/>
        <sz val="10"/>
        <color theme="1"/>
        <rFont val="Constantia"/>
        <family val="1"/>
        <charset val="238"/>
      </rPr>
      <t>6-19</t>
    </r>
  </si>
  <si>
    <r>
      <t>POP</t>
    </r>
    <r>
      <rPr>
        <vertAlign val="superscript"/>
        <sz val="10"/>
        <color theme="1"/>
        <rFont val="Constantia"/>
        <family val="1"/>
        <charset val="238"/>
      </rPr>
      <t>15-25</t>
    </r>
  </si>
  <si>
    <r>
      <t>POP</t>
    </r>
    <r>
      <rPr>
        <vertAlign val="superscript"/>
        <sz val="10"/>
        <color theme="1"/>
        <rFont val="Constantia"/>
        <family val="1"/>
        <charset val="238"/>
      </rPr>
      <t>15-64</t>
    </r>
  </si>
  <si>
    <r>
      <t>POP</t>
    </r>
    <r>
      <rPr>
        <vertAlign val="superscript"/>
        <sz val="10"/>
        <color theme="1"/>
        <rFont val="Constantia"/>
        <family val="1"/>
        <charset val="238"/>
      </rPr>
      <t>18+</t>
    </r>
  </si>
  <si>
    <r>
      <t>DPFO</t>
    </r>
    <r>
      <rPr>
        <vertAlign val="subscript"/>
        <sz val="10"/>
        <color theme="1"/>
        <rFont val="Constantia"/>
        <family val="1"/>
        <charset val="238"/>
      </rPr>
      <t>ZC</t>
    </r>
  </si>
  <si>
    <r>
      <t>DPFO</t>
    </r>
    <r>
      <rPr>
        <vertAlign val="subscript"/>
        <sz val="10"/>
        <color theme="1"/>
        <rFont val="Constantia"/>
        <family val="1"/>
        <charset val="238"/>
      </rPr>
      <t>P</t>
    </r>
  </si>
  <si>
    <r>
      <t>DPPO</t>
    </r>
    <r>
      <rPr>
        <vertAlign val="subscript"/>
        <sz val="10"/>
        <color theme="1"/>
        <rFont val="Constantia"/>
        <family val="1"/>
        <charset val="238"/>
      </rPr>
      <t>P</t>
    </r>
  </si>
  <si>
    <r>
      <t>LEG</t>
    </r>
    <r>
      <rPr>
        <vertAlign val="subscript"/>
        <sz val="10"/>
        <color theme="1"/>
        <rFont val="Constantia"/>
        <family val="1"/>
        <charset val="238"/>
      </rPr>
      <t>DPFOZC</t>
    </r>
  </si>
  <si>
    <r>
      <t>LEG</t>
    </r>
    <r>
      <rPr>
        <vertAlign val="subscript"/>
        <sz val="10"/>
        <color theme="1"/>
        <rFont val="Constantia"/>
        <family val="1"/>
        <charset val="238"/>
      </rPr>
      <t>DPFOP</t>
    </r>
  </si>
  <si>
    <r>
      <t>LEG</t>
    </r>
    <r>
      <rPr>
        <vertAlign val="subscript"/>
        <sz val="10"/>
        <color theme="1"/>
        <rFont val="Constantia"/>
        <family val="1"/>
        <charset val="238"/>
      </rPr>
      <t>DPFO2%</t>
    </r>
  </si>
  <si>
    <r>
      <t>LEG</t>
    </r>
    <r>
      <rPr>
        <vertAlign val="subscript"/>
        <sz val="10"/>
        <color theme="1"/>
        <rFont val="Constantia"/>
        <family val="1"/>
        <charset val="238"/>
      </rPr>
      <t>DPPO</t>
    </r>
  </si>
  <si>
    <r>
      <t>LEG</t>
    </r>
    <r>
      <rPr>
        <vertAlign val="subscript"/>
        <sz val="10"/>
        <color theme="1"/>
        <rFont val="Constantia"/>
        <family val="1"/>
        <charset val="238"/>
      </rPr>
      <t>DPPO2%</t>
    </r>
  </si>
  <si>
    <r>
      <t>LEG</t>
    </r>
    <r>
      <rPr>
        <vertAlign val="subscript"/>
        <sz val="10"/>
        <color theme="1"/>
        <rFont val="Constantia"/>
        <family val="1"/>
        <charset val="238"/>
      </rPr>
      <t>DPZR</t>
    </r>
  </si>
  <si>
    <r>
      <t>LEG</t>
    </r>
    <r>
      <rPr>
        <vertAlign val="subscript"/>
        <sz val="10"/>
        <color theme="1"/>
        <rFont val="Constantia"/>
        <family val="1"/>
        <charset val="238"/>
      </rPr>
      <t>DPZRV</t>
    </r>
  </si>
  <si>
    <r>
      <t>LEG</t>
    </r>
    <r>
      <rPr>
        <vertAlign val="subscript"/>
        <sz val="10"/>
        <color theme="1"/>
        <rFont val="Constantia"/>
        <family val="1"/>
        <charset val="238"/>
      </rPr>
      <t>DPZRO</t>
    </r>
  </si>
  <si>
    <r>
      <t>LEG</t>
    </r>
    <r>
      <rPr>
        <vertAlign val="subscript"/>
        <sz val="10"/>
        <color theme="1"/>
        <rFont val="Constantia"/>
        <family val="1"/>
        <charset val="238"/>
      </rPr>
      <t>DPH</t>
    </r>
  </si>
  <si>
    <r>
      <t>LEG</t>
    </r>
    <r>
      <rPr>
        <vertAlign val="subscript"/>
        <sz val="10"/>
        <color theme="1"/>
        <rFont val="Constantia"/>
        <family val="1"/>
        <charset val="238"/>
      </rPr>
      <t>SDM</t>
    </r>
  </si>
  <si>
    <r>
      <t>LEG</t>
    </r>
    <r>
      <rPr>
        <vertAlign val="subscript"/>
        <sz val="10"/>
        <color theme="1"/>
        <rFont val="Constantia"/>
        <family val="1"/>
        <charset val="238"/>
      </rPr>
      <t>SDL</t>
    </r>
  </si>
  <si>
    <r>
      <t>LEG</t>
    </r>
    <r>
      <rPr>
        <vertAlign val="subscript"/>
        <sz val="10"/>
        <color theme="1"/>
        <rFont val="Constantia"/>
        <family val="1"/>
        <charset val="238"/>
      </rPr>
      <t>SDP</t>
    </r>
  </si>
  <si>
    <r>
      <t>LEG</t>
    </r>
    <r>
      <rPr>
        <vertAlign val="subscript"/>
        <sz val="10"/>
        <color theme="1"/>
        <rFont val="Constantia"/>
        <family val="1"/>
        <charset val="238"/>
      </rPr>
      <t>SDV</t>
    </r>
  </si>
  <si>
    <r>
      <t>LEG</t>
    </r>
    <r>
      <rPr>
        <vertAlign val="subscript"/>
        <sz val="10"/>
        <color theme="1"/>
        <rFont val="Constantia"/>
        <family val="1"/>
        <charset val="238"/>
      </rPr>
      <t>SDT</t>
    </r>
  </si>
  <si>
    <r>
      <t>LEG</t>
    </r>
    <r>
      <rPr>
        <vertAlign val="subscript"/>
        <sz val="10"/>
        <color theme="1"/>
        <rFont val="Constantia"/>
        <family val="1"/>
        <charset val="238"/>
      </rPr>
      <t>SDE</t>
    </r>
  </si>
  <si>
    <r>
      <t>LEG</t>
    </r>
    <r>
      <rPr>
        <vertAlign val="subscript"/>
        <sz val="10"/>
        <color theme="1"/>
        <rFont val="Constantia"/>
        <family val="1"/>
        <charset val="238"/>
      </rPr>
      <t>SDU</t>
    </r>
  </si>
  <si>
    <r>
      <t>LEG</t>
    </r>
    <r>
      <rPr>
        <vertAlign val="subscript"/>
        <sz val="10"/>
        <color theme="1"/>
        <rFont val="Constantia"/>
        <family val="1"/>
        <charset val="238"/>
      </rPr>
      <t>SDZ</t>
    </r>
  </si>
  <si>
    <r>
      <t>LEG</t>
    </r>
    <r>
      <rPr>
        <vertAlign val="subscript"/>
        <sz val="10"/>
        <color theme="1"/>
        <rFont val="Constantia"/>
        <family val="1"/>
        <charset val="238"/>
      </rPr>
      <t>VFP</t>
    </r>
  </si>
  <si>
    <r>
      <t>LEG</t>
    </r>
    <r>
      <rPr>
        <vertAlign val="subscript"/>
        <sz val="10"/>
        <color theme="1"/>
        <rFont val="Constantia"/>
        <family val="1"/>
        <charset val="238"/>
      </rPr>
      <t>SPE</t>
    </r>
  </si>
  <si>
    <r>
      <t>LEG</t>
    </r>
    <r>
      <rPr>
        <vertAlign val="subscript"/>
        <sz val="10"/>
        <color theme="1"/>
        <rFont val="Constantia"/>
        <family val="1"/>
        <charset val="238"/>
      </rPr>
      <t>SPD</t>
    </r>
  </si>
  <si>
    <r>
      <t>LEG</t>
    </r>
    <r>
      <rPr>
        <vertAlign val="subscript"/>
        <sz val="10"/>
        <color theme="1"/>
        <rFont val="Constantia"/>
        <family val="1"/>
        <charset val="238"/>
      </rPr>
      <t>ZPE</t>
    </r>
  </si>
  <si>
    <r>
      <t>LEG</t>
    </r>
    <r>
      <rPr>
        <vertAlign val="subscript"/>
        <sz val="10"/>
        <color theme="1"/>
        <rFont val="Constantia"/>
        <family val="1"/>
        <charset val="238"/>
      </rPr>
      <t>ZPD</t>
    </r>
  </si>
  <si>
    <r>
      <t>mzdv</t>
    </r>
    <r>
      <rPr>
        <vertAlign val="subscript"/>
        <sz val="10"/>
        <color theme="1"/>
        <rFont val="Constantia"/>
        <family val="1"/>
        <charset val="238"/>
      </rPr>
      <t>KRRZ</t>
    </r>
  </si>
  <si>
    <r>
      <t>pomsp</t>
    </r>
    <r>
      <rPr>
        <vertAlign val="subscript"/>
        <sz val="10"/>
        <color theme="1"/>
        <rFont val="Constantia"/>
        <family val="1"/>
        <charset val="238"/>
      </rPr>
      <t>ST</t>
    </r>
  </si>
  <si>
    <r>
      <t>pomsp</t>
    </r>
    <r>
      <rPr>
        <vertAlign val="subscript"/>
        <sz val="10"/>
        <color theme="1"/>
        <rFont val="Constantia"/>
        <family val="1"/>
        <charset val="238"/>
      </rPr>
      <t>SP</t>
    </r>
  </si>
  <si>
    <t>Vyššiemu územnému celku na úhradu nákladov preneseného</t>
  </si>
  <si>
    <t xml:space="preserve">skutočnosť posledného roka upravená o zmenu počtu nezamestnaných a zmenu životného minima </t>
  </si>
  <si>
    <t>Štruktúra splatnosti existujúceho dlhu</t>
  </si>
  <si>
    <t>Veľkosť nového dlhu</t>
  </si>
  <si>
    <t xml:space="preserve">(saldo VS + refinancovanie </t>
  </si>
  <si>
    <t>splatného dlhu)</t>
  </si>
  <si>
    <t>Úrokové miery vládneho dlhu v štruktúre (fixné úrokové miery stanovené pri emisii dlhopisu)</t>
  </si>
  <si>
    <r>
      <t xml:space="preserve">4. šedou podfarbené hárky </t>
    </r>
    <r>
      <rPr>
        <sz val="10"/>
        <color theme="1"/>
        <rFont val="Constantia"/>
        <family val="1"/>
        <charset val="238"/>
      </rPr>
      <t xml:space="preserve">obsahujú pomocné výpočty, ktoré sa využívajú v ostatných hárkoch. Hárok </t>
    </r>
    <r>
      <rPr>
        <i/>
        <sz val="10"/>
        <color theme="1"/>
        <rFont val="Constantia"/>
        <family val="1"/>
        <charset val="238"/>
      </rPr>
      <t>data</t>
    </r>
    <r>
      <rPr>
        <sz val="10"/>
        <color theme="1"/>
        <rFont val="Constantia"/>
        <family val="1"/>
        <charset val="238"/>
      </rPr>
      <t xml:space="preserve"> obsahuje projekcie vybraných podpoložiek ekonomickej klasifikácie prevzaté z iných hárkov.
Hárok </t>
    </r>
    <r>
      <rPr>
        <i/>
        <sz val="10"/>
        <color theme="1"/>
        <rFont val="Constantia"/>
        <family val="1"/>
        <charset val="238"/>
      </rPr>
      <t>ciselnik_pravidiel</t>
    </r>
    <r>
      <rPr>
        <sz val="10"/>
        <color theme="1"/>
        <rFont val="Constantia"/>
        <family val="1"/>
        <charset val="238"/>
      </rPr>
      <t xml:space="preserve"> obsahuje očíslovanie jednotlivých pravidiel použitých v projekcii strednodobej časti základného scenára. Toto číslovanie sa používa vo viacerých hárkoch.</t>
    </r>
  </si>
  <si>
    <t>Školstvo, spolufin.</t>
  </si>
  <si>
    <t>Školstvo, EU fondy</t>
  </si>
  <si>
    <t>Školstvo, ostatné</t>
  </si>
  <si>
    <t>Zdravotníctvo</t>
  </si>
  <si>
    <t>DD starostlivosť</t>
  </si>
  <si>
    <t>kód</t>
  </si>
  <si>
    <t>pomocné</t>
  </si>
  <si>
    <t>číselník</t>
  </si>
  <si>
    <t>Saldo VS (časti 1-8)</t>
  </si>
  <si>
    <t>Pomocné vzorce</t>
  </si>
  <si>
    <t>indexy</t>
  </si>
  <si>
    <t>1. Sumár bilancií z hárku SDcast</t>
  </si>
  <si>
    <t>2. Sumár ESA 95 položiek + bilancia roku 2013</t>
  </si>
  <si>
    <t>3. Úprava o známe jednorazové vplyvy v rokoch 2014-2017 - finálna bilancia strednodobej časti základného scenára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</si>
</sst>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"/>
    <numFmt numFmtId="165" formatCode="0.0"/>
    <numFmt numFmtId="166" formatCode="0.0%"/>
    <numFmt numFmtId="167" formatCode="#,##0.000"/>
    <numFmt numFmtId="168" formatCode="#,##0.0000"/>
    <numFmt numFmtId="169" formatCode="0.0000"/>
    <numFmt numFmtId="170" formatCode="#,##0.00000"/>
    <numFmt numFmtId="171" formatCode="#,##0.000000"/>
    <numFmt numFmtId="172" formatCode="0E+00"/>
  </numFmts>
  <fonts count="4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9"/>
      <color indexed="81"/>
      <name val="Segoe UI"/>
      <family val="2"/>
    </font>
    <font>
      <sz val="10"/>
      <name val="Arial CE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Segoe UI"/>
      <family val="2"/>
      <charset val="238"/>
    </font>
    <font>
      <sz val="9"/>
      <color indexed="81"/>
      <name val="Segoe UI"/>
      <family val="2"/>
      <charset val="238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0"/>
      <name val="Constantia"/>
      <family val="1"/>
      <charset val="238"/>
    </font>
    <font>
      <b/>
      <sz val="16"/>
      <color theme="1"/>
      <name val="Constantia"/>
      <family val="1"/>
      <charset val="238"/>
    </font>
    <font>
      <sz val="11"/>
      <color theme="1"/>
      <name val="Constantia"/>
      <family val="1"/>
      <charset val="238"/>
    </font>
    <font>
      <b/>
      <sz val="11"/>
      <color theme="1"/>
      <name val="Constantia"/>
      <family val="1"/>
      <charset val="238"/>
    </font>
    <font>
      <b/>
      <sz val="12"/>
      <color theme="1"/>
      <name val="Constantia"/>
      <family val="1"/>
      <charset val="238"/>
    </font>
    <font>
      <sz val="10"/>
      <color theme="1"/>
      <name val="Constantia"/>
      <family val="1"/>
      <charset val="238"/>
    </font>
    <font>
      <b/>
      <sz val="10"/>
      <color theme="1"/>
      <name val="Constantia"/>
      <family val="1"/>
      <charset val="238"/>
    </font>
    <font>
      <i/>
      <sz val="10"/>
      <color theme="1"/>
      <name val="Constantia"/>
      <family val="1"/>
      <charset val="238"/>
    </font>
    <font>
      <b/>
      <sz val="10"/>
      <color rgb="FFFF0000"/>
      <name val="Constantia"/>
      <family val="1"/>
      <charset val="238"/>
    </font>
    <font>
      <b/>
      <sz val="10"/>
      <color theme="0"/>
      <name val="Constantia"/>
      <family val="1"/>
      <charset val="238"/>
    </font>
    <font>
      <b/>
      <sz val="10"/>
      <color rgb="FF13B5EA"/>
      <name val="Constantia"/>
      <family val="1"/>
      <charset val="238"/>
    </font>
    <font>
      <sz val="9"/>
      <color theme="1"/>
      <name val="Constantia"/>
      <family val="1"/>
      <charset val="238"/>
    </font>
    <font>
      <sz val="11"/>
      <name val="Constantia"/>
      <family val="1"/>
      <charset val="238"/>
    </font>
    <font>
      <vertAlign val="superscript"/>
      <sz val="10"/>
      <color theme="1"/>
      <name val="Constantia"/>
      <family val="1"/>
      <charset val="238"/>
    </font>
    <font>
      <vertAlign val="subscript"/>
      <sz val="10"/>
      <color theme="1"/>
      <name val="Constantia"/>
      <family val="1"/>
      <charset val="238"/>
    </font>
    <font>
      <sz val="10"/>
      <color rgb="FFFF0000"/>
      <name val="Constantia"/>
      <family val="1"/>
      <charset val="238"/>
    </font>
    <font>
      <sz val="10"/>
      <color rgb="FF13B5EA"/>
      <name val="Constantia"/>
      <family val="1"/>
      <charset val="238"/>
    </font>
    <font>
      <b/>
      <sz val="11"/>
      <color theme="0"/>
      <name val="Constantia"/>
      <family val="1"/>
      <charset val="238"/>
    </font>
    <font>
      <b/>
      <sz val="12"/>
      <name val="Constantia"/>
      <family val="1"/>
      <charset val="238"/>
    </font>
    <font>
      <b/>
      <sz val="14"/>
      <color rgb="FF13B5EA"/>
      <name val="Constantia"/>
      <family val="1"/>
      <charset val="238"/>
    </font>
    <font>
      <i/>
      <sz val="10"/>
      <name val="Constantia"/>
      <family val="1"/>
      <charset val="238"/>
    </font>
    <font>
      <sz val="10"/>
      <color theme="0"/>
      <name val="Constantia"/>
      <family val="1"/>
      <charset val="238"/>
    </font>
    <font>
      <b/>
      <sz val="10"/>
      <name val="Constantia"/>
      <family val="1"/>
      <charset val="238"/>
    </font>
    <font>
      <b/>
      <sz val="10"/>
      <color rgb="FF000000"/>
      <name val="Constantia"/>
      <family val="1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13B5E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3B5EA"/>
        <bgColor rgb="FF000000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13B5EA"/>
      </top>
      <bottom style="medium">
        <color rgb="FF13B5EA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13B5EA"/>
      </bottom>
      <diagonal/>
    </border>
    <border>
      <left style="thin">
        <color rgb="FF13B5EA"/>
      </left>
      <right/>
      <top style="thin">
        <color rgb="FF13B5EA"/>
      </top>
      <bottom/>
      <diagonal/>
    </border>
    <border>
      <left/>
      <right style="thin">
        <color rgb="FF13B5EA"/>
      </right>
      <top style="thin">
        <color rgb="FF13B5EA"/>
      </top>
      <bottom/>
      <diagonal/>
    </border>
    <border>
      <left style="thin">
        <color rgb="FF13B5EA"/>
      </left>
      <right/>
      <top/>
      <bottom/>
      <diagonal/>
    </border>
    <border>
      <left/>
      <right style="thin">
        <color rgb="FF13B5EA"/>
      </right>
      <top/>
      <bottom/>
      <diagonal/>
    </border>
    <border>
      <left style="thin">
        <color rgb="FF13B5EA"/>
      </left>
      <right/>
      <top/>
      <bottom style="thin">
        <color rgb="FF13B5EA"/>
      </bottom>
      <diagonal/>
    </border>
    <border>
      <left/>
      <right style="thin">
        <color rgb="FF13B5EA"/>
      </right>
      <top/>
      <bottom style="thin">
        <color rgb="FF13B5EA"/>
      </bottom>
      <diagonal/>
    </border>
    <border>
      <left/>
      <right/>
      <top style="thin">
        <color rgb="FF13B5EA"/>
      </top>
      <bottom/>
      <diagonal/>
    </border>
    <border>
      <left style="thin">
        <color rgb="FF13B5EA"/>
      </left>
      <right style="thin">
        <color rgb="FF13B5EA"/>
      </right>
      <top/>
      <bottom style="thin">
        <color rgb="FF13B5EA"/>
      </bottom>
      <diagonal/>
    </border>
    <border>
      <left style="thin">
        <color rgb="FF13B5EA"/>
      </left>
      <right style="thin">
        <color rgb="FF13B5EA"/>
      </right>
      <top style="thin">
        <color rgb="FF13B5EA"/>
      </top>
      <bottom/>
      <diagonal/>
    </border>
    <border>
      <left style="thin">
        <color rgb="FF13B5EA"/>
      </left>
      <right style="thin">
        <color rgb="FF13B5EA"/>
      </right>
      <top/>
      <bottom/>
      <diagonal/>
    </border>
    <border>
      <left style="thin">
        <color indexed="64"/>
      </left>
      <right style="thin">
        <color rgb="FF13B5EA"/>
      </right>
      <top/>
      <bottom/>
      <diagonal/>
    </border>
  </borders>
  <cellStyleXfs count="6">
    <xf numFmtId="0" fontId="0" fillId="0" borderId="0"/>
    <xf numFmtId="0" fontId="4" fillId="0" borderId="0"/>
    <xf numFmtId="0" fontId="2" fillId="0" borderId="0"/>
    <xf numFmtId="9" fontId="12" fillId="0" borderId="0" applyFont="0" applyFill="0" applyBorder="0" applyAlignment="0" applyProtection="0"/>
    <xf numFmtId="0" fontId="13" fillId="0" borderId="0"/>
    <xf numFmtId="0" fontId="13" fillId="0" borderId="0"/>
  </cellStyleXfs>
  <cellXfs count="462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/>
    <xf numFmtId="3" fontId="0" fillId="0" borderId="0" xfId="0" applyNumberFormat="1"/>
    <xf numFmtId="0" fontId="2" fillId="0" borderId="0" xfId="0" applyFont="1"/>
    <xf numFmtId="164" fontId="0" fillId="0" borderId="0" xfId="0" applyNumberFormat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64" fontId="0" fillId="0" borderId="0" xfId="0" applyNumberFormat="1"/>
    <xf numFmtId="3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0" fillId="0" borderId="0" xfId="0" applyFill="1"/>
    <xf numFmtId="0" fontId="0" fillId="0" borderId="0" xfId="0" applyFont="1"/>
    <xf numFmtId="0" fontId="0" fillId="0" borderId="1" xfId="0" applyFont="1" applyBorder="1" applyAlignment="1">
      <alignment vertical="center" wrapText="1"/>
    </xf>
    <xf numFmtId="0" fontId="1" fillId="0" borderId="0" xfId="0" applyFont="1"/>
    <xf numFmtId="0" fontId="0" fillId="0" borderId="0" xfId="0" applyFont="1" applyAlignment="1">
      <alignment horizontal="center" vertical="center"/>
    </xf>
    <xf numFmtId="3" fontId="1" fillId="0" borderId="0" xfId="0" applyNumberFormat="1" applyFont="1"/>
    <xf numFmtId="3" fontId="0" fillId="0" borderId="0" xfId="0" applyNumberForma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Fill="1"/>
    <xf numFmtId="0" fontId="5" fillId="0" borderId="0" xfId="0" applyFont="1" applyBorder="1"/>
    <xf numFmtId="0" fontId="5" fillId="0" borderId="0" xfId="0" applyFont="1" applyFill="1" applyBorder="1"/>
    <xf numFmtId="0" fontId="6" fillId="0" borderId="0" xfId="0" applyFont="1" applyFill="1" applyBorder="1"/>
    <xf numFmtId="0" fontId="7" fillId="0" borderId="0" xfId="0" applyFont="1" applyFill="1" applyBorder="1" applyAlignment="1">
      <alignment horizontal="left" indent="2"/>
    </xf>
    <xf numFmtId="0" fontId="7" fillId="0" borderId="0" xfId="0" applyFont="1" applyFill="1" applyBorder="1" applyAlignment="1">
      <alignment horizontal="left" indent="3"/>
    </xf>
    <xf numFmtId="3" fontId="8" fillId="0" borderId="4" xfId="0" applyNumberFormat="1" applyFont="1" applyBorder="1"/>
    <xf numFmtId="0" fontId="0" fillId="0" borderId="0" xfId="0" applyFont="1" applyFill="1"/>
    <xf numFmtId="3" fontId="0" fillId="0" borderId="0" xfId="0" applyNumberFormat="1" applyFill="1"/>
    <xf numFmtId="0" fontId="0" fillId="0" borderId="3" xfId="0" applyBorder="1"/>
    <xf numFmtId="0" fontId="2" fillId="0" borderId="0" xfId="0" applyFont="1" applyAlignment="1">
      <alignment horizontal="center" vertical="center"/>
    </xf>
    <xf numFmtId="0" fontId="0" fillId="0" borderId="0" xfId="0" applyBorder="1"/>
    <xf numFmtId="3" fontId="0" fillId="7" borderId="0" xfId="0" applyNumberFormat="1" applyFill="1"/>
    <xf numFmtId="3" fontId="11" fillId="0" borderId="0" xfId="0" applyNumberFormat="1" applyFont="1" applyFill="1"/>
    <xf numFmtId="3" fontId="11" fillId="0" borderId="0" xfId="0" applyNumberFormat="1" applyFont="1" applyFill="1" applyAlignment="1">
      <alignment horizontal="right"/>
    </xf>
    <xf numFmtId="0" fontId="14" fillId="0" borderId="0" xfId="0" applyFont="1" applyAlignment="1">
      <alignment horizontal="right"/>
    </xf>
    <xf numFmtId="0" fontId="0" fillId="0" borderId="0" xfId="0" applyFill="1" applyAlignment="1">
      <alignment horizontal="right"/>
    </xf>
    <xf numFmtId="167" fontId="11" fillId="0" borderId="0" xfId="0" applyNumberFormat="1" applyFont="1" applyFill="1"/>
    <xf numFmtId="0" fontId="0" fillId="0" borderId="0" xfId="0"/>
    <xf numFmtId="3" fontId="0" fillId="0" borderId="0" xfId="0" applyNumberFormat="1"/>
    <xf numFmtId="0" fontId="2" fillId="0" borderId="0" xfId="0" applyFont="1"/>
    <xf numFmtId="164" fontId="0" fillId="0" borderId="0" xfId="0" applyNumberFormat="1"/>
    <xf numFmtId="0" fontId="1" fillId="0" borderId="0" xfId="0" applyFont="1" applyAlignment="1">
      <alignment horizontal="right"/>
    </xf>
    <xf numFmtId="3" fontId="15" fillId="0" borderId="0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3" fontId="16" fillId="0" borderId="0" xfId="0" applyNumberFormat="1" applyFont="1" applyFill="1" applyBorder="1" applyAlignment="1">
      <alignment horizontal="left"/>
    </xf>
    <xf numFmtId="164" fontId="15" fillId="0" borderId="0" xfId="0" applyNumberFormat="1" applyFont="1" applyFill="1" applyBorder="1" applyAlignment="1">
      <alignment horizontal="right"/>
    </xf>
    <xf numFmtId="3" fontId="0" fillId="0" borderId="0" xfId="0" applyNumberFormat="1" applyAlignment="1">
      <alignment horizontal="right"/>
    </xf>
    <xf numFmtId="3" fontId="1" fillId="0" borderId="0" xfId="0" applyNumberFormat="1" applyFont="1" applyAlignment="1">
      <alignment horizontal="right"/>
    </xf>
    <xf numFmtId="2" fontId="0" fillId="0" borderId="0" xfId="0" applyNumberFormat="1"/>
    <xf numFmtId="164" fontId="1" fillId="0" borderId="0" xfId="0" applyNumberFormat="1" applyFont="1"/>
    <xf numFmtId="168" fontId="11" fillId="0" borderId="0" xfId="0" applyNumberFormat="1" applyFont="1" applyFill="1"/>
    <xf numFmtId="0" fontId="1" fillId="0" borderId="3" xfId="0" applyFont="1" applyBorder="1"/>
    <xf numFmtId="3" fontId="18" fillId="0" borderId="0" xfId="5" applyNumberFormat="1" applyFont="1" applyFill="1" applyBorder="1" applyAlignment="1" applyProtection="1">
      <alignment horizontal="center" vertical="center"/>
      <protection locked="0"/>
    </xf>
    <xf numFmtId="168" fontId="0" fillId="0" borderId="0" xfId="0" applyNumberFormat="1"/>
    <xf numFmtId="170" fontId="0" fillId="0" borderId="0" xfId="0" applyNumberFormat="1"/>
    <xf numFmtId="171" fontId="0" fillId="0" borderId="0" xfId="0" applyNumberFormat="1"/>
    <xf numFmtId="3" fontId="17" fillId="0" borderId="0" xfId="0" applyNumberFormat="1" applyFont="1" applyFill="1"/>
    <xf numFmtId="1" fontId="0" fillId="0" borderId="0" xfId="0" applyNumberFormat="1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1" fillId="0" borderId="0" xfId="0" applyFont="1" applyFill="1" applyProtection="1">
      <protection locked="0"/>
    </xf>
    <xf numFmtId="0" fontId="0" fillId="0" borderId="0" xfId="0" applyFill="1" applyProtection="1">
      <protection locked="0"/>
    </xf>
    <xf numFmtId="0" fontId="19" fillId="0" borderId="0" xfId="0" applyFont="1" applyFill="1" applyAlignment="1" applyProtection="1">
      <alignment horizontal="left" vertical="center"/>
      <protection locked="0"/>
    </xf>
    <xf numFmtId="0" fontId="20" fillId="0" borderId="0" xfId="0" applyFont="1" applyFill="1" applyAlignment="1" applyProtection="1">
      <alignment horizontal="left" vertical="center" wrapText="1"/>
      <protection locked="0"/>
    </xf>
    <xf numFmtId="0" fontId="22" fillId="0" borderId="0" xfId="0" applyFont="1" applyFill="1" applyAlignment="1" applyProtection="1">
      <alignment horizontal="left" vertical="center"/>
      <protection locked="0"/>
    </xf>
    <xf numFmtId="0" fontId="20" fillId="0" borderId="0" xfId="0" applyFont="1" applyFill="1" applyAlignment="1" applyProtection="1">
      <alignment horizontal="left" vertical="center"/>
      <protection locked="0"/>
    </xf>
    <xf numFmtId="0" fontId="20" fillId="0" borderId="0" xfId="0" applyFont="1"/>
    <xf numFmtId="3" fontId="23" fillId="0" borderId="0" xfId="0" applyNumberFormat="1" applyFont="1" applyFill="1" applyBorder="1" applyAlignment="1">
      <alignment horizontal="left"/>
    </xf>
    <xf numFmtId="0" fontId="23" fillId="0" borderId="0" xfId="0" applyFont="1"/>
    <xf numFmtId="3" fontId="24" fillId="0" borderId="0" xfId="0" applyNumberFormat="1" applyFont="1" applyFill="1" applyBorder="1" applyAlignment="1">
      <alignment horizontal="left"/>
    </xf>
    <xf numFmtId="3" fontId="24" fillId="0" borderId="0" xfId="0" applyNumberFormat="1" applyFont="1" applyFill="1" applyBorder="1" applyAlignment="1">
      <alignment horizontal="right"/>
    </xf>
    <xf numFmtId="164" fontId="24" fillId="0" borderId="0" xfId="0" applyNumberFormat="1" applyFont="1" applyFill="1" applyBorder="1" applyAlignment="1">
      <alignment horizontal="left"/>
    </xf>
    <xf numFmtId="164" fontId="24" fillId="0" borderId="0" xfId="0" applyNumberFormat="1" applyFont="1" applyFill="1" applyBorder="1" applyAlignment="1">
      <alignment horizontal="right"/>
    </xf>
    <xf numFmtId="3" fontId="23" fillId="0" borderId="0" xfId="0" applyNumberFormat="1" applyFont="1" applyFill="1" applyBorder="1" applyAlignment="1">
      <alignment horizontal="right"/>
    </xf>
    <xf numFmtId="164" fontId="23" fillId="0" borderId="0" xfId="0" applyNumberFormat="1" applyFont="1" applyFill="1" applyBorder="1" applyAlignment="1">
      <alignment horizontal="right"/>
    </xf>
    <xf numFmtId="3" fontId="23" fillId="0" borderId="3" xfId="0" applyNumberFormat="1" applyFont="1" applyFill="1" applyBorder="1" applyAlignment="1">
      <alignment horizontal="left"/>
    </xf>
    <xf numFmtId="3" fontId="23" fillId="0" borderId="3" xfId="0" applyNumberFormat="1" applyFont="1" applyFill="1" applyBorder="1" applyAlignment="1">
      <alignment horizontal="right"/>
    </xf>
    <xf numFmtId="164" fontId="23" fillId="0" borderId="3" xfId="0" applyNumberFormat="1" applyFont="1" applyFill="1" applyBorder="1" applyAlignment="1">
      <alignment horizontal="right"/>
    </xf>
    <xf numFmtId="3" fontId="24" fillId="0" borderId="3" xfId="0" applyNumberFormat="1" applyFont="1" applyFill="1" applyBorder="1" applyAlignment="1">
      <alignment horizontal="left"/>
    </xf>
    <xf numFmtId="3" fontId="24" fillId="0" borderId="3" xfId="0" applyNumberFormat="1" applyFont="1" applyFill="1" applyBorder="1" applyAlignment="1">
      <alignment horizontal="right"/>
    </xf>
    <xf numFmtId="164" fontId="24" fillId="0" borderId="20" xfId="0" applyNumberFormat="1" applyFont="1" applyFill="1" applyBorder="1" applyAlignment="1">
      <alignment horizontal="right"/>
    </xf>
    <xf numFmtId="0" fontId="23" fillId="0" borderId="0" xfId="0" applyFont="1" applyAlignment="1">
      <alignment horizontal="right"/>
    </xf>
    <xf numFmtId="0" fontId="29" fillId="0" borderId="0" xfId="0" applyFont="1"/>
    <xf numFmtId="164" fontId="0" fillId="0" borderId="0" xfId="0" applyNumberFormat="1" applyBorder="1"/>
    <xf numFmtId="0" fontId="0" fillId="0" borderId="0" xfId="0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0" fontId="20" fillId="0" borderId="0" xfId="0" applyFont="1" applyBorder="1"/>
    <xf numFmtId="0" fontId="23" fillId="0" borderId="0" xfId="0" applyFont="1" applyBorder="1" applyAlignment="1">
      <alignment vertical="center" wrapText="1"/>
    </xf>
    <xf numFmtId="0" fontId="23" fillId="0" borderId="0" xfId="0" applyFont="1" applyAlignment="1">
      <alignment vertical="center"/>
    </xf>
    <xf numFmtId="0" fontId="23" fillId="0" borderId="0" xfId="0" applyFont="1" applyBorder="1" applyAlignment="1">
      <alignment horizontal="center" vertical="center"/>
    </xf>
    <xf numFmtId="164" fontId="23" fillId="0" borderId="1" xfId="0" applyNumberFormat="1" applyFont="1" applyBorder="1" applyAlignment="1">
      <alignment horizontal="center" vertical="center"/>
    </xf>
    <xf numFmtId="164" fontId="23" fillId="0" borderId="0" xfId="0" applyNumberFormat="1" applyFont="1" applyAlignment="1">
      <alignment horizontal="center" vertical="center"/>
    </xf>
    <xf numFmtId="0" fontId="23" fillId="0" borderId="0" xfId="0" applyFont="1" applyBorder="1" applyAlignment="1">
      <alignment vertical="center"/>
    </xf>
    <xf numFmtId="164" fontId="23" fillId="0" borderId="0" xfId="0" applyNumberFormat="1" applyFont="1" applyBorder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0" fontId="23" fillId="0" borderId="3" xfId="0" applyFont="1" applyBorder="1" applyAlignment="1">
      <alignment vertical="center"/>
    </xf>
    <xf numFmtId="0" fontId="23" fillId="0" borderId="3" xfId="0" applyFont="1" applyBorder="1" applyAlignment="1">
      <alignment horizontal="center" vertical="center"/>
    </xf>
    <xf numFmtId="164" fontId="23" fillId="0" borderId="21" xfId="0" applyNumberFormat="1" applyFont="1" applyBorder="1" applyAlignment="1">
      <alignment horizontal="center" vertical="center"/>
    </xf>
    <xf numFmtId="164" fontId="23" fillId="0" borderId="3" xfId="0" applyNumberFormat="1" applyFont="1" applyBorder="1" applyAlignment="1">
      <alignment horizontal="center" vertical="center"/>
    </xf>
    <xf numFmtId="3" fontId="23" fillId="0" borderId="0" xfId="0" applyNumberFormat="1" applyFont="1" applyFill="1" applyAlignment="1">
      <alignment horizontal="center" vertical="center"/>
    </xf>
    <xf numFmtId="3" fontId="23" fillId="0" borderId="2" xfId="0" applyNumberFormat="1" applyFont="1" applyFill="1" applyBorder="1" applyAlignment="1">
      <alignment horizontal="center" vertical="center"/>
    </xf>
    <xf numFmtId="3" fontId="23" fillId="0" borderId="0" xfId="0" applyNumberFormat="1" applyFont="1" applyFill="1" applyBorder="1" applyAlignment="1">
      <alignment horizontal="center" vertical="center"/>
    </xf>
    <xf numFmtId="164" fontId="23" fillId="0" borderId="3" xfId="0" applyNumberFormat="1" applyFont="1" applyFill="1" applyBorder="1" applyAlignment="1">
      <alignment horizontal="center" vertical="center"/>
    </xf>
    <xf numFmtId="3" fontId="23" fillId="0" borderId="22" xfId="0" applyNumberFormat="1" applyFont="1" applyFill="1" applyBorder="1" applyAlignment="1">
      <alignment horizontal="center" vertical="center"/>
    </xf>
    <xf numFmtId="3" fontId="23" fillId="0" borderId="3" xfId="0" applyNumberFormat="1" applyFont="1" applyFill="1" applyBorder="1" applyAlignment="1">
      <alignment horizontal="center" vertical="center"/>
    </xf>
    <xf numFmtId="3" fontId="23" fillId="0" borderId="0" xfId="0" applyNumberFormat="1" applyFont="1" applyBorder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164" fontId="23" fillId="0" borderId="1" xfId="0" applyNumberFormat="1" applyFont="1" applyBorder="1"/>
    <xf numFmtId="164" fontId="23" fillId="0" borderId="0" xfId="0" applyNumberFormat="1" applyFont="1"/>
    <xf numFmtId="3" fontId="23" fillId="0" borderId="1" xfId="0" applyNumberFormat="1" applyFont="1" applyBorder="1" applyAlignment="1">
      <alignment horizontal="center" vertical="center"/>
    </xf>
    <xf numFmtId="164" fontId="23" fillId="0" borderId="1" xfId="0" applyNumberFormat="1" applyFont="1" applyFill="1" applyBorder="1"/>
    <xf numFmtId="164" fontId="23" fillId="0" borderId="0" xfId="0" applyNumberFormat="1" applyFont="1" applyFill="1"/>
    <xf numFmtId="3" fontId="23" fillId="0" borderId="1" xfId="0" applyNumberFormat="1" applyFont="1" applyFill="1" applyBorder="1" applyAlignment="1">
      <alignment horizontal="center" vertical="center"/>
    </xf>
    <xf numFmtId="3" fontId="23" fillId="0" borderId="0" xfId="0" applyNumberFormat="1" applyFont="1" applyAlignment="1">
      <alignment horizontal="right" vertical="center"/>
    </xf>
    <xf numFmtId="164" fontId="33" fillId="0" borderId="3" xfId="0" applyNumberFormat="1" applyFont="1" applyFill="1" applyBorder="1" applyAlignment="1">
      <alignment horizontal="center" vertical="center"/>
    </xf>
    <xf numFmtId="3" fontId="23" fillId="0" borderId="3" xfId="0" applyNumberFormat="1" applyFont="1" applyBorder="1" applyAlignment="1">
      <alignment horizontal="center" vertical="center"/>
    </xf>
    <xf numFmtId="164" fontId="23" fillId="0" borderId="21" xfId="0" applyNumberFormat="1" applyFont="1" applyBorder="1"/>
    <xf numFmtId="164" fontId="23" fillId="0" borderId="3" xfId="0" applyNumberFormat="1" applyFont="1" applyBorder="1"/>
    <xf numFmtId="3" fontId="23" fillId="0" borderId="21" xfId="0" applyNumberFormat="1" applyFont="1" applyBorder="1" applyAlignment="1">
      <alignment horizontal="center" vertical="center"/>
    </xf>
    <xf numFmtId="0" fontId="23" fillId="0" borderId="3" xfId="0" applyFont="1" applyBorder="1" applyAlignment="1">
      <alignment vertical="center" wrapText="1"/>
    </xf>
    <xf numFmtId="3" fontId="23" fillId="0" borderId="21" xfId="0" applyNumberFormat="1" applyFont="1" applyFill="1" applyBorder="1" applyAlignment="1">
      <alignment horizontal="center" vertical="center"/>
    </xf>
    <xf numFmtId="164" fontId="23" fillId="0" borderId="0" xfId="0" applyNumberFormat="1" applyFont="1" applyFill="1" applyAlignment="1">
      <alignment horizontal="center" vertical="center"/>
    </xf>
    <xf numFmtId="164" fontId="23" fillId="0" borderId="1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left"/>
    </xf>
    <xf numFmtId="0" fontId="23" fillId="0" borderId="0" xfId="0" applyFont="1" applyFill="1"/>
    <xf numFmtId="0" fontId="23" fillId="0" borderId="0" xfId="0" applyFont="1" applyFill="1" applyAlignment="1">
      <alignment horizontal="left"/>
    </xf>
    <xf numFmtId="0" fontId="23" fillId="0" borderId="0" xfId="0" applyFont="1" applyBorder="1"/>
    <xf numFmtId="0" fontId="18" fillId="0" borderId="0" xfId="0" applyFont="1" applyFill="1" applyBorder="1"/>
    <xf numFmtId="0" fontId="23" fillId="0" borderId="0" xfId="0" applyFont="1" applyFill="1" applyBorder="1"/>
    <xf numFmtId="0" fontId="23" fillId="0" borderId="3" xfId="0" applyFont="1" applyFill="1" applyBorder="1" applyAlignment="1">
      <alignment horizontal="left"/>
    </xf>
    <xf numFmtId="3" fontId="24" fillId="0" borderId="3" xfId="0" applyNumberFormat="1" applyFont="1" applyBorder="1"/>
    <xf numFmtId="3" fontId="24" fillId="0" borderId="3" xfId="0" applyNumberFormat="1" applyFont="1" applyBorder="1" applyAlignment="1">
      <alignment horizontal="center" vertical="center"/>
    </xf>
    <xf numFmtId="3" fontId="24" fillId="0" borderId="22" xfId="0" applyNumberFormat="1" applyFont="1" applyBorder="1" applyAlignment="1">
      <alignment horizontal="center" vertical="center"/>
    </xf>
    <xf numFmtId="0" fontId="23" fillId="0" borderId="3" xfId="0" applyFont="1" applyBorder="1"/>
    <xf numFmtId="0" fontId="27" fillId="9" borderId="0" xfId="0" applyFont="1" applyFill="1" applyBorder="1" applyAlignment="1">
      <alignment horizontal="center" vertical="center" wrapText="1"/>
    </xf>
    <xf numFmtId="0" fontId="27" fillId="9" borderId="3" xfId="0" applyFont="1" applyFill="1" applyBorder="1" applyAlignment="1">
      <alignment horizontal="center" vertical="center"/>
    </xf>
    <xf numFmtId="0" fontId="27" fillId="9" borderId="21" xfId="0" applyFont="1" applyFill="1" applyBorder="1" applyAlignment="1">
      <alignment horizontal="center" vertical="center"/>
    </xf>
    <xf numFmtId="0" fontId="28" fillId="0" borderId="0" xfId="0" applyFont="1" applyFill="1" applyAlignment="1">
      <alignment vertical="center"/>
    </xf>
    <xf numFmtId="0" fontId="28" fillId="0" borderId="0" xfId="0" applyFont="1" applyFill="1" applyBorder="1" applyAlignment="1">
      <alignment vertical="center"/>
    </xf>
    <xf numFmtId="0" fontId="28" fillId="0" borderId="1" xfId="0" applyFont="1" applyFill="1" applyBorder="1" applyAlignment="1">
      <alignment vertical="center"/>
    </xf>
    <xf numFmtId="164" fontId="34" fillId="0" borderId="0" xfId="0" applyNumberFormat="1" applyFont="1" applyFill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7" fillId="9" borderId="0" xfId="0" applyFont="1" applyFill="1" applyAlignment="1">
      <alignment horizontal="center"/>
    </xf>
    <xf numFmtId="0" fontId="27" fillId="9" borderId="0" xfId="0" applyFont="1" applyFill="1" applyAlignment="1">
      <alignment horizontal="right"/>
    </xf>
    <xf numFmtId="0" fontId="34" fillId="0" borderId="0" xfId="0" applyFont="1" applyFill="1" applyAlignment="1">
      <alignment vertical="center"/>
    </xf>
    <xf numFmtId="0" fontId="34" fillId="0" borderId="0" xfId="0" applyFont="1" applyFill="1" applyBorder="1" applyAlignment="1">
      <alignment horizontal="center" vertical="center"/>
    </xf>
    <xf numFmtId="0" fontId="28" fillId="0" borderId="0" xfId="0" applyFont="1" applyFill="1" applyAlignment="1">
      <alignment horizontal="left" vertical="center"/>
    </xf>
    <xf numFmtId="164" fontId="34" fillId="0" borderId="1" xfId="0" applyNumberFormat="1" applyFont="1" applyFill="1" applyBorder="1" applyAlignment="1">
      <alignment horizontal="center" vertical="center"/>
    </xf>
    <xf numFmtId="0" fontId="28" fillId="0" borderId="0" xfId="0" applyFont="1" applyFill="1"/>
    <xf numFmtId="0" fontId="27" fillId="9" borderId="0" xfId="0" applyFont="1" applyFill="1" applyAlignment="1">
      <alignment vertical="center"/>
    </xf>
    <xf numFmtId="3" fontId="23" fillId="0" borderId="0" xfId="0" applyNumberFormat="1" applyFont="1" applyAlignment="1">
      <alignment horizontal="right"/>
    </xf>
    <xf numFmtId="3" fontId="23" fillId="0" borderId="0" xfId="0" applyNumberFormat="1" applyFont="1"/>
    <xf numFmtId="3" fontId="23" fillId="0" borderId="3" xfId="0" applyNumberFormat="1" applyFont="1" applyBorder="1" applyAlignment="1">
      <alignment horizontal="right"/>
    </xf>
    <xf numFmtId="3" fontId="23" fillId="0" borderId="3" xfId="0" applyNumberFormat="1" applyFont="1" applyBorder="1"/>
    <xf numFmtId="3" fontId="23" fillId="0" borderId="0" xfId="0" applyNumberFormat="1" applyFont="1" applyFill="1"/>
    <xf numFmtId="3" fontId="23" fillId="0" borderId="3" xfId="0" applyNumberFormat="1" applyFont="1" applyFill="1" applyBorder="1"/>
    <xf numFmtId="0" fontId="24" fillId="0" borderId="0" xfId="0" applyFont="1"/>
    <xf numFmtId="3" fontId="24" fillId="0" borderId="0" xfId="0" applyNumberFormat="1" applyFont="1" applyAlignment="1">
      <alignment horizontal="right"/>
    </xf>
    <xf numFmtId="3" fontId="24" fillId="0" borderId="0" xfId="0" applyNumberFormat="1" applyFont="1"/>
    <xf numFmtId="1" fontId="18" fillId="0" borderId="0" xfId="0" applyNumberFormat="1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24" fillId="0" borderId="3" xfId="0" applyFont="1" applyBorder="1"/>
    <xf numFmtId="3" fontId="24" fillId="0" borderId="3" xfId="0" applyNumberFormat="1" applyFont="1" applyBorder="1" applyAlignment="1">
      <alignment horizontal="right"/>
    </xf>
    <xf numFmtId="166" fontId="24" fillId="0" borderId="3" xfId="3" applyNumberFormat="1" applyFont="1" applyBorder="1"/>
    <xf numFmtId="166" fontId="24" fillId="0" borderId="3" xfId="3" applyNumberFormat="1" applyFont="1" applyFill="1" applyBorder="1"/>
    <xf numFmtId="164" fontId="23" fillId="0" borderId="3" xfId="0" applyNumberFormat="1" applyFont="1" applyFill="1" applyBorder="1"/>
    <xf numFmtId="0" fontId="34" fillId="10" borderId="0" xfId="0" applyFont="1" applyFill="1"/>
    <xf numFmtId="0" fontId="28" fillId="10" borderId="0" xfId="0" applyFont="1" applyFill="1"/>
    <xf numFmtId="3" fontId="34" fillId="10" borderId="0" xfId="0" applyNumberFormat="1" applyFont="1" applyFill="1" applyAlignment="1">
      <alignment horizontal="right"/>
    </xf>
    <xf numFmtId="3" fontId="34" fillId="10" borderId="0" xfId="0" applyNumberFormat="1" applyFont="1" applyFill="1"/>
    <xf numFmtId="0" fontId="36" fillId="0" borderId="0" xfId="0" applyFont="1"/>
    <xf numFmtId="0" fontId="21" fillId="0" borderId="0" xfId="0" applyFont="1" applyBorder="1"/>
    <xf numFmtId="0" fontId="36" fillId="0" borderId="0" xfId="0" applyFont="1" applyBorder="1"/>
    <xf numFmtId="9" fontId="20" fillId="0" borderId="0" xfId="3" applyFont="1" applyFill="1" applyBorder="1"/>
    <xf numFmtId="9" fontId="20" fillId="0" borderId="0" xfId="0" applyNumberFormat="1" applyFont="1" applyFill="1" applyBorder="1"/>
    <xf numFmtId="166" fontId="20" fillId="0" borderId="0" xfId="0" applyNumberFormat="1" applyFont="1" applyFill="1" applyBorder="1"/>
    <xf numFmtId="3" fontId="20" fillId="0" borderId="0" xfId="0" applyNumberFormat="1" applyFont="1" applyBorder="1"/>
    <xf numFmtId="167" fontId="20" fillId="0" borderId="0" xfId="0" applyNumberFormat="1" applyFont="1" applyBorder="1"/>
    <xf numFmtId="0" fontId="37" fillId="0" borderId="0" xfId="0" applyFont="1"/>
    <xf numFmtId="0" fontId="27" fillId="9" borderId="0" xfId="0" applyFont="1" applyFill="1" applyAlignment="1">
      <alignment horizontal="center" vertical="center"/>
    </xf>
    <xf numFmtId="0" fontId="27" fillId="9" borderId="0" xfId="0" applyFont="1" applyFill="1" applyAlignment="1">
      <alignment horizontal="center" vertical="center" wrapText="1"/>
    </xf>
    <xf numFmtId="0" fontId="24" fillId="0" borderId="0" xfId="0" applyFont="1" applyAlignment="1">
      <alignment wrapText="1"/>
    </xf>
    <xf numFmtId="9" fontId="23" fillId="0" borderId="0" xfId="0" applyNumberFormat="1" applyFont="1"/>
    <xf numFmtId="10" fontId="24" fillId="0" borderId="3" xfId="3" applyNumberFormat="1" applyFont="1" applyBorder="1"/>
    <xf numFmtId="9" fontId="23" fillId="0" borderId="3" xfId="0" applyNumberFormat="1" applyFont="1" applyBorder="1"/>
    <xf numFmtId="3" fontId="23" fillId="0" borderId="0" xfId="0" applyNumberFormat="1" applyFont="1" applyFill="1" applyAlignment="1">
      <alignment horizontal="right"/>
    </xf>
    <xf numFmtId="0" fontId="27" fillId="9" borderId="0" xfId="0" applyFont="1" applyFill="1"/>
    <xf numFmtId="0" fontId="27" fillId="9" borderId="0" xfId="0" applyNumberFormat="1" applyFont="1" applyFill="1"/>
    <xf numFmtId="3" fontId="24" fillId="0" borderId="0" xfId="0" applyNumberFormat="1" applyFont="1" applyFill="1"/>
    <xf numFmtId="1" fontId="23" fillId="0" borderId="3" xfId="0" applyNumberFormat="1" applyFont="1" applyBorder="1"/>
    <xf numFmtId="1" fontId="23" fillId="0" borderId="3" xfId="0" applyNumberFormat="1" applyFont="1" applyFill="1" applyBorder="1"/>
    <xf numFmtId="3" fontId="24" fillId="0" borderId="3" xfId="0" applyNumberFormat="1" applyFont="1" applyFill="1" applyBorder="1"/>
    <xf numFmtId="3" fontId="18" fillId="0" borderId="0" xfId="0" applyNumberFormat="1" applyFont="1" applyFill="1" applyBorder="1" applyAlignment="1">
      <alignment vertical="center"/>
    </xf>
    <xf numFmtId="0" fontId="23" fillId="0" borderId="0" xfId="0" applyFont="1" applyAlignment="1">
      <alignment horizontal="center" vertical="center"/>
    </xf>
    <xf numFmtId="1" fontId="18" fillId="0" borderId="0" xfId="0" applyNumberFormat="1" applyFont="1" applyFill="1" applyAlignment="1">
      <alignment horizontal="right" vertical="center"/>
    </xf>
    <xf numFmtId="0" fontId="18" fillId="0" borderId="0" xfId="0" applyFont="1" applyFill="1" applyAlignment="1">
      <alignment vertical="center"/>
    </xf>
    <xf numFmtId="1" fontId="18" fillId="0" borderId="0" xfId="0" applyNumberFormat="1" applyFont="1" applyFill="1" applyBorder="1" applyAlignment="1">
      <alignment horizontal="right" vertical="center"/>
    </xf>
    <xf numFmtId="1" fontId="18" fillId="0" borderId="0" xfId="0" applyNumberFormat="1" applyFont="1" applyFill="1" applyBorder="1" applyAlignment="1">
      <alignment horizontal="right" vertical="center" wrapText="1"/>
    </xf>
    <xf numFmtId="0" fontId="18" fillId="0" borderId="0" xfId="1" applyFont="1" applyFill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left" vertical="center" indent="2"/>
    </xf>
    <xf numFmtId="0" fontId="26" fillId="7" borderId="0" xfId="0" applyFont="1" applyFill="1" applyAlignment="1">
      <alignment horizontal="right"/>
    </xf>
    <xf numFmtId="0" fontId="23" fillId="0" borderId="0" xfId="0" applyFont="1" applyFill="1" applyAlignment="1">
      <alignment horizontal="right"/>
    </xf>
    <xf numFmtId="0" fontId="27" fillId="9" borderId="0" xfId="0" applyFont="1" applyFill="1" applyAlignment="1">
      <alignment horizontal="left"/>
    </xf>
    <xf numFmtId="0" fontId="39" fillId="9" borderId="0" xfId="0" applyFont="1" applyFill="1" applyAlignment="1">
      <alignment horizontal="left"/>
    </xf>
    <xf numFmtId="1" fontId="18" fillId="0" borderId="0" xfId="0" applyNumberFormat="1" applyFont="1" applyFill="1" applyBorder="1" applyAlignment="1">
      <alignment horizontal="left" vertical="center"/>
    </xf>
    <xf numFmtId="0" fontId="23" fillId="0" borderId="3" xfId="0" applyFont="1" applyBorder="1" applyAlignment="1">
      <alignment horizontal="right"/>
    </xf>
    <xf numFmtId="3" fontId="18" fillId="0" borderId="3" xfId="0" applyNumberFormat="1" applyFont="1" applyFill="1" applyBorder="1" applyAlignment="1">
      <alignment vertical="center"/>
    </xf>
    <xf numFmtId="1" fontId="18" fillId="0" borderId="3" xfId="0" applyNumberFormat="1" applyFont="1" applyFill="1" applyBorder="1" applyAlignment="1">
      <alignment horizontal="left" vertical="center"/>
    </xf>
    <xf numFmtId="3" fontId="23" fillId="0" borderId="0" xfId="0" applyNumberFormat="1" applyFont="1" applyAlignment="1">
      <alignment vertical="center"/>
    </xf>
    <xf numFmtId="3" fontId="23" fillId="0" borderId="3" xfId="0" applyNumberFormat="1" applyFont="1" applyBorder="1" applyAlignment="1">
      <alignment vertical="center"/>
    </xf>
    <xf numFmtId="3" fontId="23" fillId="0" borderId="0" xfId="0" applyNumberFormat="1" applyFont="1" applyBorder="1" applyAlignment="1">
      <alignment vertical="center"/>
    </xf>
    <xf numFmtId="3" fontId="23" fillId="0" borderId="3" xfId="0" applyNumberFormat="1" applyFont="1" applyFill="1" applyBorder="1" applyAlignment="1">
      <alignment vertical="center"/>
    </xf>
    <xf numFmtId="0" fontId="23" fillId="0" borderId="0" xfId="0" applyFont="1" applyAlignment="1">
      <alignment horizontal="right" vertical="center"/>
    </xf>
    <xf numFmtId="3" fontId="23" fillId="0" borderId="0" xfId="0" applyNumberFormat="1" applyFont="1" applyFill="1" applyAlignment="1">
      <alignment vertical="center"/>
    </xf>
    <xf numFmtId="1" fontId="18" fillId="0" borderId="0" xfId="0" applyNumberFormat="1" applyFont="1" applyFill="1" applyBorder="1" applyAlignment="1">
      <alignment horizontal="left" vertical="center" wrapText="1"/>
    </xf>
    <xf numFmtId="3" fontId="23" fillId="0" borderId="0" xfId="0" applyNumberFormat="1" applyFont="1" applyFill="1" applyBorder="1" applyAlignment="1">
      <alignment vertical="center"/>
    </xf>
    <xf numFmtId="0" fontId="18" fillId="0" borderId="3" xfId="0" applyFont="1" applyFill="1" applyBorder="1" applyAlignment="1">
      <alignment vertical="center"/>
    </xf>
    <xf numFmtId="0" fontId="23" fillId="0" borderId="3" xfId="0" applyFont="1" applyBorder="1" applyAlignment="1">
      <alignment horizontal="left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23" fillId="0" borderId="19" xfId="0" applyFont="1" applyBorder="1" applyAlignment="1">
      <alignment horizontal="left"/>
    </xf>
    <xf numFmtId="3" fontId="23" fillId="0" borderId="0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left"/>
    </xf>
    <xf numFmtId="1" fontId="18" fillId="0" borderId="3" xfId="0" applyNumberFormat="1" applyFont="1" applyFill="1" applyBorder="1" applyAlignment="1">
      <alignment horizontal="right" vertical="center"/>
    </xf>
    <xf numFmtId="0" fontId="18" fillId="0" borderId="3" xfId="0" applyFont="1" applyFill="1" applyBorder="1" applyAlignment="1">
      <alignment horizontal="left" vertical="center" indent="2"/>
    </xf>
    <xf numFmtId="1" fontId="18" fillId="0" borderId="3" xfId="0" applyNumberFormat="1" applyFont="1" applyFill="1" applyBorder="1" applyAlignment="1">
      <alignment horizontal="left" vertical="center" wrapText="1"/>
    </xf>
    <xf numFmtId="3" fontId="30" fillId="0" borderId="0" xfId="0" applyNumberFormat="1" applyFont="1" applyFill="1"/>
    <xf numFmtId="3" fontId="21" fillId="0" borderId="0" xfId="0" applyNumberFormat="1" applyFont="1" applyFill="1" applyAlignment="1">
      <alignment vertical="center"/>
    </xf>
    <xf numFmtId="3" fontId="18" fillId="0" borderId="0" xfId="0" applyNumberFormat="1" applyFont="1" applyFill="1"/>
    <xf numFmtId="3" fontId="23" fillId="0" borderId="0" xfId="0" applyNumberFormat="1" applyFont="1" applyFill="1" applyBorder="1"/>
    <xf numFmtId="3" fontId="18" fillId="0" borderId="0" xfId="0" applyNumberFormat="1" applyFont="1" applyFill="1" applyAlignment="1">
      <alignment horizontal="right"/>
    </xf>
    <xf numFmtId="3" fontId="24" fillId="0" borderId="0" xfId="0" applyNumberFormat="1" applyFont="1" applyFill="1" applyBorder="1"/>
    <xf numFmtId="3" fontId="40" fillId="0" borderId="0" xfId="0" applyNumberFormat="1" applyFont="1" applyFill="1"/>
    <xf numFmtId="3" fontId="23" fillId="2" borderId="0" xfId="0" applyNumberFormat="1" applyFont="1" applyFill="1" applyBorder="1"/>
    <xf numFmtId="3" fontId="24" fillId="0" borderId="0" xfId="0" applyNumberFormat="1" applyFont="1" applyBorder="1"/>
    <xf numFmtId="3" fontId="40" fillId="0" borderId="0" xfId="0" applyNumberFormat="1" applyFont="1" applyFill="1" applyBorder="1"/>
    <xf numFmtId="3" fontId="40" fillId="0" borderId="0" xfId="0" applyNumberFormat="1" applyFont="1" applyFill="1" applyBorder="1" applyAlignment="1">
      <alignment horizontal="right"/>
    </xf>
    <xf numFmtId="3" fontId="34" fillId="0" borderId="0" xfId="0" applyNumberFormat="1" applyFont="1" applyFill="1"/>
    <xf numFmtId="1" fontId="28" fillId="0" borderId="0" xfId="0" applyNumberFormat="1" applyFont="1" applyFill="1" applyAlignment="1">
      <alignment horizontal="right"/>
    </xf>
    <xf numFmtId="0" fontId="39" fillId="9" borderId="0" xfId="0" applyFont="1" applyFill="1"/>
    <xf numFmtId="3" fontId="24" fillId="0" borderId="20" xfId="0" applyNumberFormat="1" applyFont="1" applyFill="1" applyBorder="1" applyAlignment="1">
      <alignment horizontal="left"/>
    </xf>
    <xf numFmtId="3" fontId="24" fillId="0" borderId="20" xfId="0" applyNumberFormat="1" applyFont="1" applyFill="1" applyBorder="1" applyAlignment="1">
      <alignment horizontal="right"/>
    </xf>
    <xf numFmtId="3" fontId="24" fillId="0" borderId="20" xfId="0" applyNumberFormat="1" applyFont="1" applyBorder="1"/>
    <xf numFmtId="164" fontId="24" fillId="0" borderId="20" xfId="0" applyNumberFormat="1" applyFont="1" applyBorder="1"/>
    <xf numFmtId="0" fontId="23" fillId="0" borderId="5" xfId="0" applyFont="1" applyBorder="1"/>
    <xf numFmtId="0" fontId="24" fillId="0" borderId="6" xfId="0" applyFont="1" applyFill="1" applyBorder="1"/>
    <xf numFmtId="0" fontId="24" fillId="4" borderId="6" xfId="0" applyFont="1" applyFill="1" applyBorder="1"/>
    <xf numFmtId="0" fontId="24" fillId="0" borderId="11" xfId="0" applyFont="1" applyBorder="1" applyAlignment="1">
      <alignment horizontal="center"/>
    </xf>
    <xf numFmtId="0" fontId="24" fillId="4" borderId="12" xfId="0" applyNumberFormat="1" applyFont="1" applyFill="1" applyBorder="1" applyAlignment="1">
      <alignment horizontal="center"/>
    </xf>
    <xf numFmtId="0" fontId="24" fillId="0" borderId="12" xfId="0" applyNumberFormat="1" applyFont="1" applyBorder="1" applyAlignment="1">
      <alignment horizontal="center"/>
    </xf>
    <xf numFmtId="0" fontId="24" fillId="0" borderId="14" xfId="0" applyNumberFormat="1" applyFont="1" applyBorder="1" applyAlignment="1">
      <alignment horizontal="center"/>
    </xf>
    <xf numFmtId="0" fontId="23" fillId="0" borderId="7" xfId="0" applyFont="1" applyBorder="1"/>
    <xf numFmtId="3" fontId="23" fillId="0" borderId="8" xfId="0" applyNumberFormat="1" applyFont="1" applyFill="1" applyBorder="1"/>
    <xf numFmtId="3" fontId="23" fillId="5" borderId="8" xfId="0" applyNumberFormat="1" applyFont="1" applyFill="1" applyBorder="1"/>
    <xf numFmtId="0" fontId="23" fillId="6" borderId="18" xfId="0" applyFont="1" applyFill="1" applyBorder="1"/>
    <xf numFmtId="3" fontId="23" fillId="5" borderId="0" xfId="0" applyNumberFormat="1" applyFont="1" applyFill="1" applyBorder="1"/>
    <xf numFmtId="3" fontId="23" fillId="5" borderId="16" xfId="0" applyNumberFormat="1" applyFont="1" applyFill="1" applyBorder="1"/>
    <xf numFmtId="0" fontId="23" fillId="0" borderId="18" xfId="0" applyFont="1" applyFill="1" applyBorder="1"/>
    <xf numFmtId="3" fontId="23" fillId="0" borderId="16" xfId="0" applyNumberFormat="1" applyFont="1" applyFill="1" applyBorder="1"/>
    <xf numFmtId="0" fontId="23" fillId="0" borderId="7" xfId="0" applyFont="1" applyFill="1" applyBorder="1"/>
    <xf numFmtId="3" fontId="23" fillId="0" borderId="10" xfId="0" applyNumberFormat="1" applyFont="1" applyFill="1" applyBorder="1"/>
    <xf numFmtId="0" fontId="24" fillId="0" borderId="0" xfId="0" applyFont="1" applyBorder="1"/>
    <xf numFmtId="165" fontId="23" fillId="0" borderId="0" xfId="0" applyNumberFormat="1" applyFont="1" applyBorder="1"/>
    <xf numFmtId="0" fontId="23" fillId="0" borderId="11" xfId="0" applyFont="1" applyBorder="1"/>
    <xf numFmtId="0" fontId="23" fillId="0" borderId="14" xfId="0" applyFont="1" applyBorder="1"/>
    <xf numFmtId="0" fontId="24" fillId="0" borderId="12" xfId="0" applyFont="1" applyBorder="1" applyAlignment="1">
      <alignment horizontal="center"/>
    </xf>
    <xf numFmtId="0" fontId="24" fillId="0" borderId="14" xfId="0" applyFont="1" applyBorder="1" applyAlignment="1">
      <alignment horizontal="center"/>
    </xf>
    <xf numFmtId="0" fontId="24" fillId="4" borderId="13" xfId="0" applyFont="1" applyFill="1" applyBorder="1" applyAlignment="1">
      <alignment horizontal="center"/>
    </xf>
    <xf numFmtId="0" fontId="24" fillId="0" borderId="17" xfId="0" applyFont="1" applyBorder="1"/>
    <xf numFmtId="166" fontId="23" fillId="5" borderId="10" xfId="0" applyNumberFormat="1" applyFont="1" applyFill="1" applyBorder="1"/>
    <xf numFmtId="166" fontId="23" fillId="0" borderId="10" xfId="0" applyNumberFormat="1" applyFont="1" applyFill="1" applyBorder="1"/>
    <xf numFmtId="166" fontId="23" fillId="0" borderId="8" xfId="0" applyNumberFormat="1" applyFont="1" applyFill="1" applyBorder="1"/>
    <xf numFmtId="0" fontId="24" fillId="0" borderId="5" xfId="0" applyFont="1" applyBorder="1"/>
    <xf numFmtId="0" fontId="24" fillId="0" borderId="9" xfId="0" applyFont="1" applyBorder="1"/>
    <xf numFmtId="3" fontId="24" fillId="0" borderId="9" xfId="0" applyNumberFormat="1" applyFont="1" applyBorder="1"/>
    <xf numFmtId="3" fontId="24" fillId="0" borderId="6" xfId="0" applyNumberFormat="1" applyFont="1" applyBorder="1"/>
    <xf numFmtId="0" fontId="23" fillId="0" borderId="18" xfId="0" applyFont="1" applyBorder="1"/>
    <xf numFmtId="3" fontId="23" fillId="0" borderId="16" xfId="0" applyNumberFormat="1" applyFont="1" applyBorder="1"/>
    <xf numFmtId="0" fontId="24" fillId="0" borderId="18" xfId="0" applyFont="1" applyBorder="1"/>
    <xf numFmtId="3" fontId="24" fillId="0" borderId="16" xfId="0" applyNumberFormat="1" applyFont="1" applyBorder="1"/>
    <xf numFmtId="0" fontId="40" fillId="0" borderId="7" xfId="0" applyFont="1" applyFill="1" applyBorder="1"/>
    <xf numFmtId="0" fontId="40" fillId="0" borderId="10" xfId="0" applyFont="1" applyFill="1" applyBorder="1"/>
    <xf numFmtId="10" fontId="40" fillId="0" borderId="10" xfId="3" applyNumberFormat="1" applyFont="1" applyFill="1" applyBorder="1"/>
    <xf numFmtId="10" fontId="40" fillId="0" borderId="8" xfId="3" applyNumberFormat="1" applyFont="1" applyFill="1" applyBorder="1"/>
    <xf numFmtId="169" fontId="23" fillId="0" borderId="0" xfId="0" applyNumberFormat="1" applyFont="1" applyFill="1"/>
    <xf numFmtId="0" fontId="40" fillId="0" borderId="0" xfId="0" applyFont="1"/>
    <xf numFmtId="0" fontId="42" fillId="0" borderId="0" xfId="0" applyFont="1"/>
    <xf numFmtId="0" fontId="23" fillId="0" borderId="13" xfId="0" applyFont="1" applyBorder="1"/>
    <xf numFmtId="0" fontId="42" fillId="0" borderId="0" xfId="0" applyFont="1" applyBorder="1"/>
    <xf numFmtId="0" fontId="24" fillId="0" borderId="15" xfId="0" applyFont="1" applyBorder="1"/>
    <xf numFmtId="3" fontId="26" fillId="2" borderId="8" xfId="0" applyNumberFormat="1" applyFont="1" applyFill="1" applyBorder="1"/>
    <xf numFmtId="3" fontId="23" fillId="2" borderId="10" xfId="0" applyNumberFormat="1" applyFont="1" applyFill="1" applyBorder="1" applyAlignment="1">
      <alignment horizontal="right"/>
    </xf>
    <xf numFmtId="3" fontId="23" fillId="2" borderId="0" xfId="0" applyNumberFormat="1" applyFont="1" applyFill="1" applyBorder="1" applyAlignment="1">
      <alignment horizontal="right"/>
    </xf>
    <xf numFmtId="3" fontId="23" fillId="2" borderId="16" xfId="0" applyNumberFormat="1" applyFont="1" applyFill="1" applyBorder="1" applyAlignment="1">
      <alignment horizontal="right"/>
    </xf>
    <xf numFmtId="0" fontId="24" fillId="0" borderId="0" xfId="0" applyFont="1" applyBorder="1" applyAlignment="1">
      <alignment horizontal="center"/>
    </xf>
    <xf numFmtId="0" fontId="24" fillId="0" borderId="16" xfId="0" applyFont="1" applyBorder="1" applyAlignment="1">
      <alignment horizontal="center"/>
    </xf>
    <xf numFmtId="0" fontId="24" fillId="2" borderId="16" xfId="0" applyFont="1" applyFill="1" applyBorder="1"/>
    <xf numFmtId="3" fontId="23" fillId="2" borderId="16" xfId="0" applyNumberFormat="1" applyFont="1" applyFill="1" applyBorder="1"/>
    <xf numFmtId="3" fontId="26" fillId="0" borderId="0" xfId="0" applyNumberFormat="1" applyFont="1" applyBorder="1"/>
    <xf numFmtId="0" fontId="24" fillId="2" borderId="0" xfId="0" applyFont="1" applyFill="1" applyBorder="1"/>
    <xf numFmtId="3" fontId="26" fillId="2" borderId="13" xfId="0" applyNumberFormat="1" applyFont="1" applyFill="1" applyBorder="1"/>
    <xf numFmtId="3" fontId="18" fillId="0" borderId="0" xfId="0" applyNumberFormat="1" applyFont="1" applyBorder="1"/>
    <xf numFmtId="0" fontId="24" fillId="4" borderId="13" xfId="0" applyFont="1" applyFill="1" applyBorder="1"/>
    <xf numFmtId="0" fontId="24" fillId="2" borderId="10" xfId="0" applyFont="1" applyFill="1" applyBorder="1"/>
    <xf numFmtId="3" fontId="23" fillId="2" borderId="10" xfId="0" applyNumberFormat="1" applyFont="1" applyFill="1" applyBorder="1"/>
    <xf numFmtId="0" fontId="24" fillId="0" borderId="10" xfId="0" applyFont="1" applyBorder="1"/>
    <xf numFmtId="3" fontId="23" fillId="0" borderId="10" xfId="0" applyNumberFormat="1" applyFont="1" applyBorder="1"/>
    <xf numFmtId="3" fontId="23" fillId="0" borderId="8" xfId="0" applyNumberFormat="1" applyFont="1" applyBorder="1"/>
    <xf numFmtId="0" fontId="24" fillId="4" borderId="12" xfId="0" applyFont="1" applyFill="1" applyBorder="1" applyAlignment="1">
      <alignment horizontal="center"/>
    </xf>
    <xf numFmtId="0" fontId="43" fillId="0" borderId="0" xfId="0" applyFont="1" applyBorder="1" applyAlignment="1">
      <alignment horizontal="center"/>
    </xf>
    <xf numFmtId="166" fontId="23" fillId="0" borderId="0" xfId="3" applyNumberFormat="1" applyFont="1" applyBorder="1" applyAlignment="1">
      <alignment horizontal="center" vertical="center"/>
    </xf>
    <xf numFmtId="0" fontId="23" fillId="0" borderId="16" xfId="0" applyFont="1" applyBorder="1"/>
    <xf numFmtId="0" fontId="24" fillId="0" borderId="0" xfId="0" applyFont="1" applyFill="1" applyBorder="1"/>
    <xf numFmtId="166" fontId="23" fillId="0" borderId="0" xfId="3" applyNumberFormat="1" applyFont="1" applyBorder="1"/>
    <xf numFmtId="166" fontId="23" fillId="0" borderId="16" xfId="3" applyNumberFormat="1" applyFont="1" applyBorder="1"/>
    <xf numFmtId="166" fontId="23" fillId="0" borderId="10" xfId="3" applyNumberFormat="1" applyFont="1" applyBorder="1" applyAlignment="1">
      <alignment horizontal="center" vertical="center"/>
    </xf>
    <xf numFmtId="166" fontId="23" fillId="0" borderId="10" xfId="3" applyNumberFormat="1" applyFont="1" applyBorder="1"/>
    <xf numFmtId="166" fontId="23" fillId="0" borderId="8" xfId="3" applyNumberFormat="1" applyFont="1" applyBorder="1"/>
    <xf numFmtId="0" fontId="27" fillId="0" borderId="0" xfId="0" applyFont="1" applyFill="1" applyBorder="1" applyAlignment="1">
      <alignment horizontal="center" vertical="center" wrapText="1"/>
    </xf>
    <xf numFmtId="172" fontId="23" fillId="0" borderId="0" xfId="0" applyNumberFormat="1" applyFont="1" applyFill="1" applyBorder="1"/>
    <xf numFmtId="3" fontId="23" fillId="0" borderId="26" xfId="0" applyNumberFormat="1" applyFont="1" applyFill="1" applyBorder="1" applyAlignment="1">
      <alignment horizontal="left"/>
    </xf>
    <xf numFmtId="3" fontId="23" fillId="0" borderId="27" xfId="0" applyNumberFormat="1" applyFont="1" applyFill="1" applyBorder="1"/>
    <xf numFmtId="3" fontId="23" fillId="0" borderId="26" xfId="0" applyNumberFormat="1" applyFont="1" applyFill="1" applyBorder="1" applyAlignment="1">
      <alignment horizontal="left" indent="1"/>
    </xf>
    <xf numFmtId="0" fontId="27" fillId="9" borderId="24" xfId="0" applyFont="1" applyFill="1" applyBorder="1"/>
    <xf numFmtId="0" fontId="27" fillId="9" borderId="25" xfId="0" applyFont="1" applyFill="1" applyBorder="1"/>
    <xf numFmtId="3" fontId="24" fillId="0" borderId="26" xfId="0" applyNumberFormat="1" applyFont="1" applyFill="1" applyBorder="1" applyAlignment="1">
      <alignment horizontal="left"/>
    </xf>
    <xf numFmtId="3" fontId="24" fillId="0" borderId="27" xfId="0" applyNumberFormat="1" applyFont="1" applyFill="1" applyBorder="1"/>
    <xf numFmtId="167" fontId="17" fillId="0" borderId="0" xfId="0" applyNumberFormat="1" applyFont="1" applyFill="1"/>
    <xf numFmtId="3" fontId="28" fillId="0" borderId="28" xfId="0" applyNumberFormat="1" applyFont="1" applyFill="1" applyBorder="1" applyAlignment="1">
      <alignment horizontal="left"/>
    </xf>
    <xf numFmtId="3" fontId="28" fillId="0" borderId="0" xfId="0" applyNumberFormat="1" applyFont="1"/>
    <xf numFmtId="3" fontId="28" fillId="0" borderId="0" xfId="0" applyNumberFormat="1" applyFont="1" applyFill="1"/>
    <xf numFmtId="3" fontId="28" fillId="0" borderId="0" xfId="0" applyNumberFormat="1" applyFont="1" applyFill="1" applyAlignment="1">
      <alignment horizontal="right"/>
    </xf>
    <xf numFmtId="0" fontId="27" fillId="11" borderId="25" xfId="0" applyFont="1" applyFill="1" applyBorder="1"/>
    <xf numFmtId="3" fontId="27" fillId="11" borderId="25" xfId="0" applyNumberFormat="1" applyFont="1" applyFill="1" applyBorder="1"/>
    <xf numFmtId="3" fontId="28" fillId="0" borderId="0" xfId="0" applyNumberFormat="1" applyFont="1" applyFill="1" applyBorder="1"/>
    <xf numFmtId="3" fontId="28" fillId="0" borderId="0" xfId="0" applyNumberFormat="1" applyFont="1" applyBorder="1"/>
    <xf numFmtId="3" fontId="28" fillId="0" borderId="0" xfId="0" applyNumberFormat="1" applyFont="1" applyFill="1" applyBorder="1" applyAlignment="1">
      <alignment horizontal="right"/>
    </xf>
    <xf numFmtId="3" fontId="24" fillId="0" borderId="24" xfId="0" applyNumberFormat="1" applyFont="1" applyFill="1" applyBorder="1" applyAlignment="1">
      <alignment horizontal="left"/>
    </xf>
    <xf numFmtId="3" fontId="41" fillId="0" borderId="25" xfId="0" applyNumberFormat="1" applyFont="1" applyFill="1" applyBorder="1"/>
    <xf numFmtId="3" fontId="41" fillId="0" borderId="27" xfId="0" applyNumberFormat="1" applyFont="1" applyFill="1" applyBorder="1"/>
    <xf numFmtId="3" fontId="23" fillId="8" borderId="26" xfId="0" applyNumberFormat="1" applyFont="1" applyFill="1" applyBorder="1" applyAlignment="1">
      <alignment horizontal="left" indent="1"/>
    </xf>
    <xf numFmtId="3" fontId="23" fillId="8" borderId="27" xfId="0" applyNumberFormat="1" applyFont="1" applyFill="1" applyBorder="1"/>
    <xf numFmtId="3" fontId="24" fillId="8" borderId="26" xfId="0" applyNumberFormat="1" applyFont="1" applyFill="1" applyBorder="1" applyAlignment="1">
      <alignment horizontal="left"/>
    </xf>
    <xf numFmtId="3" fontId="24" fillId="8" borderId="27" xfId="0" applyNumberFormat="1" applyFont="1" applyFill="1" applyBorder="1"/>
    <xf numFmtId="3" fontId="23" fillId="4" borderId="26" xfId="0" applyNumberFormat="1" applyFont="1" applyFill="1" applyBorder="1" applyAlignment="1">
      <alignment horizontal="left" indent="1"/>
    </xf>
    <xf numFmtId="3" fontId="23" fillId="4" borderId="27" xfId="0" applyNumberFormat="1" applyFont="1" applyFill="1" applyBorder="1"/>
    <xf numFmtId="3" fontId="27" fillId="0" borderId="0" xfId="0" applyNumberFormat="1" applyFont="1" applyFill="1" applyBorder="1"/>
    <xf numFmtId="3" fontId="23" fillId="3" borderId="26" xfId="0" applyNumberFormat="1" applyFont="1" applyFill="1" applyBorder="1" applyAlignment="1">
      <alignment horizontal="left" indent="1"/>
    </xf>
    <xf numFmtId="3" fontId="23" fillId="3" borderId="27" xfId="0" applyNumberFormat="1" applyFont="1" applyFill="1" applyBorder="1"/>
    <xf numFmtId="1" fontId="28" fillId="0" borderId="0" xfId="0" applyNumberFormat="1" applyFont="1" applyFill="1" applyAlignment="1">
      <alignment horizontal="center"/>
    </xf>
    <xf numFmtId="3" fontId="24" fillId="0" borderId="26" xfId="0" applyNumberFormat="1" applyFont="1" applyFill="1" applyBorder="1"/>
    <xf numFmtId="3" fontId="40" fillId="0" borderId="27" xfId="0" applyNumberFormat="1" applyFont="1" applyFill="1" applyBorder="1" applyAlignment="1">
      <alignment horizontal="right"/>
    </xf>
    <xf numFmtId="3" fontId="23" fillId="0" borderId="26" xfId="0" applyNumberFormat="1" applyFont="1" applyFill="1" applyBorder="1"/>
    <xf numFmtId="3" fontId="18" fillId="0" borderId="0" xfId="0" applyNumberFormat="1" applyFont="1" applyFill="1" applyBorder="1"/>
    <xf numFmtId="3" fontId="18" fillId="0" borderId="27" xfId="0" applyNumberFormat="1" applyFont="1" applyFill="1" applyBorder="1" applyAlignment="1">
      <alignment horizontal="right"/>
    </xf>
    <xf numFmtId="3" fontId="40" fillId="0" borderId="26" xfId="0" applyNumberFormat="1" applyFont="1" applyFill="1" applyBorder="1"/>
    <xf numFmtId="3" fontId="18" fillId="0" borderId="26" xfId="0" applyNumberFormat="1" applyFont="1" applyFill="1" applyBorder="1"/>
    <xf numFmtId="3" fontId="18" fillId="0" borderId="0" xfId="0" applyNumberFormat="1" applyFont="1" applyFill="1" applyBorder="1" applyAlignment="1">
      <alignment horizontal="right"/>
    </xf>
    <xf numFmtId="3" fontId="18" fillId="0" borderId="28" xfId="0" applyNumberFormat="1" applyFont="1" applyFill="1" applyBorder="1"/>
    <xf numFmtId="3" fontId="18" fillId="0" borderId="23" xfId="0" applyNumberFormat="1" applyFont="1" applyFill="1" applyBorder="1" applyAlignment="1">
      <alignment horizontal="right"/>
    </xf>
    <xf numFmtId="3" fontId="18" fillId="0" borderId="29" xfId="0" applyNumberFormat="1" applyFont="1" applyFill="1" applyBorder="1" applyAlignment="1">
      <alignment horizontal="right"/>
    </xf>
    <xf numFmtId="3" fontId="23" fillId="0" borderId="28" xfId="0" applyNumberFormat="1" applyFont="1" applyFill="1" applyBorder="1" applyAlignment="1">
      <alignment horizontal="left" indent="1"/>
    </xf>
    <xf numFmtId="3" fontId="23" fillId="0" borderId="29" xfId="0" applyNumberFormat="1" applyFont="1" applyFill="1" applyBorder="1"/>
    <xf numFmtId="3" fontId="23" fillId="0" borderId="28" xfId="0" applyNumberFormat="1" applyFont="1" applyFill="1" applyBorder="1"/>
    <xf numFmtId="3" fontId="23" fillId="0" borderId="23" xfId="0" applyNumberFormat="1" applyFont="1" applyFill="1" applyBorder="1"/>
    <xf numFmtId="3" fontId="18" fillId="0" borderId="23" xfId="0" applyNumberFormat="1" applyFont="1" applyFill="1" applyBorder="1"/>
    <xf numFmtId="3" fontId="23" fillId="4" borderId="28" xfId="0" applyNumberFormat="1" applyFont="1" applyFill="1" applyBorder="1" applyAlignment="1">
      <alignment horizontal="left" indent="1"/>
    </xf>
    <xf numFmtId="3" fontId="23" fillId="4" borderId="29" xfId="0" applyNumberFormat="1" applyFont="1" applyFill="1" applyBorder="1"/>
    <xf numFmtId="3" fontId="23" fillId="8" borderId="28" xfId="0" applyNumberFormat="1" applyFont="1" applyFill="1" applyBorder="1" applyAlignment="1">
      <alignment horizontal="left" indent="1"/>
    </xf>
    <xf numFmtId="3" fontId="23" fillId="8" borderId="29" xfId="0" applyNumberFormat="1" applyFont="1" applyFill="1" applyBorder="1"/>
    <xf numFmtId="0" fontId="39" fillId="9" borderId="24" xfId="0" applyFont="1" applyFill="1" applyBorder="1"/>
    <xf numFmtId="0" fontId="27" fillId="9" borderId="30" xfId="0" applyFont="1" applyFill="1" applyBorder="1" applyAlignment="1">
      <alignment horizontal="right"/>
    </xf>
    <xf numFmtId="0" fontId="27" fillId="9" borderId="30" xfId="0" applyFont="1" applyFill="1" applyBorder="1"/>
    <xf numFmtId="0" fontId="23" fillId="0" borderId="26" xfId="0" applyFont="1" applyBorder="1"/>
    <xf numFmtId="3" fontId="23" fillId="0" borderId="27" xfId="0" applyNumberFormat="1" applyFont="1" applyBorder="1"/>
    <xf numFmtId="0" fontId="23" fillId="0" borderId="28" xfId="0" applyFont="1" applyBorder="1"/>
    <xf numFmtId="3" fontId="28" fillId="0" borderId="23" xfId="0" applyNumberFormat="1" applyFont="1" applyBorder="1"/>
    <xf numFmtId="3" fontId="28" fillId="0" borderId="29" xfId="0" applyNumberFormat="1" applyFont="1" applyBorder="1"/>
    <xf numFmtId="0" fontId="28" fillId="0" borderId="23" xfId="0" applyFont="1" applyBorder="1"/>
    <xf numFmtId="1" fontId="27" fillId="9" borderId="24" xfId="0" applyNumberFormat="1" applyFont="1" applyFill="1" applyBorder="1" applyAlignment="1">
      <alignment horizontal="center" vertical="center"/>
    </xf>
    <xf numFmtId="0" fontId="27" fillId="9" borderId="30" xfId="0" applyFont="1" applyFill="1" applyBorder="1" applyAlignment="1">
      <alignment vertical="center"/>
    </xf>
    <xf numFmtId="0" fontId="27" fillId="9" borderId="25" xfId="0" applyFont="1" applyFill="1" applyBorder="1" applyAlignment="1">
      <alignment horizontal="center" vertical="center"/>
    </xf>
    <xf numFmtId="1" fontId="18" fillId="0" borderId="26" xfId="0" applyNumberFormat="1" applyFont="1" applyFill="1" applyBorder="1" applyAlignment="1">
      <alignment horizontal="right" vertical="center"/>
    </xf>
    <xf numFmtId="0" fontId="23" fillId="0" borderId="27" xfId="0" applyFont="1" applyBorder="1" applyAlignment="1">
      <alignment horizontal="center" vertical="center"/>
    </xf>
    <xf numFmtId="1" fontId="18" fillId="0" borderId="26" xfId="0" applyNumberFormat="1" applyFont="1" applyFill="1" applyBorder="1" applyAlignment="1">
      <alignment horizontal="right" vertical="center" wrapText="1"/>
    </xf>
    <xf numFmtId="0" fontId="23" fillId="0" borderId="26" xfId="0" applyFont="1" applyBorder="1" applyAlignment="1">
      <alignment horizontal="right"/>
    </xf>
    <xf numFmtId="1" fontId="38" fillId="0" borderId="26" xfId="0" applyNumberFormat="1" applyFont="1" applyFill="1" applyBorder="1" applyAlignment="1">
      <alignment horizontal="right" vertical="center"/>
    </xf>
    <xf numFmtId="0" fontId="23" fillId="0" borderId="27" xfId="0" applyFont="1" applyFill="1" applyBorder="1" applyAlignment="1">
      <alignment horizontal="center" vertical="center"/>
    </xf>
    <xf numFmtId="1" fontId="18" fillId="0" borderId="26" xfId="1" applyNumberFormat="1" applyFont="1" applyFill="1" applyBorder="1" applyAlignment="1">
      <alignment horizontal="right" vertical="center"/>
    </xf>
    <xf numFmtId="1" fontId="38" fillId="0" borderId="26" xfId="0" applyNumberFormat="1" applyFont="1" applyFill="1" applyBorder="1" applyAlignment="1">
      <alignment horizontal="right" vertical="center" wrapText="1"/>
    </xf>
    <xf numFmtId="1" fontId="18" fillId="0" borderId="28" xfId="0" applyNumberFormat="1" applyFont="1" applyFill="1" applyBorder="1" applyAlignment="1">
      <alignment horizontal="right" vertical="center"/>
    </xf>
    <xf numFmtId="0" fontId="18" fillId="0" borderId="23" xfId="0" applyFont="1" applyFill="1" applyBorder="1" applyAlignment="1">
      <alignment vertical="center"/>
    </xf>
    <xf numFmtId="0" fontId="23" fillId="0" borderId="29" xfId="0" applyFont="1" applyBorder="1" applyAlignment="1">
      <alignment horizontal="center" vertical="center"/>
    </xf>
    <xf numFmtId="0" fontId="27" fillId="9" borderId="32" xfId="0" applyFont="1" applyFill="1" applyBorder="1" applyAlignment="1">
      <alignment vertical="center" wrapText="1"/>
    </xf>
    <xf numFmtId="0" fontId="23" fillId="0" borderId="33" xfId="0" applyFont="1" applyFill="1" applyBorder="1" applyAlignment="1">
      <alignment vertical="center" wrapText="1"/>
    </xf>
    <xf numFmtId="0" fontId="23" fillId="0" borderId="33" xfId="0" applyFont="1" applyBorder="1" applyAlignment="1">
      <alignment vertical="center" wrapText="1"/>
    </xf>
    <xf numFmtId="0" fontId="23" fillId="0" borderId="33" xfId="0" applyFont="1" applyFill="1" applyBorder="1" applyAlignment="1">
      <alignment horizontal="left" vertical="center" wrapText="1"/>
    </xf>
    <xf numFmtId="0" fontId="23" fillId="0" borderId="31" xfId="0" applyFont="1" applyFill="1" applyBorder="1" applyAlignment="1">
      <alignment vertical="center" wrapText="1"/>
    </xf>
    <xf numFmtId="0" fontId="24" fillId="0" borderId="26" xfId="0" applyFont="1" applyFill="1" applyBorder="1" applyAlignment="1">
      <alignment horizontal="center" vertical="center"/>
    </xf>
    <xf numFmtId="0" fontId="23" fillId="0" borderId="27" xfId="0" applyFont="1" applyBorder="1"/>
    <xf numFmtId="0" fontId="23" fillId="7" borderId="0" xfId="0" applyFont="1" applyFill="1" applyBorder="1" applyAlignment="1">
      <alignment horizontal="left"/>
    </xf>
    <xf numFmtId="0" fontId="23" fillId="7" borderId="0" xfId="0" applyFont="1" applyFill="1" applyBorder="1"/>
    <xf numFmtId="0" fontId="23" fillId="0" borderId="27" xfId="0" applyFont="1" applyFill="1" applyBorder="1"/>
    <xf numFmtId="0" fontId="24" fillId="0" borderId="28" xfId="0" applyFont="1" applyFill="1" applyBorder="1" applyAlignment="1">
      <alignment horizontal="center" vertical="center"/>
    </xf>
    <xf numFmtId="0" fontId="23" fillId="7" borderId="23" xfId="0" applyFont="1" applyFill="1" applyBorder="1"/>
    <xf numFmtId="0" fontId="23" fillId="0" borderId="23" xfId="0" applyFont="1" applyBorder="1"/>
    <xf numFmtId="0" fontId="23" fillId="0" borderId="29" xfId="0" applyFont="1" applyBorder="1"/>
    <xf numFmtId="0" fontId="23" fillId="0" borderId="26" xfId="0" applyFont="1" applyFill="1" applyBorder="1"/>
    <xf numFmtId="1" fontId="40" fillId="0" borderId="0" xfId="0" applyNumberFormat="1" applyFont="1" applyFill="1" applyBorder="1" applyAlignment="1">
      <alignment horizontal="right" vertical="center"/>
    </xf>
    <xf numFmtId="3" fontId="40" fillId="0" borderId="0" xfId="0" applyNumberFormat="1" applyFont="1" applyFill="1" applyBorder="1" applyAlignment="1">
      <alignment vertical="center"/>
    </xf>
    <xf numFmtId="0" fontId="40" fillId="0" borderId="0" xfId="0" applyFont="1" applyFill="1" applyBorder="1" applyAlignment="1">
      <alignment vertical="center"/>
    </xf>
    <xf numFmtId="1" fontId="40" fillId="0" borderId="0" xfId="0" applyNumberFormat="1" applyFont="1" applyFill="1" applyAlignment="1">
      <alignment horizontal="right" vertical="center"/>
    </xf>
    <xf numFmtId="0" fontId="40" fillId="0" borderId="0" xfId="0" applyFont="1" applyFill="1" applyAlignment="1">
      <alignment vertical="center"/>
    </xf>
    <xf numFmtId="3" fontId="23" fillId="0" borderId="27" xfId="0" applyNumberFormat="1" applyFont="1" applyFill="1" applyBorder="1" applyAlignment="1">
      <alignment horizontal="right"/>
    </xf>
    <xf numFmtId="3" fontId="23" fillId="3" borderId="0" xfId="0" applyNumberFormat="1" applyFont="1" applyFill="1" applyBorder="1" applyAlignment="1">
      <alignment horizontal="right"/>
    </xf>
    <xf numFmtId="3" fontId="23" fillId="3" borderId="27" xfId="0" applyNumberFormat="1" applyFont="1" applyFill="1" applyBorder="1" applyAlignment="1">
      <alignment horizontal="right"/>
    </xf>
    <xf numFmtId="0" fontId="27" fillId="9" borderId="0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27" fillId="9" borderId="34" xfId="0" applyFont="1" applyFill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/>
    </xf>
    <xf numFmtId="0" fontId="1" fillId="0" borderId="27" xfId="0" applyFont="1" applyBorder="1"/>
    <xf numFmtId="0" fontId="23" fillId="0" borderId="23" xfId="0" applyFont="1" applyBorder="1" applyAlignment="1">
      <alignment vertical="center" wrapText="1"/>
    </xf>
    <xf numFmtId="3" fontId="40" fillId="0" borderId="0" xfId="0" applyNumberFormat="1" applyFont="1" applyFill="1" applyBorder="1" applyAlignment="1">
      <alignment horizontal="center" vertical="center"/>
    </xf>
    <xf numFmtId="1" fontId="40" fillId="0" borderId="19" xfId="0" applyNumberFormat="1" applyFont="1" applyFill="1" applyBorder="1" applyAlignment="1">
      <alignment horizontal="right" vertical="center"/>
    </xf>
    <xf numFmtId="0" fontId="40" fillId="0" borderId="19" xfId="0" applyFont="1" applyFill="1" applyBorder="1" applyAlignment="1">
      <alignment vertical="center"/>
    </xf>
    <xf numFmtId="3" fontId="40" fillId="0" borderId="19" xfId="0" applyNumberFormat="1" applyFont="1" applyFill="1" applyBorder="1" applyAlignment="1">
      <alignment horizontal="center" vertical="center"/>
    </xf>
    <xf numFmtId="3" fontId="40" fillId="0" borderId="19" xfId="0" applyNumberFormat="1" applyFont="1" applyFill="1" applyBorder="1" applyAlignment="1">
      <alignment vertical="center"/>
    </xf>
    <xf numFmtId="0" fontId="0" fillId="0" borderId="0" xfId="0" applyFont="1" applyFill="1" applyAlignment="1" applyProtection="1">
      <alignment horizontal="left" vertical="top" wrapText="1"/>
      <protection locked="0"/>
    </xf>
    <xf numFmtId="0" fontId="23" fillId="0" borderId="0" xfId="0" applyFont="1" applyFill="1" applyAlignment="1" applyProtection="1">
      <alignment horizontal="left" vertical="center" wrapText="1"/>
      <protection locked="0"/>
    </xf>
    <xf numFmtId="0" fontId="24" fillId="0" borderId="0" xfId="0" applyFont="1" applyFill="1" applyAlignment="1" applyProtection="1">
      <alignment horizontal="left" vertical="center" wrapText="1"/>
      <protection locked="0"/>
    </xf>
    <xf numFmtId="0" fontId="19" fillId="0" borderId="0" xfId="0" applyFont="1" applyFill="1" applyAlignment="1" applyProtection="1">
      <alignment horizontal="left" vertical="center"/>
      <protection locked="0"/>
    </xf>
    <xf numFmtId="0" fontId="23" fillId="0" borderId="0" xfId="0" applyFont="1" applyFill="1" applyAlignment="1" applyProtection="1">
      <alignment horizontal="left" vertical="top" wrapText="1"/>
      <protection locked="0"/>
    </xf>
    <xf numFmtId="0" fontId="20" fillId="0" borderId="0" xfId="0" applyFont="1" applyFill="1" applyAlignment="1" applyProtection="1">
      <alignment horizontal="left" vertical="top" wrapText="1"/>
      <protection locked="0"/>
    </xf>
    <xf numFmtId="0" fontId="28" fillId="0" borderId="0" xfId="0" applyFont="1" applyFill="1" applyAlignment="1">
      <alignment horizontal="left"/>
    </xf>
    <xf numFmtId="0" fontId="27" fillId="9" borderId="1" xfId="0" applyFont="1" applyFill="1" applyBorder="1" applyAlignment="1">
      <alignment horizontal="center" vertical="center" wrapText="1"/>
    </xf>
    <xf numFmtId="0" fontId="27" fillId="9" borderId="0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7" fillId="9" borderId="2" xfId="0" applyFont="1" applyFill="1" applyBorder="1" applyAlignment="1">
      <alignment horizontal="center" vertical="center" wrapText="1"/>
    </xf>
    <xf numFmtId="0" fontId="27" fillId="9" borderId="0" xfId="0" applyFont="1" applyFill="1" applyBorder="1" applyAlignment="1">
      <alignment horizontal="left" vertical="center"/>
    </xf>
    <xf numFmtId="0" fontId="27" fillId="9" borderId="3" xfId="0" applyFont="1" applyFill="1" applyBorder="1" applyAlignment="1">
      <alignment horizontal="left" vertical="center"/>
    </xf>
    <xf numFmtId="0" fontId="27" fillId="9" borderId="0" xfId="0" applyFont="1" applyFill="1" applyAlignment="1">
      <alignment horizontal="left" vertical="center"/>
    </xf>
    <xf numFmtId="0" fontId="27" fillId="9" borderId="23" xfId="0" applyFont="1" applyFill="1" applyBorder="1" applyAlignment="1">
      <alignment horizontal="center"/>
    </xf>
    <xf numFmtId="0" fontId="27" fillId="9" borderId="0" xfId="0" applyFont="1" applyFill="1" applyBorder="1" applyAlignment="1">
      <alignment horizontal="center" vertical="center"/>
    </xf>
    <xf numFmtId="3" fontId="35" fillId="9" borderId="0" xfId="0" applyNumberFormat="1" applyFont="1" applyFill="1" applyAlignment="1">
      <alignment horizontal="center" vertical="center" wrapText="1"/>
    </xf>
    <xf numFmtId="3" fontId="35" fillId="9" borderId="0" xfId="0" applyNumberFormat="1" applyFont="1" applyFill="1" applyAlignment="1">
      <alignment horizontal="center" vertical="center"/>
    </xf>
    <xf numFmtId="3" fontId="28" fillId="0" borderId="0" xfId="0" applyNumberFormat="1" applyFont="1" applyFill="1" applyAlignment="1">
      <alignment horizontal="center"/>
    </xf>
    <xf numFmtId="1" fontId="28" fillId="0" borderId="0" xfId="0" applyNumberFormat="1" applyFont="1" applyFill="1" applyAlignment="1">
      <alignment horizontal="center"/>
    </xf>
    <xf numFmtId="0" fontId="27" fillId="9" borderId="30" xfId="0" applyFont="1" applyFill="1" applyBorder="1" applyAlignment="1">
      <alignment horizontal="center"/>
    </xf>
    <xf numFmtId="0" fontId="27" fillId="9" borderId="25" xfId="0" applyFont="1" applyFill="1" applyBorder="1" applyAlignment="1">
      <alignment horizontal="center"/>
    </xf>
    <xf numFmtId="0" fontId="28" fillId="0" borderId="0" xfId="0" applyFont="1" applyFill="1" applyAlignment="1">
      <alignment horizontal="center" vertical="center" wrapText="1"/>
    </xf>
  </cellXfs>
  <cellStyles count="6">
    <cellStyle name="Normálna 2" xfId="4"/>
    <cellStyle name="Normálna 2 2" xfId="5"/>
    <cellStyle name="Normálne" xfId="0" builtinId="0"/>
    <cellStyle name="Normálne 2" xfId="2"/>
    <cellStyle name="normální_Triedenévýdavky01" xfId="1"/>
    <cellStyle name="Percentá" xfId="3" builtinId="5"/>
  </cellStyles>
  <dxfs count="140"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 patternType="solid">
          <fgColor rgb="FFDCE6F1"/>
          <bgColor rgb="FFDCE6F1"/>
        </patternFill>
      </fill>
    </dxf>
    <dxf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B8CCE4"/>
          <bgColor rgb="FFB8CCE4"/>
        </patternFill>
      </fill>
    </dxf>
    <dxf>
      <font>
        <b/>
        <color rgb="FF000000"/>
      </font>
      <border>
        <left style="medium">
          <color rgb="FFB8CCE4"/>
        </left>
        <right style="medium">
          <color rgb="FFB8CCE4"/>
        </right>
        <top style="medium">
          <color rgb="FFB8CCE4"/>
        </top>
        <bottom style="medium">
          <color rgb="FFB8CCE4"/>
        </bottom>
      </border>
    </dxf>
    <dxf>
      <border>
        <left style="thin">
          <color rgb="FF95B3D7"/>
        </left>
        <right style="thin">
          <color rgb="FF95B3D7"/>
        </right>
      </border>
    </dxf>
    <dxf>
      <border>
        <top style="thin">
          <color rgb="FF95B3D7"/>
        </top>
        <bottom style="thin">
          <color rgb="FF95B3D7"/>
        </bottom>
        <horizontal style="thin">
          <color rgb="FF95B3D7"/>
        </horizontal>
      </border>
    </dxf>
    <dxf>
      <font>
        <b/>
        <color rgb="FF000000"/>
      </font>
      <border>
        <top style="thin">
          <color rgb="FF366092"/>
        </top>
        <bottom style="medium">
          <color rgb="FF366092"/>
        </bottom>
      </border>
    </dxf>
    <dxf>
      <font>
        <b/>
        <color rgb="FFFFFFFF"/>
      </font>
      <fill>
        <patternFill patternType="solid">
          <fgColor rgb="FF4F81BD"/>
          <bgColor rgb="FF4F81BD"/>
        </patternFill>
      </fill>
      <border>
        <top style="medium">
          <color rgb="FF366092"/>
        </top>
      </border>
    </dxf>
    <dxf>
      <font>
        <color rgb="FF000000"/>
      </font>
    </dxf>
    <dxf>
      <fill>
        <patternFill patternType="solid">
          <fgColor rgb="FFDCE6F1"/>
          <bgColor rgb="FFDCE6F1"/>
        </patternFill>
      </fill>
    </dxf>
    <dxf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B8CCE4"/>
          <bgColor rgb="FFB8CCE4"/>
        </patternFill>
      </fill>
    </dxf>
    <dxf>
      <font>
        <b/>
        <color rgb="FF000000"/>
      </font>
      <border>
        <left style="medium">
          <color rgb="FFB8CCE4"/>
        </left>
        <right style="medium">
          <color rgb="FFB8CCE4"/>
        </right>
        <top style="medium">
          <color rgb="FFB8CCE4"/>
        </top>
        <bottom style="medium">
          <color rgb="FFB8CCE4"/>
        </bottom>
      </border>
    </dxf>
    <dxf>
      <border>
        <left style="thin">
          <color rgb="FF95B3D7"/>
        </left>
        <right style="thin">
          <color rgb="FF95B3D7"/>
        </right>
      </border>
    </dxf>
    <dxf>
      <border>
        <top style="thin">
          <color rgb="FF95B3D7"/>
        </top>
        <bottom style="thin">
          <color rgb="FF95B3D7"/>
        </bottom>
        <horizontal style="thin">
          <color rgb="FF95B3D7"/>
        </horizontal>
      </border>
    </dxf>
    <dxf>
      <font>
        <b/>
        <color rgb="FF000000"/>
      </font>
      <border>
        <top style="thin">
          <color rgb="FF366092"/>
        </top>
        <bottom style="medium">
          <color rgb="FF366092"/>
        </bottom>
      </border>
    </dxf>
    <dxf>
      <font>
        <b/>
        <color rgb="FFFFFFFF"/>
      </font>
      <fill>
        <patternFill patternType="solid">
          <fgColor rgb="FF4F81BD"/>
          <bgColor rgb="FF4F81BD"/>
        </patternFill>
      </fill>
      <border>
        <top style="medium">
          <color rgb="FF366092"/>
        </top>
      </border>
    </dxf>
    <dxf>
      <font>
        <color rgb="FF000000"/>
      </font>
    </dxf>
    <dxf>
      <fill>
        <patternFill patternType="solid">
          <fgColor rgb="FFDCE6F1"/>
          <bgColor rgb="FFDCE6F1"/>
        </patternFill>
      </fill>
    </dxf>
    <dxf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B8CCE4"/>
          <bgColor rgb="FFB8CCE4"/>
        </patternFill>
      </fill>
    </dxf>
    <dxf>
      <font>
        <b/>
        <color rgb="FF000000"/>
      </font>
      <border>
        <left style="medium">
          <color rgb="FFB8CCE4"/>
        </left>
        <right style="medium">
          <color rgb="FFB8CCE4"/>
        </right>
        <top style="medium">
          <color rgb="FFB8CCE4"/>
        </top>
        <bottom style="medium">
          <color rgb="FFB8CCE4"/>
        </bottom>
      </border>
    </dxf>
    <dxf>
      <border>
        <left style="thin">
          <color rgb="FF95B3D7"/>
        </left>
        <right style="thin">
          <color rgb="FF95B3D7"/>
        </right>
      </border>
    </dxf>
    <dxf>
      <border>
        <top style="thin">
          <color rgb="FF95B3D7"/>
        </top>
        <bottom style="thin">
          <color rgb="FF95B3D7"/>
        </bottom>
        <horizontal style="thin">
          <color rgb="FF95B3D7"/>
        </horizontal>
      </border>
    </dxf>
    <dxf>
      <font>
        <b/>
        <color rgb="FF000000"/>
      </font>
      <border>
        <top style="thin">
          <color rgb="FF366092"/>
        </top>
        <bottom style="medium">
          <color rgb="FF366092"/>
        </bottom>
      </border>
    </dxf>
    <dxf>
      <font>
        <b/>
        <color rgb="FFFFFFFF"/>
      </font>
      <fill>
        <patternFill patternType="solid">
          <fgColor rgb="FF4F81BD"/>
          <bgColor rgb="FF4F81BD"/>
        </patternFill>
      </fill>
      <border>
        <top style="medium">
          <color rgb="FF366092"/>
        </top>
      </border>
    </dxf>
    <dxf>
      <font>
        <color rgb="FF000000"/>
      </font>
    </dxf>
    <dxf>
      <fill>
        <patternFill patternType="solid">
          <fgColor rgb="FFDCE6F1"/>
          <bgColor rgb="FFDCE6F1"/>
        </patternFill>
      </fill>
    </dxf>
    <dxf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B8CCE4"/>
          <bgColor rgb="FFB8CCE4"/>
        </patternFill>
      </fill>
    </dxf>
    <dxf>
      <font>
        <b/>
        <color rgb="FF000000"/>
      </font>
      <border>
        <left style="medium">
          <color rgb="FFB8CCE4"/>
        </left>
        <right style="medium">
          <color rgb="FFB8CCE4"/>
        </right>
        <top style="medium">
          <color rgb="FFB8CCE4"/>
        </top>
        <bottom style="medium">
          <color rgb="FFB8CCE4"/>
        </bottom>
      </border>
    </dxf>
    <dxf>
      <border>
        <left style="thin">
          <color rgb="FF95B3D7"/>
        </left>
        <right style="thin">
          <color rgb="FF95B3D7"/>
        </right>
      </border>
    </dxf>
    <dxf>
      <border>
        <top style="thin">
          <color rgb="FF95B3D7"/>
        </top>
        <bottom style="thin">
          <color rgb="FF95B3D7"/>
        </bottom>
        <horizontal style="thin">
          <color rgb="FF95B3D7"/>
        </horizontal>
      </border>
    </dxf>
    <dxf>
      <font>
        <b/>
        <color rgb="FF000000"/>
      </font>
      <border>
        <top style="thin">
          <color rgb="FF366092"/>
        </top>
        <bottom style="medium">
          <color rgb="FF366092"/>
        </bottom>
      </border>
    </dxf>
    <dxf>
      <font>
        <b/>
        <color rgb="FFFFFFFF"/>
      </font>
      <fill>
        <patternFill patternType="solid">
          <fgColor rgb="FF4F81BD"/>
          <bgColor rgb="FF4F81BD"/>
        </patternFill>
      </fill>
      <border>
        <top style="medium">
          <color rgb="FF366092"/>
        </top>
      </border>
    </dxf>
    <dxf>
      <font>
        <color rgb="FF000000"/>
      </font>
    </dxf>
    <dxf>
      <fill>
        <patternFill patternType="solid">
          <fgColor rgb="FFDCE6F1"/>
          <bgColor rgb="FFDCE6F1"/>
        </patternFill>
      </fill>
    </dxf>
    <dxf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B8CCE4"/>
          <bgColor rgb="FFB8CCE4"/>
        </patternFill>
      </fill>
    </dxf>
    <dxf>
      <font>
        <b/>
        <color rgb="FF000000"/>
      </font>
      <border>
        <left style="medium">
          <color rgb="FFB8CCE4"/>
        </left>
        <right style="medium">
          <color rgb="FFB8CCE4"/>
        </right>
        <top style="medium">
          <color rgb="FFB8CCE4"/>
        </top>
        <bottom style="medium">
          <color rgb="FFB8CCE4"/>
        </bottom>
      </border>
    </dxf>
    <dxf>
      <border>
        <left style="thin">
          <color rgb="FF95B3D7"/>
        </left>
        <right style="thin">
          <color rgb="FF95B3D7"/>
        </right>
      </border>
    </dxf>
    <dxf>
      <border>
        <top style="thin">
          <color rgb="FF95B3D7"/>
        </top>
        <bottom style="thin">
          <color rgb="FF95B3D7"/>
        </bottom>
        <horizontal style="thin">
          <color rgb="FF95B3D7"/>
        </horizontal>
      </border>
    </dxf>
    <dxf>
      <font>
        <b/>
        <color rgb="FF000000"/>
      </font>
      <border>
        <top style="thin">
          <color rgb="FF366092"/>
        </top>
        <bottom style="medium">
          <color rgb="FF366092"/>
        </bottom>
      </border>
    </dxf>
    <dxf>
      <font>
        <b/>
        <color rgb="FFFFFFFF"/>
      </font>
      <fill>
        <patternFill patternType="solid">
          <fgColor rgb="FF4F81BD"/>
          <bgColor rgb="FF4F81BD"/>
        </patternFill>
      </fill>
      <border>
        <top style="medium">
          <color rgb="FF366092"/>
        </top>
      </border>
    </dxf>
    <dxf>
      <font>
        <color rgb="FF000000"/>
      </font>
    </dxf>
    <dxf>
      <fill>
        <patternFill patternType="solid">
          <fgColor rgb="FFDCE6F1"/>
          <bgColor rgb="FFDCE6F1"/>
        </patternFill>
      </fill>
    </dxf>
    <dxf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B8CCE4"/>
          <bgColor rgb="FFB8CCE4"/>
        </patternFill>
      </fill>
    </dxf>
    <dxf>
      <font>
        <b/>
        <color rgb="FF000000"/>
      </font>
      <border>
        <left style="medium">
          <color rgb="FFB8CCE4"/>
        </left>
        <right style="medium">
          <color rgb="FFB8CCE4"/>
        </right>
        <top style="medium">
          <color rgb="FFB8CCE4"/>
        </top>
        <bottom style="medium">
          <color rgb="FFB8CCE4"/>
        </bottom>
      </border>
    </dxf>
    <dxf>
      <border>
        <left style="thin">
          <color rgb="FF95B3D7"/>
        </left>
        <right style="thin">
          <color rgb="FF95B3D7"/>
        </right>
      </border>
    </dxf>
    <dxf>
      <border>
        <top style="thin">
          <color rgb="FF95B3D7"/>
        </top>
        <bottom style="thin">
          <color rgb="FF95B3D7"/>
        </bottom>
        <horizontal style="thin">
          <color rgb="FF95B3D7"/>
        </horizontal>
      </border>
    </dxf>
    <dxf>
      <font>
        <b/>
        <color rgb="FF000000"/>
      </font>
      <border>
        <top style="thin">
          <color rgb="FF366092"/>
        </top>
        <bottom style="medium">
          <color rgb="FF366092"/>
        </bottom>
      </border>
    </dxf>
    <dxf>
      <font>
        <b/>
        <color rgb="FFFFFFFF"/>
      </font>
      <fill>
        <patternFill patternType="solid">
          <fgColor rgb="FF4F81BD"/>
          <bgColor rgb="FF4F81BD"/>
        </patternFill>
      </fill>
      <border>
        <top style="medium">
          <color rgb="FF366092"/>
        </top>
      </border>
    </dxf>
    <dxf>
      <font>
        <color rgb="FF000000"/>
      </font>
    </dxf>
    <dxf>
      <fill>
        <patternFill patternType="solid">
          <fgColor rgb="FFDCE6F1"/>
          <bgColor rgb="FFDCE6F1"/>
        </patternFill>
      </fill>
    </dxf>
    <dxf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B8CCE4"/>
          <bgColor rgb="FFB8CCE4"/>
        </patternFill>
      </fill>
    </dxf>
    <dxf>
      <font>
        <b/>
        <color rgb="FF000000"/>
      </font>
      <border>
        <left style="medium">
          <color rgb="FFB8CCE4"/>
        </left>
        <right style="medium">
          <color rgb="FFB8CCE4"/>
        </right>
        <top style="medium">
          <color rgb="FFB8CCE4"/>
        </top>
        <bottom style="medium">
          <color rgb="FFB8CCE4"/>
        </bottom>
      </border>
    </dxf>
    <dxf>
      <border>
        <left style="thin">
          <color rgb="FF95B3D7"/>
        </left>
        <right style="thin">
          <color rgb="FF95B3D7"/>
        </right>
      </border>
    </dxf>
    <dxf>
      <border>
        <top style="thin">
          <color rgb="FF95B3D7"/>
        </top>
        <bottom style="thin">
          <color rgb="FF95B3D7"/>
        </bottom>
        <horizontal style="thin">
          <color rgb="FF95B3D7"/>
        </horizontal>
      </border>
    </dxf>
    <dxf>
      <font>
        <b/>
        <color rgb="FF000000"/>
      </font>
      <border>
        <top style="thin">
          <color rgb="FF366092"/>
        </top>
        <bottom style="medium">
          <color rgb="FF366092"/>
        </bottom>
      </border>
    </dxf>
    <dxf>
      <font>
        <b/>
        <color rgb="FFFFFFFF"/>
      </font>
      <fill>
        <patternFill patternType="solid">
          <fgColor rgb="FF4F81BD"/>
          <bgColor rgb="FF4F81BD"/>
        </patternFill>
      </fill>
      <border>
        <top style="medium">
          <color rgb="FF366092"/>
        </top>
      </border>
    </dxf>
    <dxf>
      <font>
        <color rgb="FF000000"/>
      </font>
    </dxf>
    <dxf>
      <fill>
        <patternFill patternType="solid">
          <fgColor rgb="FFDCE6F1"/>
          <bgColor rgb="FFDCE6F1"/>
        </patternFill>
      </fill>
    </dxf>
    <dxf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DCE6F1"/>
          <bgColor rgb="FFDCE6F1"/>
        </patternFill>
      </fill>
    </dxf>
    <dxf>
      <font>
        <b/>
        <color rgb="FF000000"/>
      </font>
    </dxf>
    <dxf>
      <font>
        <b/>
        <color rgb="FF000000"/>
      </font>
      <fill>
        <patternFill patternType="solid">
          <fgColor rgb="FFB8CCE4"/>
          <bgColor rgb="FFB8CCE4"/>
        </patternFill>
      </fill>
    </dxf>
    <dxf>
      <font>
        <b/>
        <color rgb="FF000000"/>
      </font>
      <border>
        <left style="medium">
          <color rgb="FFB8CCE4"/>
        </left>
        <right style="medium">
          <color rgb="FFB8CCE4"/>
        </right>
        <top style="medium">
          <color rgb="FFB8CCE4"/>
        </top>
        <bottom style="medium">
          <color rgb="FFB8CCE4"/>
        </bottom>
      </border>
    </dxf>
    <dxf>
      <border>
        <left style="thin">
          <color rgb="FF95B3D7"/>
        </left>
        <right style="thin">
          <color rgb="FF95B3D7"/>
        </right>
      </border>
    </dxf>
    <dxf>
      <border>
        <top style="thin">
          <color rgb="FF95B3D7"/>
        </top>
        <bottom style="thin">
          <color rgb="FF95B3D7"/>
        </bottom>
        <horizontal style="thin">
          <color rgb="FF95B3D7"/>
        </horizontal>
      </border>
    </dxf>
    <dxf>
      <font>
        <b/>
        <color rgb="FF000000"/>
      </font>
      <border>
        <top style="thin">
          <color rgb="FF366092"/>
        </top>
        <bottom style="medium">
          <color rgb="FF366092"/>
        </bottom>
      </border>
    </dxf>
    <dxf>
      <font>
        <b/>
        <color rgb="FFFFFFFF"/>
      </font>
      <fill>
        <patternFill patternType="solid">
          <fgColor rgb="FF4F81BD"/>
          <bgColor rgb="FF4F81BD"/>
        </patternFill>
      </fill>
      <border>
        <top style="medium">
          <color rgb="FF366092"/>
        </top>
      </border>
    </dxf>
    <dxf>
      <font>
        <color rgb="FF000000"/>
      </font>
    </dxf>
  </dxfs>
  <tableStyles count="8" defaultTableStyle="TableStyleMedium2" defaultPivotStyle="PivotStyleLight16">
    <tableStyle name="PivotStyleMedium9 2" table="0" count="12">
      <tableStyleElement type="wholeTable" dxfId="139"/>
      <tableStyleElement type="headerRow" dxfId="138"/>
      <tableStyleElement type="totalRow" dxfId="137"/>
      <tableStyleElement type="firstRowStripe" dxfId="136"/>
      <tableStyleElement type="firstColumnStripe" dxfId="135"/>
      <tableStyleElement type="firstSubtotalColumn" dxfId="134"/>
      <tableStyleElement type="firstSubtotalRow" dxfId="133"/>
      <tableStyleElement type="secondSubtotalRow" dxfId="132"/>
      <tableStyleElement type="firstRowSubheading" dxfId="131"/>
      <tableStyleElement type="secondRowSubheading" dxfId="130"/>
      <tableStyleElement type="pageFieldLabels" dxfId="129"/>
      <tableStyleElement type="pageFieldValues" dxfId="128"/>
    </tableStyle>
    <tableStyle name="PivotStyleMedium9 3" table="0" count="12">
      <tableStyleElement type="wholeTable" dxfId="127"/>
      <tableStyleElement type="headerRow" dxfId="126"/>
      <tableStyleElement type="totalRow" dxfId="125"/>
      <tableStyleElement type="firstRowStripe" dxfId="124"/>
      <tableStyleElement type="firstColumnStripe" dxfId="123"/>
      <tableStyleElement type="firstSubtotalColumn" dxfId="122"/>
      <tableStyleElement type="firstSubtotalRow" dxfId="121"/>
      <tableStyleElement type="secondSubtotalRow" dxfId="120"/>
      <tableStyleElement type="firstRowSubheading" dxfId="119"/>
      <tableStyleElement type="secondRowSubheading" dxfId="118"/>
      <tableStyleElement type="pageFieldLabels" dxfId="117"/>
      <tableStyleElement type="pageFieldValues" dxfId="116"/>
    </tableStyle>
    <tableStyle name="PivotStyleMedium9 4" table="0" count="12">
      <tableStyleElement type="wholeTable" dxfId="115"/>
      <tableStyleElement type="headerRow" dxfId="114"/>
      <tableStyleElement type="totalRow" dxfId="113"/>
      <tableStyleElement type="firstRowStripe" dxfId="112"/>
      <tableStyleElement type="firstColumnStripe" dxfId="111"/>
      <tableStyleElement type="firstSubtotalColumn" dxfId="110"/>
      <tableStyleElement type="firstSubtotalRow" dxfId="109"/>
      <tableStyleElement type="secondSubtotalRow" dxfId="108"/>
      <tableStyleElement type="firstRowSubheading" dxfId="107"/>
      <tableStyleElement type="secondRowSubheading" dxfId="106"/>
      <tableStyleElement type="pageFieldLabels" dxfId="105"/>
      <tableStyleElement type="pageFieldValues" dxfId="104"/>
    </tableStyle>
    <tableStyle name="PivotStyleMedium9 5" table="0" count="12">
      <tableStyleElement type="wholeTable" dxfId="103"/>
      <tableStyleElement type="headerRow" dxfId="102"/>
      <tableStyleElement type="totalRow" dxfId="101"/>
      <tableStyleElement type="firstRowStripe" dxfId="100"/>
      <tableStyleElement type="firstColumnStripe" dxfId="99"/>
      <tableStyleElement type="firstSubtotalColumn" dxfId="98"/>
      <tableStyleElement type="firstSubtotalRow" dxfId="97"/>
      <tableStyleElement type="secondSubtotalRow" dxfId="96"/>
      <tableStyleElement type="firstRowSubheading" dxfId="95"/>
      <tableStyleElement type="secondRowSubheading" dxfId="94"/>
      <tableStyleElement type="pageFieldLabels" dxfId="93"/>
      <tableStyleElement type="pageFieldValues" dxfId="92"/>
    </tableStyle>
    <tableStyle name="PivotStyleMedium9 6" table="0" count="12">
      <tableStyleElement type="wholeTable" dxfId="91"/>
      <tableStyleElement type="headerRow" dxfId="90"/>
      <tableStyleElement type="totalRow" dxfId="89"/>
      <tableStyleElement type="firstRowStripe" dxfId="88"/>
      <tableStyleElement type="firstColumnStripe" dxfId="87"/>
      <tableStyleElement type="firstSubtotalColumn" dxfId="86"/>
      <tableStyleElement type="firstSubtotalRow" dxfId="85"/>
      <tableStyleElement type="secondSubtotalRow" dxfId="84"/>
      <tableStyleElement type="firstRowSubheading" dxfId="83"/>
      <tableStyleElement type="secondRowSubheading" dxfId="82"/>
      <tableStyleElement type="pageFieldLabels" dxfId="81"/>
      <tableStyleElement type="pageFieldValues" dxfId="80"/>
    </tableStyle>
    <tableStyle name="PivotStyleMedium9 7" table="0" count="12">
      <tableStyleElement type="wholeTable" dxfId="79"/>
      <tableStyleElement type="headerRow" dxfId="78"/>
      <tableStyleElement type="totalRow" dxfId="77"/>
      <tableStyleElement type="firstRowStripe" dxfId="76"/>
      <tableStyleElement type="firstColumnStripe" dxfId="75"/>
      <tableStyleElement type="firstSubtotalColumn" dxfId="74"/>
      <tableStyleElement type="firstSubtotalRow" dxfId="73"/>
      <tableStyleElement type="secondSubtotalRow" dxfId="72"/>
      <tableStyleElement type="firstRowSubheading" dxfId="71"/>
      <tableStyleElement type="secondRowSubheading" dxfId="70"/>
      <tableStyleElement type="pageFieldLabels" dxfId="69"/>
      <tableStyleElement type="pageFieldValues" dxfId="68"/>
    </tableStyle>
    <tableStyle name="PivotStyleMedium9 8" table="0" count="12">
      <tableStyleElement type="wholeTable" dxfId="67"/>
      <tableStyleElement type="headerRow" dxfId="66"/>
      <tableStyleElement type="totalRow" dxfId="65"/>
      <tableStyleElement type="firstRowStripe" dxfId="64"/>
      <tableStyleElement type="firstColumnStripe" dxfId="63"/>
      <tableStyleElement type="firstSubtotalColumn" dxfId="62"/>
      <tableStyleElement type="firstSubtotalRow" dxfId="61"/>
      <tableStyleElement type="secondSubtotalRow" dxfId="60"/>
      <tableStyleElement type="firstRowSubheading" dxfId="59"/>
      <tableStyleElement type="secondRowSubheading" dxfId="58"/>
      <tableStyleElement type="pageFieldLabels" dxfId="57"/>
      <tableStyleElement type="pageFieldValues" dxfId="56"/>
    </tableStyle>
    <tableStyle name="PivotStyleMedium9 9" table="0" count="12">
      <tableStyleElement type="wholeTable" dxfId="55"/>
      <tableStyleElement type="headerRow" dxfId="54"/>
      <tableStyleElement type="totalRow" dxfId="53"/>
      <tableStyleElement type="firstRowStripe" dxfId="52"/>
      <tableStyleElement type="firstColumnStripe" dxfId="51"/>
      <tableStyleElement type="firstSubtotalColumn" dxfId="50"/>
      <tableStyleElement type="firstSubtotalRow" dxfId="49"/>
      <tableStyleElement type="secondSubtotalRow" dxfId="48"/>
      <tableStyleElement type="firstRowSubheading" dxfId="47"/>
      <tableStyleElement type="secondRowSubheading" dxfId="46"/>
      <tableStyleElement type="pageFieldLabels" dxfId="45"/>
      <tableStyleElement type="pageFieldValues" dxfId="44"/>
    </tableStyle>
  </tableStyles>
  <colors>
    <mruColors>
      <color rgb="FF13B5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Výnosy 10-ročných dlhopisov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uroky!$N$10:$BL$10</c:f>
              <c:numCache>
                <c:formatCode>General</c:formatCode>
                <c:ptCount val="5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  <c:pt idx="23">
                  <c:v>2036</c:v>
                </c:pt>
                <c:pt idx="24">
                  <c:v>2037</c:v>
                </c:pt>
                <c:pt idx="25">
                  <c:v>2038</c:v>
                </c:pt>
                <c:pt idx="26">
                  <c:v>2039</c:v>
                </c:pt>
                <c:pt idx="27">
                  <c:v>2040</c:v>
                </c:pt>
                <c:pt idx="28">
                  <c:v>2041</c:v>
                </c:pt>
                <c:pt idx="29">
                  <c:v>2042</c:v>
                </c:pt>
                <c:pt idx="30">
                  <c:v>2043</c:v>
                </c:pt>
                <c:pt idx="31">
                  <c:v>2044</c:v>
                </c:pt>
                <c:pt idx="32">
                  <c:v>2045</c:v>
                </c:pt>
                <c:pt idx="33">
                  <c:v>2046</c:v>
                </c:pt>
                <c:pt idx="34">
                  <c:v>2047</c:v>
                </c:pt>
                <c:pt idx="35">
                  <c:v>2048</c:v>
                </c:pt>
                <c:pt idx="36">
                  <c:v>2049</c:v>
                </c:pt>
                <c:pt idx="37">
                  <c:v>2050</c:v>
                </c:pt>
                <c:pt idx="38">
                  <c:v>2051</c:v>
                </c:pt>
                <c:pt idx="39">
                  <c:v>2052</c:v>
                </c:pt>
                <c:pt idx="40">
                  <c:v>2053</c:v>
                </c:pt>
                <c:pt idx="41">
                  <c:v>2054</c:v>
                </c:pt>
                <c:pt idx="42">
                  <c:v>2055</c:v>
                </c:pt>
                <c:pt idx="43">
                  <c:v>2056</c:v>
                </c:pt>
                <c:pt idx="44">
                  <c:v>2057</c:v>
                </c:pt>
                <c:pt idx="45">
                  <c:v>2058</c:v>
                </c:pt>
                <c:pt idx="46">
                  <c:v>2059</c:v>
                </c:pt>
                <c:pt idx="47">
                  <c:v>2060</c:v>
                </c:pt>
                <c:pt idx="48">
                  <c:v>2061</c:v>
                </c:pt>
                <c:pt idx="49">
                  <c:v>2062</c:v>
                </c:pt>
                <c:pt idx="50">
                  <c:v>2063</c:v>
                </c:pt>
              </c:numCache>
            </c:numRef>
          </c:cat>
          <c:val>
            <c:numRef>
              <c:f>uroky!$N$11:$BL$11</c:f>
              <c:numCache>
                <c:formatCode>0.0%</c:formatCode>
                <c:ptCount val="51"/>
                <c:pt idx="0">
                  <c:v>2.5784231366459624E-2</c:v>
                </c:pt>
                <c:pt idx="1">
                  <c:v>2.8317936507936507E-2</c:v>
                </c:pt>
                <c:pt idx="2">
                  <c:v>3.464248015873015E-2</c:v>
                </c:pt>
                <c:pt idx="3">
                  <c:v>4.0240396825396797E-2</c:v>
                </c:pt>
                <c:pt idx="4">
                  <c:v>4.3982063492063503E-2</c:v>
                </c:pt>
                <c:pt idx="5">
                  <c:v>5.0599999999999999E-2</c:v>
                </c:pt>
                <c:pt idx="6">
                  <c:v>5.0599999999999999E-2</c:v>
                </c:pt>
                <c:pt idx="7">
                  <c:v>5.0599999999999999E-2</c:v>
                </c:pt>
                <c:pt idx="8">
                  <c:v>5.0599999999999999E-2</c:v>
                </c:pt>
                <c:pt idx="9">
                  <c:v>5.0599999999999999E-2</c:v>
                </c:pt>
                <c:pt idx="10">
                  <c:v>5.0599999999999999E-2</c:v>
                </c:pt>
                <c:pt idx="11">
                  <c:v>5.0599999999999999E-2</c:v>
                </c:pt>
                <c:pt idx="12">
                  <c:v>5.0599999999999999E-2</c:v>
                </c:pt>
                <c:pt idx="13">
                  <c:v>5.0599999999999999E-2</c:v>
                </c:pt>
                <c:pt idx="14">
                  <c:v>5.0599999999999999E-2</c:v>
                </c:pt>
                <c:pt idx="15">
                  <c:v>5.0599999999999999E-2</c:v>
                </c:pt>
                <c:pt idx="16">
                  <c:v>5.0599999999999999E-2</c:v>
                </c:pt>
                <c:pt idx="17">
                  <c:v>5.0599999999999999E-2</c:v>
                </c:pt>
                <c:pt idx="18">
                  <c:v>5.0599999999999999E-2</c:v>
                </c:pt>
                <c:pt idx="19">
                  <c:v>5.0599999999999999E-2</c:v>
                </c:pt>
                <c:pt idx="20">
                  <c:v>5.0599999999999999E-2</c:v>
                </c:pt>
                <c:pt idx="21">
                  <c:v>5.0599999999999999E-2</c:v>
                </c:pt>
                <c:pt idx="22">
                  <c:v>5.0599999999999999E-2</c:v>
                </c:pt>
                <c:pt idx="23">
                  <c:v>5.0599999999999999E-2</c:v>
                </c:pt>
                <c:pt idx="24">
                  <c:v>5.0599999999999999E-2</c:v>
                </c:pt>
                <c:pt idx="25">
                  <c:v>5.0599999999999999E-2</c:v>
                </c:pt>
                <c:pt idx="26">
                  <c:v>5.0599999999999999E-2</c:v>
                </c:pt>
                <c:pt idx="27">
                  <c:v>5.0599999999999999E-2</c:v>
                </c:pt>
                <c:pt idx="28">
                  <c:v>5.0599999999999999E-2</c:v>
                </c:pt>
                <c:pt idx="29">
                  <c:v>5.0599999999999999E-2</c:v>
                </c:pt>
                <c:pt idx="30">
                  <c:v>5.0599999999999999E-2</c:v>
                </c:pt>
                <c:pt idx="31">
                  <c:v>5.0599999999999999E-2</c:v>
                </c:pt>
                <c:pt idx="32">
                  <c:v>5.0599999999999999E-2</c:v>
                </c:pt>
                <c:pt idx="33">
                  <c:v>5.0599999999999999E-2</c:v>
                </c:pt>
                <c:pt idx="34">
                  <c:v>5.0599999999999999E-2</c:v>
                </c:pt>
                <c:pt idx="35">
                  <c:v>5.0599999999999999E-2</c:v>
                </c:pt>
                <c:pt idx="36">
                  <c:v>5.0599999999999999E-2</c:v>
                </c:pt>
                <c:pt idx="37">
                  <c:v>5.0599999999999999E-2</c:v>
                </c:pt>
                <c:pt idx="38">
                  <c:v>5.0599999999999999E-2</c:v>
                </c:pt>
                <c:pt idx="39">
                  <c:v>5.0599999999999999E-2</c:v>
                </c:pt>
                <c:pt idx="40">
                  <c:v>5.0599999999999999E-2</c:v>
                </c:pt>
                <c:pt idx="41">
                  <c:v>5.0599999999999999E-2</c:v>
                </c:pt>
                <c:pt idx="42">
                  <c:v>5.0599999999999999E-2</c:v>
                </c:pt>
                <c:pt idx="43">
                  <c:v>5.0599999999999999E-2</c:v>
                </c:pt>
                <c:pt idx="44">
                  <c:v>5.0599999999999999E-2</c:v>
                </c:pt>
                <c:pt idx="45">
                  <c:v>5.0599999999999999E-2</c:v>
                </c:pt>
                <c:pt idx="46">
                  <c:v>5.0599999999999999E-2</c:v>
                </c:pt>
                <c:pt idx="47">
                  <c:v>5.0599999999999999E-2</c:v>
                </c:pt>
                <c:pt idx="48">
                  <c:v>5.0599999999999999E-2</c:v>
                </c:pt>
                <c:pt idx="49">
                  <c:v>5.0599999999999999E-2</c:v>
                </c:pt>
                <c:pt idx="50">
                  <c:v>5.0599999999999999E-2</c:v>
                </c:pt>
              </c:numCache>
            </c:numRef>
          </c:val>
          <c:smooth val="0"/>
        </c:ser>
        <c:ser>
          <c:idx val="1"/>
          <c:order val="1"/>
          <c:tx>
            <c:v>Implicitná úroková sadzba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uroky!$N$10:$BL$10</c:f>
              <c:numCache>
                <c:formatCode>General</c:formatCode>
                <c:ptCount val="5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  <c:pt idx="23">
                  <c:v>2036</c:v>
                </c:pt>
                <c:pt idx="24">
                  <c:v>2037</c:v>
                </c:pt>
                <c:pt idx="25">
                  <c:v>2038</c:v>
                </c:pt>
                <c:pt idx="26">
                  <c:v>2039</c:v>
                </c:pt>
                <c:pt idx="27">
                  <c:v>2040</c:v>
                </c:pt>
                <c:pt idx="28">
                  <c:v>2041</c:v>
                </c:pt>
                <c:pt idx="29">
                  <c:v>2042</c:v>
                </c:pt>
                <c:pt idx="30">
                  <c:v>2043</c:v>
                </c:pt>
                <c:pt idx="31">
                  <c:v>2044</c:v>
                </c:pt>
                <c:pt idx="32">
                  <c:v>2045</c:v>
                </c:pt>
                <c:pt idx="33">
                  <c:v>2046</c:v>
                </c:pt>
                <c:pt idx="34">
                  <c:v>2047</c:v>
                </c:pt>
                <c:pt idx="35">
                  <c:v>2048</c:v>
                </c:pt>
                <c:pt idx="36">
                  <c:v>2049</c:v>
                </c:pt>
                <c:pt idx="37">
                  <c:v>2050</c:v>
                </c:pt>
                <c:pt idx="38">
                  <c:v>2051</c:v>
                </c:pt>
                <c:pt idx="39">
                  <c:v>2052</c:v>
                </c:pt>
                <c:pt idx="40">
                  <c:v>2053</c:v>
                </c:pt>
                <c:pt idx="41">
                  <c:v>2054</c:v>
                </c:pt>
                <c:pt idx="42">
                  <c:v>2055</c:v>
                </c:pt>
                <c:pt idx="43">
                  <c:v>2056</c:v>
                </c:pt>
                <c:pt idx="44">
                  <c:v>2057</c:v>
                </c:pt>
                <c:pt idx="45">
                  <c:v>2058</c:v>
                </c:pt>
                <c:pt idx="46">
                  <c:v>2059</c:v>
                </c:pt>
                <c:pt idx="47">
                  <c:v>2060</c:v>
                </c:pt>
                <c:pt idx="48">
                  <c:v>2061</c:v>
                </c:pt>
                <c:pt idx="49">
                  <c:v>2062</c:v>
                </c:pt>
                <c:pt idx="50">
                  <c:v>2063</c:v>
                </c:pt>
              </c:numCache>
            </c:numRef>
          </c:cat>
          <c:val>
            <c:numRef>
              <c:f>uroky!$N$18:$BL$18</c:f>
              <c:numCache>
                <c:formatCode>0.00%</c:formatCode>
                <c:ptCount val="51"/>
                <c:pt idx="0">
                  <c:v>3.7751219768356978E-2</c:v>
                </c:pt>
                <c:pt idx="1">
                  <c:v>3.5978127609907665E-2</c:v>
                </c:pt>
                <c:pt idx="2">
                  <c:v>3.543317898500211E-2</c:v>
                </c:pt>
                <c:pt idx="3">
                  <c:v>3.5529115439492637E-2</c:v>
                </c:pt>
                <c:pt idx="4">
                  <c:v>3.6426111598181203E-2</c:v>
                </c:pt>
                <c:pt idx="5">
                  <c:v>3.7821364692972183E-2</c:v>
                </c:pt>
                <c:pt idx="6">
                  <c:v>3.9736700052612282E-2</c:v>
                </c:pt>
                <c:pt idx="7">
                  <c:v>4.1413653768824825E-2</c:v>
                </c:pt>
                <c:pt idx="8">
                  <c:v>4.2955728380486904E-2</c:v>
                </c:pt>
                <c:pt idx="9">
                  <c:v>4.442305061750778E-2</c:v>
                </c:pt>
                <c:pt idx="10">
                  <c:v>4.5595093757989917E-2</c:v>
                </c:pt>
                <c:pt idx="11">
                  <c:v>4.8900592304003614E-2</c:v>
                </c:pt>
                <c:pt idx="12">
                  <c:v>5.0441300337182263E-2</c:v>
                </c:pt>
                <c:pt idx="13">
                  <c:v>5.1796446131098205E-2</c:v>
                </c:pt>
                <c:pt idx="14">
                  <c:v>5.2402415758114794E-2</c:v>
                </c:pt>
                <c:pt idx="15">
                  <c:v>5.262957101535428E-2</c:v>
                </c:pt>
                <c:pt idx="16">
                  <c:v>5.263828389028663E-2</c:v>
                </c:pt>
                <c:pt idx="17">
                  <c:v>5.258844047599702E-2</c:v>
                </c:pt>
                <c:pt idx="18">
                  <c:v>5.2561787922012881E-2</c:v>
                </c:pt>
                <c:pt idx="19">
                  <c:v>5.2554280270852634E-2</c:v>
                </c:pt>
                <c:pt idx="20">
                  <c:v>5.252927954579293E-2</c:v>
                </c:pt>
                <c:pt idx="21">
                  <c:v>5.206017884250199E-2</c:v>
                </c:pt>
                <c:pt idx="22">
                  <c:v>5.2555581056708781E-2</c:v>
                </c:pt>
                <c:pt idx="23">
                  <c:v>5.2393948784877686E-2</c:v>
                </c:pt>
                <c:pt idx="24">
                  <c:v>5.2456812577671805E-2</c:v>
                </c:pt>
                <c:pt idx="25">
                  <c:v>5.2407840475591591E-2</c:v>
                </c:pt>
                <c:pt idx="26">
                  <c:v>5.2401530550526126E-2</c:v>
                </c:pt>
                <c:pt idx="27">
                  <c:v>5.2415796119774871E-2</c:v>
                </c:pt>
                <c:pt idx="28">
                  <c:v>5.2392546617500466E-2</c:v>
                </c:pt>
                <c:pt idx="29">
                  <c:v>5.2390942619205627E-2</c:v>
                </c:pt>
                <c:pt idx="30">
                  <c:v>5.2404986362239558E-2</c:v>
                </c:pt>
                <c:pt idx="31">
                  <c:v>5.2399025797443162E-2</c:v>
                </c:pt>
                <c:pt idx="32">
                  <c:v>5.2159477330727559E-2</c:v>
                </c:pt>
                <c:pt idx="33">
                  <c:v>5.2405409987857476E-2</c:v>
                </c:pt>
                <c:pt idx="34">
                  <c:v>5.2341285097028505E-2</c:v>
                </c:pt>
                <c:pt idx="35">
                  <c:v>5.2378318459492319E-2</c:v>
                </c:pt>
                <c:pt idx="36">
                  <c:v>5.2363223515382973E-2</c:v>
                </c:pt>
                <c:pt idx="37">
                  <c:v>5.2372374390527596E-2</c:v>
                </c:pt>
                <c:pt idx="38">
                  <c:v>5.2393091110017033E-2</c:v>
                </c:pt>
                <c:pt idx="39">
                  <c:v>5.2378452258116534E-2</c:v>
                </c:pt>
                <c:pt idx="40">
                  <c:v>5.2366201558116714E-2</c:v>
                </c:pt>
                <c:pt idx="41">
                  <c:v>5.238180789532932E-2</c:v>
                </c:pt>
                <c:pt idx="42">
                  <c:v>5.2393628567725808E-2</c:v>
                </c:pt>
                <c:pt idx="43">
                  <c:v>5.2284712989785369E-2</c:v>
                </c:pt>
                <c:pt idx="44">
                  <c:v>5.2401939489311343E-2</c:v>
                </c:pt>
                <c:pt idx="45">
                  <c:v>5.2362837280951285E-2</c:v>
                </c:pt>
                <c:pt idx="46">
                  <c:v>5.2371591518158636E-2</c:v>
                </c:pt>
                <c:pt idx="47">
                  <c:v>5.2349647898743766E-2</c:v>
                </c:pt>
                <c:pt idx="48">
                  <c:v>5.2327833145540903E-2</c:v>
                </c:pt>
                <c:pt idx="49">
                  <c:v>5.2311966806649818E-2</c:v>
                </c:pt>
                <c:pt idx="50">
                  <c:v>5.2286156477722903E-2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419520"/>
        <c:axId val="328419128"/>
      </c:lineChart>
      <c:catAx>
        <c:axId val="32841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28419128"/>
        <c:crosses val="autoZero"/>
        <c:auto val="1"/>
        <c:lblAlgn val="ctr"/>
        <c:lblOffset val="100"/>
        <c:noMultiLvlLbl val="0"/>
      </c:catAx>
      <c:valAx>
        <c:axId val="328419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28419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493058</xdr:colOff>
      <xdr:row>89</xdr:row>
      <xdr:rowOff>107577</xdr:rowOff>
    </xdr:from>
    <xdr:to>
      <xdr:col>37</xdr:col>
      <xdr:colOff>224117</xdr:colOff>
      <xdr:row>103</xdr:row>
      <xdr:rowOff>161366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"/>
  <sheetViews>
    <sheetView showGridLines="0" tabSelected="1" workbookViewId="0">
      <selection sqref="A1:L1"/>
    </sheetView>
  </sheetViews>
  <sheetFormatPr defaultRowHeight="15" x14ac:dyDescent="0.25"/>
  <sheetData>
    <row r="1" spans="1:12" ht="21" x14ac:dyDescent="0.25">
      <c r="A1" s="441" t="s">
        <v>1148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</row>
    <row r="2" spans="1:12" ht="21" x14ac:dyDescent="0.25">
      <c r="A2" s="63"/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</row>
    <row r="3" spans="1:12" ht="30" customHeight="1" x14ac:dyDescent="0.25">
      <c r="A3" s="439" t="s">
        <v>1149</v>
      </c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</row>
    <row r="4" spans="1:12" s="39" customFormat="1" x14ac:dyDescent="0.25">
      <c r="A4" s="64"/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</row>
    <row r="5" spans="1:12" ht="87" customHeight="1" x14ac:dyDescent="0.25">
      <c r="A5" s="439" t="s">
        <v>1150</v>
      </c>
      <c r="B5" s="439"/>
      <c r="C5" s="439"/>
      <c r="D5" s="439"/>
      <c r="E5" s="439"/>
      <c r="F5" s="439"/>
      <c r="G5" s="439"/>
      <c r="H5" s="439"/>
      <c r="I5" s="439"/>
      <c r="J5" s="439"/>
      <c r="K5" s="439"/>
      <c r="L5" s="439"/>
    </row>
    <row r="6" spans="1:12" ht="15.75" x14ac:dyDescent="0.25">
      <c r="A6" s="65"/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</row>
    <row r="7" spans="1:12" ht="183.75" customHeight="1" x14ac:dyDescent="0.25">
      <c r="A7" s="442" t="s">
        <v>1151</v>
      </c>
      <c r="B7" s="442"/>
      <c r="C7" s="442"/>
      <c r="D7" s="442"/>
      <c r="E7" s="442"/>
      <c r="F7" s="442"/>
      <c r="G7" s="442"/>
      <c r="H7" s="442"/>
      <c r="I7" s="442"/>
      <c r="J7" s="442"/>
      <c r="K7" s="442"/>
      <c r="L7" s="442"/>
    </row>
    <row r="8" spans="1:12" x14ac:dyDescent="0.25">
      <c r="A8" s="66"/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</row>
    <row r="9" spans="1:12" ht="217.5" customHeight="1" x14ac:dyDescent="0.25">
      <c r="A9" s="440" t="s">
        <v>1152</v>
      </c>
      <c r="B9" s="440"/>
      <c r="C9" s="440"/>
      <c r="D9" s="440"/>
      <c r="E9" s="440"/>
      <c r="F9" s="440"/>
      <c r="G9" s="440"/>
      <c r="H9" s="440"/>
      <c r="I9" s="440"/>
      <c r="J9" s="440"/>
      <c r="K9" s="440"/>
      <c r="L9" s="440"/>
    </row>
    <row r="10" spans="1:12" x14ac:dyDescent="0.25">
      <c r="A10" s="443"/>
      <c r="B10" s="443"/>
      <c r="C10" s="443"/>
      <c r="D10" s="443"/>
      <c r="E10" s="443"/>
      <c r="F10" s="443"/>
      <c r="G10" s="443"/>
      <c r="H10" s="443"/>
      <c r="I10" s="443"/>
      <c r="J10" s="443"/>
      <c r="K10" s="443"/>
      <c r="L10" s="443"/>
    </row>
    <row r="11" spans="1:12" ht="57.75" customHeight="1" x14ac:dyDescent="0.25">
      <c r="A11" s="440" t="s">
        <v>1197</v>
      </c>
      <c r="B11" s="440"/>
      <c r="C11" s="440"/>
      <c r="D11" s="440"/>
      <c r="E11" s="440"/>
      <c r="F11" s="440"/>
      <c r="G11" s="440"/>
      <c r="H11" s="440"/>
      <c r="I11" s="440"/>
      <c r="J11" s="440"/>
      <c r="K11" s="440"/>
      <c r="L11" s="440"/>
    </row>
    <row r="12" spans="1:12" x14ac:dyDescent="0.25">
      <c r="A12" s="438"/>
      <c r="B12" s="438"/>
      <c r="C12" s="438"/>
      <c r="D12" s="438"/>
      <c r="E12" s="438"/>
      <c r="F12" s="438"/>
      <c r="G12" s="438"/>
      <c r="H12" s="438"/>
      <c r="I12" s="438"/>
      <c r="J12" s="438"/>
      <c r="K12" s="438"/>
      <c r="L12" s="438"/>
    </row>
    <row r="13" spans="1:12" x14ac:dyDescent="0.25">
      <c r="A13" s="61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</row>
  </sheetData>
  <mergeCells count="8">
    <mergeCell ref="A12:L12"/>
    <mergeCell ref="A5:L5"/>
    <mergeCell ref="A9:L9"/>
    <mergeCell ref="A11:L11"/>
    <mergeCell ref="A1:L1"/>
    <mergeCell ref="A3:L3"/>
    <mergeCell ref="A7:L7"/>
    <mergeCell ref="A10:L10"/>
  </mergeCells>
  <pageMargins left="0.7" right="0.7" top="0.75" bottom="0.75" header="0.3" footer="0.3"/>
  <pageSetup orientation="portrait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árok4">
    <tabColor rgb="FFFFC000"/>
  </sheetPr>
  <dimension ref="A1:K60"/>
  <sheetViews>
    <sheetView showGridLines="0" workbookViewId="0"/>
  </sheetViews>
  <sheetFormatPr defaultRowHeight="15" x14ac:dyDescent="0.25"/>
  <cols>
    <col min="1" max="1" width="9.28515625" style="12" bestFit="1" customWidth="1"/>
    <col min="2" max="2" width="34.7109375" style="6" customWidth="1"/>
    <col min="3" max="3" width="9.28515625" style="31" bestFit="1" customWidth="1"/>
    <col min="4" max="4" width="9.42578125" style="6" bestFit="1" customWidth="1"/>
    <col min="5" max="5" width="9.28515625" style="6" bestFit="1" customWidth="1"/>
    <col min="6" max="6" width="9.140625" style="6" customWidth="1"/>
    <col min="7" max="7" width="10" style="6" bestFit="1" customWidth="1"/>
    <col min="8" max="8" width="9.85546875" style="6" bestFit="1" customWidth="1"/>
    <col min="9" max="9" width="9.7109375" style="6" bestFit="1" customWidth="1"/>
    <col min="10" max="10" width="32.85546875" style="11" customWidth="1"/>
    <col min="11" max="16384" width="9.140625" style="6"/>
  </cols>
  <sheetData>
    <row r="1" spans="1:10" x14ac:dyDescent="0.25">
      <c r="A1" s="209" t="s">
        <v>572</v>
      </c>
      <c r="B1" s="192" t="s">
        <v>1099</v>
      </c>
      <c r="C1" s="185" t="s">
        <v>1100</v>
      </c>
      <c r="D1" s="192">
        <v>2012</v>
      </c>
      <c r="E1" s="192">
        <v>2013</v>
      </c>
      <c r="F1" s="192">
        <v>2014</v>
      </c>
      <c r="G1" s="192">
        <v>2015</v>
      </c>
      <c r="H1" s="192">
        <v>2016</v>
      </c>
      <c r="I1" s="192">
        <v>2017</v>
      </c>
      <c r="J1" s="210"/>
    </row>
    <row r="2" spans="1:10" x14ac:dyDescent="0.25">
      <c r="A2" s="416">
        <v>131000</v>
      </c>
      <c r="B2" s="417" t="s">
        <v>674</v>
      </c>
      <c r="C2" s="433" t="str">
        <f>VLOOKUP(A2,pravidla_SDcast!$A$1:$D$501,4,FALSE)</f>
        <v>data</v>
      </c>
      <c r="D2" s="417">
        <f>D3-D4</f>
        <v>4243751</v>
      </c>
      <c r="E2" s="417">
        <f t="shared" ref="E2:I2" si="0">E3-E4</f>
        <v>4613841</v>
      </c>
      <c r="F2" s="417">
        <f t="shared" si="0"/>
        <v>4682221.8300548121</v>
      </c>
      <c r="G2" s="417">
        <f t="shared" si="0"/>
        <v>4612473.67957938</v>
      </c>
      <c r="H2" s="417">
        <f t="shared" si="0"/>
        <v>4798248.1847080551</v>
      </c>
      <c r="I2" s="417">
        <f t="shared" si="0"/>
        <v>5070047.2881470332</v>
      </c>
      <c r="J2" s="125"/>
    </row>
    <row r="3" spans="1:10" x14ac:dyDescent="0.25">
      <c r="A3" s="82" t="s">
        <v>675</v>
      </c>
      <c r="B3" s="198" t="s">
        <v>677</v>
      </c>
      <c r="C3" s="199" t="str">
        <f>VLOOKUP(A3,pravidla_SDcast!$A$1:$D$501,4,FALSE)</f>
        <v>data</v>
      </c>
      <c r="D3" s="157">
        <f>data!C9</f>
        <v>4327702</v>
      </c>
      <c r="E3" s="157">
        <f>data!D9</f>
        <v>4681732</v>
      </c>
      <c r="F3" s="157">
        <f>data!E9</f>
        <v>4752317</v>
      </c>
      <c r="G3" s="157">
        <f>data!F9</f>
        <v>4685669</v>
      </c>
      <c r="H3" s="157">
        <f>data!G9</f>
        <v>4875135</v>
      </c>
      <c r="I3" s="157">
        <f>data!H9</f>
        <v>5151169</v>
      </c>
      <c r="J3" s="211" t="s">
        <v>1090</v>
      </c>
    </row>
    <row r="4" spans="1:10" x14ac:dyDescent="0.25">
      <c r="A4" s="212" t="s">
        <v>676</v>
      </c>
      <c r="B4" s="213" t="s">
        <v>678</v>
      </c>
      <c r="C4" s="98">
        <f>VLOOKUP(A4,pravidla_SDcast!$A$1:$D$501,4,FALSE)</f>
        <v>37</v>
      </c>
      <c r="D4" s="161">
        <v>83951</v>
      </c>
      <c r="E4" s="161">
        <v>67891</v>
      </c>
      <c r="F4" s="159">
        <f>E4*(1+SD_prognozy!G9/100)</f>
        <v>70095.169945187663</v>
      </c>
      <c r="G4" s="159">
        <f>F4*(1+SD_prognozy!H9/100)</f>
        <v>73195.320420619697</v>
      </c>
      <c r="H4" s="159">
        <f>G4*(1+SD_prognozy!I9/100)</f>
        <v>76886.815291945037</v>
      </c>
      <c r="I4" s="159">
        <f>H4*(1+SD_prognozy!J9/100)</f>
        <v>81121.711852966822</v>
      </c>
      <c r="J4" s="214" t="s">
        <v>1089</v>
      </c>
    </row>
    <row r="5" spans="1:10" x14ac:dyDescent="0.25">
      <c r="A5" s="416">
        <v>139001</v>
      </c>
      <c r="B5" s="417" t="s">
        <v>152</v>
      </c>
      <c r="C5" s="433" t="str">
        <f>VLOOKUP(A5,pravidla_SDcast!$A$1:$D$501,4,FALSE)</f>
        <v>data</v>
      </c>
      <c r="D5" s="417">
        <v>72374.574739999996</v>
      </c>
      <c r="E5" s="417">
        <v>71322.10914</v>
      </c>
      <c r="F5" s="417">
        <f>F6+F7</f>
        <v>71225.231814117651</v>
      </c>
      <c r="G5" s="417">
        <f t="shared" ref="G5:I5" si="1">G6+G7</f>
        <v>71131.40556840325</v>
      </c>
      <c r="H5" s="417">
        <f t="shared" si="1"/>
        <v>70962.3768695615</v>
      </c>
      <c r="I5" s="417">
        <f t="shared" si="1"/>
        <v>70716.249626646866</v>
      </c>
      <c r="J5" s="125"/>
    </row>
    <row r="6" spans="1:10" x14ac:dyDescent="0.25">
      <c r="A6" s="82" t="s">
        <v>191</v>
      </c>
      <c r="B6" s="198" t="s">
        <v>154</v>
      </c>
      <c r="C6" s="107">
        <f>VLOOKUP(A6,pravidla_SDcast!$A$1:$D$501,4,FALSE)</f>
        <v>47</v>
      </c>
      <c r="D6" s="215">
        <v>61518.388535364356</v>
      </c>
      <c r="E6" s="215">
        <v>60623.792759999997</v>
      </c>
      <c r="F6" s="215">
        <f>E6*(SD_prognozy!G32/SD_prognozy!F32)</f>
        <v>60491.164324384918</v>
      </c>
      <c r="G6" s="215">
        <f>F6*(SD_prognozy!H32/SD_prognozy!G32)</f>
        <v>60330.066926369007</v>
      </c>
      <c r="H6" s="215">
        <f>G6*(SD_prognozy!I32/SD_prognozy!H32)</f>
        <v>60080.158359005552</v>
      </c>
      <c r="I6" s="215">
        <f>H6*(SD_prognozy!J32/SD_prognozy!I32)</f>
        <v>59732.416110359838</v>
      </c>
      <c r="J6" s="211" t="s">
        <v>1089</v>
      </c>
    </row>
    <row r="7" spans="1:10" x14ac:dyDescent="0.25">
      <c r="A7" s="212" t="s">
        <v>192</v>
      </c>
      <c r="B7" s="213" t="s">
        <v>155</v>
      </c>
      <c r="C7" s="117">
        <f>VLOOKUP(A7,pravidla_SDcast!$A$1:$D$501,4,FALSE)</f>
        <v>34</v>
      </c>
      <c r="D7" s="216">
        <v>10856.18620463564</v>
      </c>
      <c r="E7" s="216">
        <v>10698.31638</v>
      </c>
      <c r="F7" s="216">
        <f>E7*(1+SD_prognozy!G14/100)</f>
        <v>10734.067489732732</v>
      </c>
      <c r="G7" s="216">
        <f>F7*(1+SD_prognozy!H14/100)</f>
        <v>10801.338642034249</v>
      </c>
      <c r="H7" s="216">
        <f>G7*(1+SD_prognozy!I14/100)</f>
        <v>10882.21851055594</v>
      </c>
      <c r="I7" s="216">
        <f>H7*(1+SD_prognozy!J14/100)</f>
        <v>10983.83351628703</v>
      </c>
      <c r="J7" s="214" t="s">
        <v>1089</v>
      </c>
    </row>
    <row r="8" spans="1:10" x14ac:dyDescent="0.25">
      <c r="A8" s="416">
        <v>292009</v>
      </c>
      <c r="B8" s="417" t="s">
        <v>156</v>
      </c>
      <c r="C8" s="433" t="str">
        <f>VLOOKUP(A8,pravidla_SDcast!$A$1:$D$501,4,FALSE)</f>
        <v>data</v>
      </c>
      <c r="D8" s="417">
        <v>94406.679730000003</v>
      </c>
      <c r="E8" s="417">
        <v>82848.053579999993</v>
      </c>
      <c r="F8" s="417">
        <f>F9+F10</f>
        <v>85570.382509999996</v>
      </c>
      <c r="G8" s="417">
        <f>G9+G10</f>
        <v>102180.67250999999</v>
      </c>
      <c r="H8" s="417">
        <f>H9+H10</f>
        <v>119093.57251</v>
      </c>
      <c r="I8" s="417">
        <f>I9+I10</f>
        <v>127306.72250999999</v>
      </c>
      <c r="J8" s="125"/>
    </row>
    <row r="9" spans="1:10" x14ac:dyDescent="0.25">
      <c r="A9" s="82" t="s">
        <v>193</v>
      </c>
      <c r="B9" s="198" t="s">
        <v>157</v>
      </c>
      <c r="C9" s="107" t="str">
        <f>VLOOKUP(A9,pravidla_SDcast!$A$1:$D$501,4,FALSE)</f>
        <v>data</v>
      </c>
      <c r="D9" s="217">
        <v>68220</v>
      </c>
      <c r="E9" s="217">
        <v>69874.281069999997</v>
      </c>
      <c r="F9" s="217">
        <f>data!E26</f>
        <v>72596.61</v>
      </c>
      <c r="G9" s="217">
        <f>data!F26</f>
        <v>89206.9</v>
      </c>
      <c r="H9" s="217">
        <f>data!G26</f>
        <v>106119.8</v>
      </c>
      <c r="I9" s="217">
        <f>data!H26</f>
        <v>114332.95</v>
      </c>
      <c r="J9" s="211" t="s">
        <v>1091</v>
      </c>
    </row>
    <row r="10" spans="1:10" x14ac:dyDescent="0.25">
      <c r="A10" s="212" t="s">
        <v>194</v>
      </c>
      <c r="B10" s="213" t="s">
        <v>158</v>
      </c>
      <c r="C10" s="117">
        <f>VLOOKUP(A10,pravidla_SDcast!$A$1:$D$501,4,FALSE)</f>
        <v>9</v>
      </c>
      <c r="D10" s="218">
        <v>26186.679730000003</v>
      </c>
      <c r="E10" s="216">
        <f>E8-E9</f>
        <v>12973.772509999995</v>
      </c>
      <c r="F10" s="216">
        <f>E10</f>
        <v>12973.772509999995</v>
      </c>
      <c r="G10" s="216">
        <f t="shared" ref="G10:I10" si="2">F10</f>
        <v>12973.772509999995</v>
      </c>
      <c r="H10" s="216">
        <f t="shared" si="2"/>
        <v>12973.772509999995</v>
      </c>
      <c r="I10" s="216">
        <f t="shared" si="2"/>
        <v>12973.772509999995</v>
      </c>
      <c r="J10" s="214" t="s">
        <v>165</v>
      </c>
    </row>
    <row r="11" spans="1:10" x14ac:dyDescent="0.25">
      <c r="A11" s="416">
        <v>292027</v>
      </c>
      <c r="B11" s="417" t="s">
        <v>159</v>
      </c>
      <c r="C11" s="433" t="str">
        <f>VLOOKUP(A11,pravidla_SDcast!$A$1:$D$501,4,FALSE)</f>
        <v>data</v>
      </c>
      <c r="D11" s="417">
        <v>581245</v>
      </c>
      <c r="E11" s="417">
        <f>732249+2209</f>
        <v>734458</v>
      </c>
      <c r="F11" s="417">
        <f>F12+F14</f>
        <v>689258.06029619998</v>
      </c>
      <c r="G11" s="417">
        <f t="shared" ref="G11:I11" si="3">G12+G14</f>
        <v>692777.09009832202</v>
      </c>
      <c r="H11" s="417">
        <f t="shared" si="3"/>
        <v>694380.73932388402</v>
      </c>
      <c r="I11" s="417">
        <f t="shared" si="3"/>
        <v>695956.60504830244</v>
      </c>
      <c r="J11" s="125"/>
    </row>
    <row r="12" spans="1:10" x14ac:dyDescent="0.25">
      <c r="A12" s="219" t="s">
        <v>195</v>
      </c>
      <c r="B12" s="198" t="s">
        <v>160</v>
      </c>
      <c r="C12" s="107" t="str">
        <f>VLOOKUP(A12,pravidla_SDcast!$A$1:$D$501,4,FALSE)</f>
        <v>data</v>
      </c>
      <c r="D12" s="215">
        <v>70750</v>
      </c>
      <c r="E12" s="220">
        <f>9612.01225+58748.09476</f>
        <v>68360.107010000007</v>
      </c>
      <c r="F12" s="220">
        <f>data!E28</f>
        <v>73695.620306199999</v>
      </c>
      <c r="G12" s="220">
        <f>data!F28</f>
        <v>77214.650108321992</v>
      </c>
      <c r="H12" s="220">
        <f>data!G28</f>
        <v>78818.299333883973</v>
      </c>
      <c r="I12" s="220">
        <f>data!H28</f>
        <v>80394.16505830246</v>
      </c>
      <c r="J12" s="221" t="s">
        <v>1092</v>
      </c>
    </row>
    <row r="13" spans="1:10" x14ac:dyDescent="0.25">
      <c r="A13" s="219" t="s">
        <v>196</v>
      </c>
      <c r="B13" s="198" t="s">
        <v>686</v>
      </c>
      <c r="C13" s="107">
        <f>VLOOKUP(A13,pravidla_SDcast!$A$1:$D$501,4,FALSE)</f>
        <v>2</v>
      </c>
      <c r="D13" s="215">
        <v>55971.91</v>
      </c>
      <c r="E13" s="220">
        <v>50535.453000000001</v>
      </c>
      <c r="F13" s="220">
        <f>0</f>
        <v>0</v>
      </c>
      <c r="G13" s="220">
        <f>0</f>
        <v>0</v>
      </c>
      <c r="H13" s="220">
        <f>0</f>
        <v>0</v>
      </c>
      <c r="I13" s="220">
        <f>0</f>
        <v>0</v>
      </c>
      <c r="J13" s="221" t="s">
        <v>1093</v>
      </c>
    </row>
    <row r="14" spans="1:10" x14ac:dyDescent="0.25">
      <c r="A14" s="212" t="s">
        <v>685</v>
      </c>
      <c r="B14" s="213" t="s">
        <v>158</v>
      </c>
      <c r="C14" s="117">
        <f>VLOOKUP(A14,pravidla_SDcast!$A$1:$D$501,4,FALSE)</f>
        <v>9</v>
      </c>
      <c r="D14" s="216">
        <f t="shared" ref="D14:E14" si="4">D11-D12-D13</f>
        <v>454523.08999999997</v>
      </c>
      <c r="E14" s="216">
        <f t="shared" si="4"/>
        <v>615562.43998999998</v>
      </c>
      <c r="F14" s="216">
        <f>E14</f>
        <v>615562.43998999998</v>
      </c>
      <c r="G14" s="216">
        <f t="shared" ref="G14:I14" si="5">F14</f>
        <v>615562.43998999998</v>
      </c>
      <c r="H14" s="216">
        <f t="shared" si="5"/>
        <v>615562.43998999998</v>
      </c>
      <c r="I14" s="216">
        <f t="shared" si="5"/>
        <v>615562.43998999998</v>
      </c>
      <c r="J14" s="214" t="s">
        <v>165</v>
      </c>
    </row>
    <row r="15" spans="1:10" x14ac:dyDescent="0.25">
      <c r="A15" s="416">
        <v>636001</v>
      </c>
      <c r="B15" s="418" t="s">
        <v>186</v>
      </c>
      <c r="C15" s="433" t="str">
        <f>VLOOKUP(A15,pravidla_SDcast!$A$1:$D$501,4,FALSE)</f>
        <v>data</v>
      </c>
      <c r="D15" s="417">
        <v>106097</v>
      </c>
      <c r="E15" s="417">
        <v>163087</v>
      </c>
      <c r="F15" s="417">
        <f>F16+F17</f>
        <v>169934.65243943295</v>
      </c>
      <c r="G15" s="417">
        <f t="shared" ref="G15:I15" si="6">G16+G17</f>
        <v>171347.46263163738</v>
      </c>
      <c r="H15" s="417">
        <f t="shared" si="6"/>
        <v>172884.40052162693</v>
      </c>
      <c r="I15" s="417">
        <f t="shared" si="6"/>
        <v>174497.21210549175</v>
      </c>
      <c r="J15" s="125"/>
    </row>
    <row r="16" spans="1:10" x14ac:dyDescent="0.25">
      <c r="A16" s="82" t="s">
        <v>218</v>
      </c>
      <c r="B16" s="166" t="s">
        <v>187</v>
      </c>
      <c r="C16" s="103" t="str">
        <f>VLOOKUP(A16,pravidla_SDcast!$A$1:$D$501,4,FALSE)</f>
        <v>data</v>
      </c>
      <c r="D16" s="222">
        <v>52921.214</v>
      </c>
      <c r="E16" s="222">
        <f>119173.561</f>
        <v>119173.561</v>
      </c>
      <c r="F16" s="222">
        <f>-data!E31</f>
        <v>125689.777</v>
      </c>
      <c r="G16" s="222">
        <f>-data!F31</f>
        <v>126184.52237999999</v>
      </c>
      <c r="H16" s="222">
        <f>-data!G31</f>
        <v>126694.11126000001</v>
      </c>
      <c r="I16" s="222">
        <f>-data!H31</f>
        <v>127218.98670000001</v>
      </c>
      <c r="J16" s="211" t="s">
        <v>1094</v>
      </c>
    </row>
    <row r="17" spans="1:10" x14ac:dyDescent="0.25">
      <c r="A17" s="212" t="s">
        <v>219</v>
      </c>
      <c r="B17" s="223" t="s">
        <v>158</v>
      </c>
      <c r="C17" s="106">
        <f>VLOOKUP(A17,pravidla_SDcast!$A$1:$D$501,4,FALSE)</f>
        <v>25</v>
      </c>
      <c r="D17" s="218">
        <f>D15-D16</f>
        <v>53175.786</v>
      </c>
      <c r="E17" s="218">
        <f>E15-E16</f>
        <v>43913.438999999998</v>
      </c>
      <c r="F17" s="218">
        <f>E17*(1+SD_prognozy!G17/100)</f>
        <v>44244.875439432937</v>
      </c>
      <c r="G17" s="218">
        <f>F17*(1+SD_prognozy!H17/100)</f>
        <v>45162.940251637381</v>
      </c>
      <c r="H17" s="218">
        <f>G17*(1+SD_prognozy!I17/100)</f>
        <v>46190.289261626909</v>
      </c>
      <c r="I17" s="218">
        <f>H17*(1+SD_prognozy!J17/100)</f>
        <v>47278.225405491736</v>
      </c>
      <c r="J17" s="214" t="s">
        <v>165</v>
      </c>
    </row>
    <row r="18" spans="1:10" x14ac:dyDescent="0.25">
      <c r="A18" s="416">
        <v>637004</v>
      </c>
      <c r="B18" s="418" t="s">
        <v>412</v>
      </c>
      <c r="C18" s="433" t="str">
        <f>VLOOKUP(A18,pravidla_SDcast!$A$1:$D$501,4,FALSE)</f>
        <v>data</v>
      </c>
      <c r="D18" s="417">
        <v>331190</v>
      </c>
      <c r="E18" s="417">
        <v>337660</v>
      </c>
      <c r="F18" s="417">
        <f>F19+F20</f>
        <v>340164.80209549266</v>
      </c>
      <c r="G18" s="417">
        <f t="shared" ref="G18:I18" si="7">G19+G20</f>
        <v>347102.99715135957</v>
      </c>
      <c r="H18" s="417">
        <f t="shared" si="7"/>
        <v>354867.09803726932</v>
      </c>
      <c r="I18" s="417">
        <f t="shared" si="7"/>
        <v>363089.08092357224</v>
      </c>
      <c r="J18" s="125"/>
    </row>
    <row r="19" spans="1:10" x14ac:dyDescent="0.25">
      <c r="A19" s="82" t="s">
        <v>649</v>
      </c>
      <c r="B19" s="69" t="s">
        <v>648</v>
      </c>
      <c r="C19" s="108" t="str">
        <f>VLOOKUP(A19,pravidla_SDcast!$A$1:$D$501,4,FALSE)</f>
        <v>data</v>
      </c>
      <c r="D19" s="157">
        <v>5788</v>
      </c>
      <c r="E19" s="157">
        <v>5788</v>
      </c>
      <c r="F19" s="157">
        <f>-data!E33</f>
        <v>5788</v>
      </c>
      <c r="G19" s="157">
        <f>-data!F33</f>
        <v>5788</v>
      </c>
      <c r="H19" s="157">
        <f>-data!G33</f>
        <v>5788</v>
      </c>
      <c r="I19" s="157">
        <f>-data!H33</f>
        <v>5788</v>
      </c>
      <c r="J19" s="125" t="s">
        <v>120</v>
      </c>
    </row>
    <row r="20" spans="1:10" x14ac:dyDescent="0.25">
      <c r="A20" s="212" t="s">
        <v>650</v>
      </c>
      <c r="B20" s="135" t="s">
        <v>158</v>
      </c>
      <c r="C20" s="117">
        <f>VLOOKUP(A20,pravidla_SDcast!$A$1:$D$501,4,FALSE)</f>
        <v>25</v>
      </c>
      <c r="D20" s="159">
        <v>376651.46087000013</v>
      </c>
      <c r="E20" s="159">
        <f>E18-E19</f>
        <v>331872</v>
      </c>
      <c r="F20" s="218">
        <f>E20*(1+SD_prognozy!G17/100)</f>
        <v>334376.80209549266</v>
      </c>
      <c r="G20" s="218">
        <f>F20*(1+SD_prognozy!H17/100)</f>
        <v>341314.99715135957</v>
      </c>
      <c r="H20" s="218">
        <f>G20*(1+SD_prognozy!I17/100)</f>
        <v>349079.09803726932</v>
      </c>
      <c r="I20" s="218">
        <f>H20*(1+SD_prognozy!J17/100)</f>
        <v>357301.08092357224</v>
      </c>
      <c r="J20" s="224" t="s">
        <v>165</v>
      </c>
    </row>
    <row r="21" spans="1:10" x14ac:dyDescent="0.25">
      <c r="A21" s="416">
        <v>637008</v>
      </c>
      <c r="B21" s="418" t="s">
        <v>415</v>
      </c>
      <c r="C21" s="433" t="str">
        <f>VLOOKUP(A21,pravidla_SDcast!$A$1:$D$501,4,FALSE)</f>
        <v>data</v>
      </c>
      <c r="D21" s="417">
        <v>31008.017360000002</v>
      </c>
      <c r="E21" s="417">
        <v>29191</v>
      </c>
      <c r="F21" s="417">
        <f>F22+F23</f>
        <v>9993.9059149638415</v>
      </c>
      <c r="G21" s="417">
        <f t="shared" ref="G21:I21" si="8">G22+G23</f>
        <v>10201.275768893478</v>
      </c>
      <c r="H21" s="417">
        <f t="shared" si="8"/>
        <v>10433.330424843893</v>
      </c>
      <c r="I21" s="417">
        <f t="shared" si="8"/>
        <v>10679.0703293026</v>
      </c>
      <c r="J21" s="225"/>
    </row>
    <row r="22" spans="1:10" x14ac:dyDescent="0.25">
      <c r="A22" s="226" t="s">
        <v>688</v>
      </c>
      <c r="B22" s="128" t="s">
        <v>690</v>
      </c>
      <c r="C22" s="107">
        <f>VLOOKUP(A22,pravidla_SDcast!$A$1:$D$501,4,FALSE)</f>
        <v>2</v>
      </c>
      <c r="D22" s="227">
        <v>21257.496999999999</v>
      </c>
      <c r="E22" s="227">
        <v>19271.957999999999</v>
      </c>
      <c r="F22" s="222">
        <v>0</v>
      </c>
      <c r="G22" s="222">
        <v>0</v>
      </c>
      <c r="H22" s="222">
        <v>0</v>
      </c>
      <c r="I22" s="222">
        <v>0</v>
      </c>
      <c r="J22" s="221" t="s">
        <v>1093</v>
      </c>
    </row>
    <row r="23" spans="1:10" x14ac:dyDescent="0.25">
      <c r="A23" s="212" t="s">
        <v>689</v>
      </c>
      <c r="B23" s="135" t="s">
        <v>158</v>
      </c>
      <c r="C23" s="117">
        <f>VLOOKUP(A23,pravidla_SDcast!$A$1:$D$501,4,FALSE)</f>
        <v>25</v>
      </c>
      <c r="D23" s="159">
        <f t="shared" ref="D23:E23" si="9">D21-D22</f>
        <v>9750.5203600000023</v>
      </c>
      <c r="E23" s="159">
        <f t="shared" si="9"/>
        <v>9919.0420000000013</v>
      </c>
      <c r="F23" s="218">
        <f>E23*(1+SD_prognozy!G17/100)</f>
        <v>9993.9059149638415</v>
      </c>
      <c r="G23" s="218">
        <f>F23*(1+SD_prognozy!H17/100)</f>
        <v>10201.275768893478</v>
      </c>
      <c r="H23" s="218">
        <f>G23*(1+SD_prognozy!I17/100)</f>
        <v>10433.330424843893</v>
      </c>
      <c r="I23" s="218">
        <f>H23*(1+SD_prognozy!J17/100)</f>
        <v>10679.0703293026</v>
      </c>
      <c r="J23" s="224" t="s">
        <v>165</v>
      </c>
    </row>
    <row r="24" spans="1:10" x14ac:dyDescent="0.25">
      <c r="A24" s="416">
        <v>637011</v>
      </c>
      <c r="B24" s="418" t="s">
        <v>418</v>
      </c>
      <c r="C24" s="433" t="str">
        <f>VLOOKUP(A24,pravidla_SDcast!$A$1:$D$501,4,FALSE)</f>
        <v>data</v>
      </c>
      <c r="D24" s="417">
        <v>25257</v>
      </c>
      <c r="E24" s="417">
        <v>22679</v>
      </c>
      <c r="F24" s="417">
        <f>F25+F26</f>
        <v>23297.305790371469</v>
      </c>
      <c r="G24" s="417">
        <f t="shared" ref="G24:I24" si="10">G25+G26</f>
        <v>24158.771642411964</v>
      </c>
      <c r="H24" s="417">
        <f t="shared" si="10"/>
        <v>25191.156234416107</v>
      </c>
      <c r="I24" s="417">
        <f t="shared" si="10"/>
        <v>26352.327756174756</v>
      </c>
      <c r="J24" s="225"/>
    </row>
    <row r="25" spans="1:10" x14ac:dyDescent="0.25">
      <c r="A25" s="226" t="s">
        <v>691</v>
      </c>
      <c r="B25" s="128" t="s">
        <v>690</v>
      </c>
      <c r="C25" s="107">
        <f>VLOOKUP(A25,pravidla_SDcast!$A$1:$D$501,4,FALSE)</f>
        <v>2</v>
      </c>
      <c r="D25" s="227">
        <v>39.942999999999998</v>
      </c>
      <c r="E25" s="227">
        <v>37.975999999999999</v>
      </c>
      <c r="F25" s="222">
        <v>0</v>
      </c>
      <c r="G25" s="222">
        <v>0</v>
      </c>
      <c r="H25" s="222">
        <v>0</v>
      </c>
      <c r="I25" s="222">
        <v>0</v>
      </c>
      <c r="J25" s="221" t="s">
        <v>1093</v>
      </c>
    </row>
    <row r="26" spans="1:10" x14ac:dyDescent="0.25">
      <c r="A26" s="212" t="s">
        <v>692</v>
      </c>
      <c r="B26" s="135" t="s">
        <v>158</v>
      </c>
      <c r="C26" s="117">
        <f>VLOOKUP(A26,pravidla_SDcast!$A$1:$D$501,4,FALSE)</f>
        <v>39</v>
      </c>
      <c r="D26" s="159">
        <f t="shared" ref="D26:E26" si="11">D24-D25</f>
        <v>25217.057000000001</v>
      </c>
      <c r="E26" s="159">
        <f t="shared" si="11"/>
        <v>22641.024000000001</v>
      </c>
      <c r="F26" s="218">
        <f>E26*(1+SD_prognozy!G15/100)</f>
        <v>23297.305790371469</v>
      </c>
      <c r="G26" s="218">
        <f>F26*(1+SD_prognozy!H15/100)</f>
        <v>24158.771642411964</v>
      </c>
      <c r="H26" s="218">
        <f>G26*(1+SD_prognozy!I15/100)</f>
        <v>25191.156234416107</v>
      </c>
      <c r="I26" s="218">
        <f>H26*(1+SD_prognozy!J15/100)</f>
        <v>26352.327756174756</v>
      </c>
      <c r="J26" s="224" t="s">
        <v>165</v>
      </c>
    </row>
    <row r="27" spans="1:10" x14ac:dyDescent="0.25">
      <c r="A27" s="416">
        <v>637012</v>
      </c>
      <c r="B27" s="418" t="s">
        <v>161</v>
      </c>
      <c r="C27" s="433" t="str">
        <f>VLOOKUP(A27,pravidla_SDcast!$A$1:$D$501,4,FALSE)</f>
        <v>data</v>
      </c>
      <c r="D27" s="417">
        <v>191853</v>
      </c>
      <c r="E27" s="417">
        <v>168125</v>
      </c>
      <c r="F27" s="417">
        <f>F28+F29</f>
        <v>168125</v>
      </c>
      <c r="G27" s="417">
        <f t="shared" ref="G27:I27" si="12">G28+G29</f>
        <v>168125</v>
      </c>
      <c r="H27" s="417">
        <f t="shared" si="12"/>
        <v>168125</v>
      </c>
      <c r="I27" s="417">
        <f t="shared" si="12"/>
        <v>168125</v>
      </c>
      <c r="J27" s="125"/>
    </row>
    <row r="28" spans="1:10" x14ac:dyDescent="0.25">
      <c r="A28" s="82" t="s">
        <v>197</v>
      </c>
      <c r="B28" s="166" t="s">
        <v>162</v>
      </c>
      <c r="C28" s="108">
        <f>VLOOKUP(A28,pravidla_SDcast!$A$1:$D$501,4,FALSE)</f>
        <v>9</v>
      </c>
      <c r="D28" s="215">
        <v>21929.161099999998</v>
      </c>
      <c r="E28" s="215">
        <v>3313.3451599999999</v>
      </c>
      <c r="F28" s="217">
        <f>E28</f>
        <v>3313.3451599999999</v>
      </c>
      <c r="G28" s="217">
        <f t="shared" ref="G28:I28" si="13">F28</f>
        <v>3313.3451599999999</v>
      </c>
      <c r="H28" s="217">
        <f t="shared" si="13"/>
        <v>3313.3451599999999</v>
      </c>
      <c r="I28" s="217">
        <f t="shared" si="13"/>
        <v>3313.3451599999999</v>
      </c>
      <c r="J28" s="211" t="s">
        <v>220</v>
      </c>
    </row>
    <row r="29" spans="1:10" x14ac:dyDescent="0.25">
      <c r="A29" s="212" t="s">
        <v>198</v>
      </c>
      <c r="B29" s="223" t="s">
        <v>158</v>
      </c>
      <c r="C29" s="117">
        <f>VLOOKUP(A29,pravidla_SDcast!$A$1:$D$501,4,FALSE)</f>
        <v>22</v>
      </c>
      <c r="D29" s="216">
        <v>178560.62497999999</v>
      </c>
      <c r="E29" s="216">
        <f>E27-E28</f>
        <v>164811.65484</v>
      </c>
      <c r="F29" s="216">
        <f>E29</f>
        <v>164811.65484</v>
      </c>
      <c r="G29" s="216">
        <f t="shared" ref="G29:I29" si="14">F29</f>
        <v>164811.65484</v>
      </c>
      <c r="H29" s="216">
        <f t="shared" si="14"/>
        <v>164811.65484</v>
      </c>
      <c r="I29" s="216">
        <f t="shared" si="14"/>
        <v>164811.65484</v>
      </c>
      <c r="J29" s="214" t="s">
        <v>165</v>
      </c>
    </row>
    <row r="30" spans="1:10" x14ac:dyDescent="0.25">
      <c r="A30" s="416">
        <v>642008</v>
      </c>
      <c r="B30" s="418" t="s">
        <v>163</v>
      </c>
      <c r="C30" s="433" t="str">
        <f>VLOOKUP(A30,pravidla_SDcast!$A$1:$D$501,4,FALSE)</f>
        <v>data</v>
      </c>
      <c r="D30" s="417">
        <v>401405.95131999999</v>
      </c>
      <c r="E30" s="417">
        <v>285235.00460000004</v>
      </c>
      <c r="F30" s="417">
        <f>F31+F32</f>
        <v>272180.15453525964</v>
      </c>
      <c r="G30" s="417">
        <f t="shared" ref="G30:I30" si="15">G31+G32</f>
        <v>279414.13840205735</v>
      </c>
      <c r="H30" s="417">
        <f t="shared" si="15"/>
        <v>286219.19571391086</v>
      </c>
      <c r="I30" s="417">
        <f t="shared" si="15"/>
        <v>293094.00979339692</v>
      </c>
      <c r="J30" s="125"/>
    </row>
    <row r="31" spans="1:10" x14ac:dyDescent="0.25">
      <c r="A31" s="82" t="s">
        <v>199</v>
      </c>
      <c r="B31" s="166" t="s">
        <v>164</v>
      </c>
      <c r="C31" s="91" t="str">
        <f>VLOOKUP(A31,pravidla_SDcast!$A$1:$D$501,4,FALSE)</f>
        <v>data</v>
      </c>
      <c r="D31" s="157">
        <f>-data!C39</f>
        <v>115682.5</v>
      </c>
      <c r="E31" s="157">
        <f>-data!D39</f>
        <v>113526.85777757107</v>
      </c>
      <c r="F31" s="157">
        <f>-data!E39</f>
        <v>99176.041418675159</v>
      </c>
      <c r="G31" s="157">
        <f>-data!F39</f>
        <v>102820.25388163206</v>
      </c>
      <c r="H31" s="157">
        <f>-data!G39</f>
        <v>105608.2221505355</v>
      </c>
      <c r="I31" s="157">
        <f>-data!H39</f>
        <v>108229.04238717613</v>
      </c>
      <c r="J31" s="125" t="s">
        <v>1095</v>
      </c>
    </row>
    <row r="32" spans="1:10" x14ac:dyDescent="0.25">
      <c r="A32" s="212" t="s">
        <v>200</v>
      </c>
      <c r="B32" s="223" t="s">
        <v>166</v>
      </c>
      <c r="C32" s="98">
        <f>VLOOKUP(A32,pravidla_SDcast!$A$1:$D$501,4,FALSE)</f>
        <v>25</v>
      </c>
      <c r="D32" s="159">
        <f>D30-D31</f>
        <v>285723.45131999999</v>
      </c>
      <c r="E32" s="159">
        <f>E30-E31</f>
        <v>171708.14682242897</v>
      </c>
      <c r="F32" s="218">
        <f>E32*(1+SD_prognozy!G17/100)</f>
        <v>173004.11311658449</v>
      </c>
      <c r="G32" s="218">
        <f>F32*(1+SD_prognozy!H17/100)</f>
        <v>176593.88452042526</v>
      </c>
      <c r="H32" s="218">
        <f>G32*(1+SD_prognozy!I17/100)</f>
        <v>180610.97356337539</v>
      </c>
      <c r="I32" s="218">
        <f>H32*(1+SD_prognozy!J17/100)</f>
        <v>184864.96740622082</v>
      </c>
      <c r="J32" s="214" t="s">
        <v>165</v>
      </c>
    </row>
    <row r="33" spans="1:11" x14ac:dyDescent="0.25">
      <c r="A33" s="434">
        <v>642010</v>
      </c>
      <c r="B33" s="435" t="s">
        <v>963</v>
      </c>
      <c r="C33" s="436" t="str">
        <f>VLOOKUP(A33,pravidla_SDcast!$A$1:$D$501,4,FALSE)</f>
        <v>data</v>
      </c>
      <c r="D33" s="417">
        <v>22849.65739</v>
      </c>
      <c r="E33" s="417">
        <v>7534.4414500000003</v>
      </c>
      <c r="F33" s="437">
        <f>F34+F35</f>
        <v>7722.6247040979861</v>
      </c>
      <c r="G33" s="437">
        <f t="shared" ref="G33:I33" si="16">G34+G35</f>
        <v>7946.4757970155306</v>
      </c>
      <c r="H33" s="437">
        <f t="shared" si="16"/>
        <v>25819.842860817083</v>
      </c>
      <c r="I33" s="437">
        <f t="shared" si="16"/>
        <v>8592.4490632885609</v>
      </c>
      <c r="J33" s="228"/>
    </row>
    <row r="34" spans="1:11" x14ac:dyDescent="0.25">
      <c r="A34" s="202" t="s">
        <v>964</v>
      </c>
      <c r="B34" s="166" t="s">
        <v>965</v>
      </c>
      <c r="C34" s="103">
        <f>VLOOKUP(A34,pravidla_SDcast!$A$1:$D$501,4,FALSE)</f>
        <v>1</v>
      </c>
      <c r="D34" s="222">
        <f>D33-(E35/(1+SD_prognozy!D15/100))</f>
        <v>15513.613069847892</v>
      </c>
      <c r="E34" s="222">
        <v>0</v>
      </c>
      <c r="F34" s="229" t="str">
        <f>IF(SD_prognozy!G87,#REF!*(1+SD_prognozy!C15/100)*(1+SD_prognozy!D15/100)*(1+SD_prognozy!E15/100)*(1+SD_prognozy!F15/100)*(SD_prognozy!G33/SD_prognozy!C33),"0")</f>
        <v>0</v>
      </c>
      <c r="G34" s="229" t="str">
        <f>IF(SD_prognozy!H87,#REF!*(1+SD_prognozy!D15/100)*(1+SD_prognozy!E15/100)*(1+SD_prognozy!F15/100)*(1+SD_prognozy!G15/100)*(SD_prognozy!H33/SD_prognozy!D33),"0")</f>
        <v>0</v>
      </c>
      <c r="H34" s="229">
        <f>IF(SD_prognozy!I87,D34*(1+SD_prognozy!E15/100)*(1+SD_prognozy!F15/100)*(1+SD_prognozy!G15/100)*(1+SD_prognozy!H15/100)*(SD_prognozy!I33/SD_prognozy!E33),"0")</f>
        <v>17579.529758973611</v>
      </c>
      <c r="I34" s="229" t="str">
        <f>IF(SD_prognozy!J87,E34*(1+SD_prognozy!F15/100)*(1+SD_prognozy!G15/100)*(1+SD_prognozy!H15/100)*(1+SD_prognozy!I15/100)*(SD_prognozy!J33/SD_prognozy!F33),"0")</f>
        <v>0</v>
      </c>
      <c r="J34" s="230" t="s">
        <v>165</v>
      </c>
    </row>
    <row r="35" spans="1:11" x14ac:dyDescent="0.25">
      <c r="A35" s="231" t="s">
        <v>966</v>
      </c>
      <c r="B35" s="223" t="s">
        <v>967</v>
      </c>
      <c r="C35" s="106">
        <f>VLOOKUP(A35,pravidla_SDcast!$A$1:$D$501,4,FALSE)</f>
        <v>43</v>
      </c>
      <c r="D35" s="218">
        <f>D33-D34</f>
        <v>7336.0443201521084</v>
      </c>
      <c r="E35" s="218">
        <f>E33-E34</f>
        <v>7534.4414500000003</v>
      </c>
      <c r="F35" s="218">
        <f>E35*(1+SD_prognozy!F15/100)</f>
        <v>7722.6247040979861</v>
      </c>
      <c r="G35" s="218">
        <f>F35*(1+SD_prognozy!G15/100)</f>
        <v>7946.4757970155306</v>
      </c>
      <c r="H35" s="218">
        <f>G35*(1+SD_prognozy!H15/100)</f>
        <v>8240.3131018434724</v>
      </c>
      <c r="I35" s="218">
        <f>H35*(1+SD_prognozy!I15/100)</f>
        <v>8592.4490632885609</v>
      </c>
      <c r="J35" s="131" t="s">
        <v>1088</v>
      </c>
    </row>
    <row r="36" spans="1:11" x14ac:dyDescent="0.25">
      <c r="A36" s="416">
        <v>642015</v>
      </c>
      <c r="B36" s="418" t="s">
        <v>167</v>
      </c>
      <c r="C36" s="433" t="str">
        <f>VLOOKUP(A36,pravidla_SDcast!$A$1:$D$501,4,FALSE)</f>
        <v>data</v>
      </c>
      <c r="D36" s="417">
        <v>428160.538</v>
      </c>
      <c r="E36" s="417">
        <f>E37+E39+E40</f>
        <v>399434.41599999997</v>
      </c>
      <c r="F36" s="417">
        <f t="shared" ref="F36:I36" si="17">F37+F39+F40</f>
        <v>416956.55690834683</v>
      </c>
      <c r="G36" s="417">
        <f t="shared" si="17"/>
        <v>432880.27446694346</v>
      </c>
      <c r="H36" s="417">
        <f t="shared" si="17"/>
        <v>451982.34765266033</v>
      </c>
      <c r="I36" s="417">
        <f t="shared" si="17"/>
        <v>473931.12997611868</v>
      </c>
      <c r="J36" s="125"/>
    </row>
    <row r="37" spans="1:11" x14ac:dyDescent="0.25">
      <c r="A37" s="82" t="s">
        <v>201</v>
      </c>
      <c r="B37" s="206" t="s">
        <v>169</v>
      </c>
      <c r="C37" s="107">
        <f>VLOOKUP(A37,pravidla_SDcast!$A$1:$D$501,4,FALSE)</f>
        <v>36</v>
      </c>
      <c r="D37" s="157">
        <v>289664.63500000001</v>
      </c>
      <c r="E37" s="157">
        <v>264304.61099999998</v>
      </c>
      <c r="F37" s="157">
        <f>E37*(1+SD_prognozy!G13/100)</f>
        <v>271929.91521850449</v>
      </c>
      <c r="G37" s="157">
        <f>F37*(1+SD_prognozy!H13/100)</f>
        <v>283326.00046090252</v>
      </c>
      <c r="H37" s="157">
        <f>G37*(1+SD_prognozy!I13/100)</f>
        <v>297164.87547586841</v>
      </c>
      <c r="I37" s="157">
        <f>H37*(1+SD_prognozy!J13/100)</f>
        <v>313409.07793325779</v>
      </c>
      <c r="J37" s="211" t="s">
        <v>168</v>
      </c>
    </row>
    <row r="38" spans="1:11" x14ac:dyDescent="0.25">
      <c r="A38" s="82" t="s">
        <v>202</v>
      </c>
      <c r="B38" s="206" t="s">
        <v>170</v>
      </c>
      <c r="C38" s="107">
        <f>VLOOKUP(A38,pravidla_SDcast!$A$1:$D$501,4,FALSE)</f>
        <v>39</v>
      </c>
      <c r="D38" s="157">
        <v>15415</v>
      </c>
      <c r="E38" s="160">
        <v>20506.099179999917</v>
      </c>
      <c r="F38" s="160">
        <f>E38*(1+SD_prognozy!G15/100)</f>
        <v>21100.497184409312</v>
      </c>
      <c r="G38" s="160">
        <f>F38*(1+SD_prognozy!H15/100)</f>
        <v>21880.731514893905</v>
      </c>
      <c r="H38" s="160">
        <f>G38*(1+SD_prognozy!I15/100)</f>
        <v>22815.767882310003</v>
      </c>
      <c r="I38" s="160">
        <f>H38*(1+SD_prognozy!J15/100)</f>
        <v>23867.447275882234</v>
      </c>
      <c r="J38" s="211" t="s">
        <v>165</v>
      </c>
      <c r="K38" s="41"/>
    </row>
    <row r="39" spans="1:11" x14ac:dyDescent="0.25">
      <c r="A39" s="82" t="s">
        <v>203</v>
      </c>
      <c r="B39" s="206" t="s">
        <v>171</v>
      </c>
      <c r="C39" s="107">
        <f>VLOOKUP(A39,pravidla_SDcast!$A$1:$D$501,4,FALSE)</f>
        <v>36</v>
      </c>
      <c r="D39" s="157">
        <v>9570.06</v>
      </c>
      <c r="E39" s="157">
        <v>8987.9359999999997</v>
      </c>
      <c r="F39" s="157">
        <f>E39*(1+SD_prognozy!G13/100)</f>
        <v>9247.2419047934982</v>
      </c>
      <c r="G39" s="157">
        <f>F39*(1+SD_prognozy!H13/100)</f>
        <v>9634.7768949008714</v>
      </c>
      <c r="H39" s="157">
        <f>G39*(1+SD_prognozy!I13/100)</f>
        <v>10105.381332999426</v>
      </c>
      <c r="I39" s="157">
        <f>H39*(1+SD_prognozy!J13/100)</f>
        <v>10657.781276025991</v>
      </c>
      <c r="J39" s="211" t="s">
        <v>168</v>
      </c>
    </row>
    <row r="40" spans="1:11" x14ac:dyDescent="0.25">
      <c r="A40" s="212" t="s">
        <v>204</v>
      </c>
      <c r="B40" s="232" t="s">
        <v>172</v>
      </c>
      <c r="C40" s="117">
        <f>VLOOKUP(A40,pravidla_SDcast!$A$1:$D$501,4,FALSE)</f>
        <v>40</v>
      </c>
      <c r="D40" s="159">
        <v>128925.84299999999</v>
      </c>
      <c r="E40" s="159">
        <f>126098.146+43.723</f>
        <v>126141.86899999999</v>
      </c>
      <c r="F40" s="159">
        <f>E40*(1+SD_prognozy!G15/100)*(SD_prognozy!G25/SD_prognozy!F25)</f>
        <v>135779.39978504885</v>
      </c>
      <c r="G40" s="159">
        <f>F40*(1+SD_prognozy!H15/100)*(SD_prognozy!H25/SD_prognozy!G25)</f>
        <v>139919.49711114008</v>
      </c>
      <c r="H40" s="159">
        <f>G40*(1+SD_prognozy!I15/100)*(SD_prognozy!I25/SD_prognozy!H25)</f>
        <v>144712.09084379245</v>
      </c>
      <c r="I40" s="159">
        <f>H40*(1+SD_prognozy!J15/100)*(SD_prognozy!J25/SD_prognozy!I25)</f>
        <v>149864.27076683487</v>
      </c>
      <c r="J40" s="214" t="s">
        <v>168</v>
      </c>
    </row>
    <row r="41" spans="1:11" x14ac:dyDescent="0.25">
      <c r="A41" s="416">
        <v>642018</v>
      </c>
      <c r="B41" s="418" t="s">
        <v>173</v>
      </c>
      <c r="C41" s="433" t="str">
        <f>VLOOKUP(A41,pravidla_SDcast!$A$1:$D$501,4,FALSE)</f>
        <v>data</v>
      </c>
      <c r="D41" s="417">
        <v>114529</v>
      </c>
      <c r="E41" s="417">
        <v>125366</v>
      </c>
      <c r="F41" s="417">
        <f>F42+F43</f>
        <v>125567.46941436405</v>
      </c>
      <c r="G41" s="417">
        <f t="shared" ref="G41:I41" si="18">G42+G43</f>
        <v>126963.59143023178</v>
      </c>
      <c r="H41" s="417">
        <f t="shared" si="18"/>
        <v>128204.2527381231</v>
      </c>
      <c r="I41" s="417">
        <f t="shared" si="18"/>
        <v>133939.73876642325</v>
      </c>
      <c r="J41" s="125"/>
    </row>
    <row r="42" spans="1:11" x14ac:dyDescent="0.25">
      <c r="A42" s="82" t="s">
        <v>205</v>
      </c>
      <c r="B42" s="166" t="s">
        <v>174</v>
      </c>
      <c r="C42" s="91" t="str">
        <f>VLOOKUP(A42,pravidla_SDcast!$A$1:$D$501,4,FALSE)</f>
        <v>data</v>
      </c>
      <c r="D42" s="215">
        <v>63600</v>
      </c>
      <c r="E42" s="157">
        <f>-data!D43</f>
        <v>70600</v>
      </c>
      <c r="F42" s="157">
        <f>-data!E43</f>
        <v>70801.469414364052</v>
      </c>
      <c r="G42" s="157">
        <f>-data!F43</f>
        <v>72197.591430231783</v>
      </c>
      <c r="H42" s="157">
        <f>-data!G43</f>
        <v>73438.252738123105</v>
      </c>
      <c r="I42" s="157">
        <f>-data!H43</f>
        <v>79173.738766423252</v>
      </c>
      <c r="J42" s="211" t="s">
        <v>1094</v>
      </c>
    </row>
    <row r="43" spans="1:11" x14ac:dyDescent="0.25">
      <c r="A43" s="212" t="s">
        <v>206</v>
      </c>
      <c r="B43" s="223" t="s">
        <v>175</v>
      </c>
      <c r="C43" s="98">
        <f>VLOOKUP(A43,pravidla_SDcast!$A$1:$D$501,4,FALSE)</f>
        <v>22</v>
      </c>
      <c r="D43" s="216">
        <f>D41-D42</f>
        <v>50929</v>
      </c>
      <c r="E43" s="216">
        <f>E41-E42</f>
        <v>54766</v>
      </c>
      <c r="F43" s="216">
        <f>E43</f>
        <v>54766</v>
      </c>
      <c r="G43" s="216">
        <f t="shared" ref="G43:I43" si="19">F43</f>
        <v>54766</v>
      </c>
      <c r="H43" s="216">
        <f t="shared" si="19"/>
        <v>54766</v>
      </c>
      <c r="I43" s="216">
        <f t="shared" si="19"/>
        <v>54766</v>
      </c>
      <c r="J43" s="233" t="s">
        <v>165</v>
      </c>
    </row>
    <row r="44" spans="1:11" x14ac:dyDescent="0.25">
      <c r="A44" s="419">
        <v>642026</v>
      </c>
      <c r="B44" s="420" t="s">
        <v>183</v>
      </c>
      <c r="C44" s="433" t="str">
        <f>VLOOKUP(A44,pravidla_SDcast!$A$1:$D$501,4,FALSE)</f>
        <v>data</v>
      </c>
      <c r="D44" s="417">
        <v>320901</v>
      </c>
      <c r="E44" s="417">
        <v>287106</v>
      </c>
      <c r="F44" s="417">
        <f>F45+F46</f>
        <v>286187.11895476078</v>
      </c>
      <c r="G44" s="417">
        <f t="shared" ref="G44:I44" si="20">G45+G46</f>
        <v>276012.59106559173</v>
      </c>
      <c r="H44" s="417">
        <f t="shared" si="20"/>
        <v>266626.73899383971</v>
      </c>
      <c r="I44" s="417">
        <f t="shared" si="20"/>
        <v>255159.51701157761</v>
      </c>
      <c r="J44" s="125"/>
    </row>
    <row r="45" spans="1:11" x14ac:dyDescent="0.25">
      <c r="A45" s="202" t="s">
        <v>216</v>
      </c>
      <c r="B45" s="166" t="s">
        <v>184</v>
      </c>
      <c r="C45" s="199" t="str">
        <f>VLOOKUP(A45,pravidla_SDcast!$A$1:$D$501,4,FALSE)</f>
        <v>data</v>
      </c>
      <c r="D45" s="157">
        <v>22000</v>
      </c>
      <c r="E45" s="157">
        <f>-data!D46</f>
        <v>16300</v>
      </c>
      <c r="F45" s="157">
        <f>-data!E46</f>
        <v>18869.294025850479</v>
      </c>
      <c r="G45" s="157">
        <f>-data!F46</f>
        <v>22199.518091457994</v>
      </c>
      <c r="H45" s="157">
        <f>-data!G46</f>
        <v>26114.540021317807</v>
      </c>
      <c r="I45" s="157">
        <f>-data!H46</f>
        <v>30251.830220533688</v>
      </c>
      <c r="J45" s="125" t="s">
        <v>1095</v>
      </c>
    </row>
    <row r="46" spans="1:11" x14ac:dyDescent="0.25">
      <c r="A46" s="231" t="s">
        <v>217</v>
      </c>
      <c r="B46" s="223" t="s">
        <v>185</v>
      </c>
      <c r="C46" s="98">
        <f>VLOOKUP(A46,pravidla_SDcast!$A$1:$D$501,4,FALSE)</f>
        <v>45</v>
      </c>
      <c r="D46" s="159">
        <f>D44-D45</f>
        <v>298901</v>
      </c>
      <c r="E46" s="159">
        <f>E44-E45</f>
        <v>270806</v>
      </c>
      <c r="F46" s="159">
        <f>E46*(SD_prognozy!G16/SD_prognozy!F16)*(1+SD_prognozy!F19/100)</f>
        <v>267317.8249289103</v>
      </c>
      <c r="G46" s="159">
        <f>F46*(SD_prognozy!H16/SD_prognozy!G16)*(1+SD_prognozy!G19/100)</f>
        <v>253813.07297413371</v>
      </c>
      <c r="H46" s="159">
        <f>G46*(SD_prognozy!I16/SD_prognozy!H16)*(1+SD_prognozy!H19/100)</f>
        <v>240512.19897252193</v>
      </c>
      <c r="I46" s="159">
        <f>H46*(SD_prognozy!J16/SD_prognozy!I16)*(1+SD_prognozy!I19/100)</f>
        <v>224907.68679104393</v>
      </c>
      <c r="J46" s="224" t="s">
        <v>165</v>
      </c>
    </row>
    <row r="47" spans="1:11" x14ac:dyDescent="0.25">
      <c r="A47" s="416">
        <v>642031</v>
      </c>
      <c r="B47" s="418" t="s">
        <v>176</v>
      </c>
      <c r="C47" s="433" t="str">
        <f>VLOOKUP(A47,pravidla_SDcast!$A$1:$D$501,4,FALSE)</f>
        <v>data</v>
      </c>
      <c r="D47" s="417">
        <v>1599294.03957</v>
      </c>
      <c r="E47" s="417">
        <v>1541466.4968100002</v>
      </c>
      <c r="F47" s="417">
        <f>F48+F49+F50</f>
        <v>1501016.4698074653</v>
      </c>
      <c r="G47" s="417">
        <f t="shared" ref="G47:I47" si="21">G48+G49+G50</f>
        <v>1541161.3578692703</v>
      </c>
      <c r="H47" s="417">
        <f t="shared" si="21"/>
        <v>1588076.8144649526</v>
      </c>
      <c r="I47" s="417">
        <f t="shared" si="21"/>
        <v>1648535.9951985604</v>
      </c>
      <c r="J47" s="125"/>
    </row>
    <row r="48" spans="1:11" x14ac:dyDescent="0.25">
      <c r="A48" s="82" t="s">
        <v>207</v>
      </c>
      <c r="B48" s="166" t="s">
        <v>177</v>
      </c>
      <c r="C48" s="107">
        <f>VLOOKUP(A48,pravidla_SDcast!$A$1:$D$501,4,FALSE)</f>
        <v>7</v>
      </c>
      <c r="D48" s="215">
        <v>238024.62</v>
      </c>
      <c r="E48" s="215">
        <v>262030.39199999999</v>
      </c>
      <c r="F48" s="215">
        <f>E48*(1+SD_prognozy!E15/100)*(SD_prognozy!G32/SD_prognozy!F32)</f>
        <v>267142.73558338947</v>
      </c>
      <c r="G48" s="215">
        <f>F48*(1+SD_prognozy!F15/100)*(SD_prognozy!H32/SD_prognozy!G32)</f>
        <v>273085.78847192344</v>
      </c>
      <c r="H48" s="215">
        <f>G48*(1+SD_prognozy!G15/100)*(SD_prognozy!I32/SD_prognozy!H32)</f>
        <v>279837.55423124746</v>
      </c>
      <c r="I48" s="215">
        <f>H48*(1+SD_prognozy!H15/100)*(SD_prognozy!J32/SD_prognozy!I32)</f>
        <v>288505.54075151577</v>
      </c>
      <c r="J48" s="221" t="s">
        <v>626</v>
      </c>
    </row>
    <row r="49" spans="1:10" x14ac:dyDescent="0.25">
      <c r="A49" s="82" t="s">
        <v>208</v>
      </c>
      <c r="B49" s="166" t="s">
        <v>178</v>
      </c>
      <c r="C49" s="107">
        <f>VLOOKUP(A49,pravidla_SDcast!$A$1:$D$501,4,FALSE)</f>
        <v>6</v>
      </c>
      <c r="D49" s="215">
        <v>2305.8464199999999</v>
      </c>
      <c r="E49" s="215">
        <v>2607.674</v>
      </c>
      <c r="F49" s="215">
        <f>E49*(1+(SD_prognozy!G17+SD_prognozy!G15)/200)</f>
        <v>2655.3082441144966</v>
      </c>
      <c r="G49" s="215">
        <f>F49*(1+(SD_prognozy!H17+SD_prognozy!H15)/200)</f>
        <v>2731.9493213148389</v>
      </c>
      <c r="H49" s="215">
        <f>G49*(1+(SD_prognozy!I17+SD_prognozy!I15)/200)</f>
        <v>2821.3946183313201</v>
      </c>
      <c r="I49" s="215">
        <f>H49*(1+(SD_prognozy!J17+SD_prognozy!J15)/200)</f>
        <v>2919.6465309555301</v>
      </c>
      <c r="J49" s="211" t="s">
        <v>1096</v>
      </c>
    </row>
    <row r="50" spans="1:10" x14ac:dyDescent="0.25">
      <c r="A50" s="212" t="s">
        <v>209</v>
      </c>
      <c r="B50" s="223" t="s">
        <v>179</v>
      </c>
      <c r="C50" s="117">
        <f>VLOOKUP(A50,pravidla_SDcast!$A$1:$D$501,4,FALSE)</f>
        <v>8</v>
      </c>
      <c r="D50" s="216">
        <f>D47-D48-D49</f>
        <v>1358963.5731499998</v>
      </c>
      <c r="E50" s="161">
        <f>E47-E48-E49</f>
        <v>1276828.43081</v>
      </c>
      <c r="F50" s="161">
        <f>E50*(1+SD_prognozy!E15/100)*(SD_prognozy!G24/SD_prognozy!F24)*(SD_prognozy!G83/SD_prognozy!$F$83)</f>
        <v>1231218.4259799614</v>
      </c>
      <c r="G50" s="161">
        <f>F50*(1+SD_prognozy!F15/100)*(SD_prognozy!H24/SD_prognozy!G24)*(SD_prognozy!H83/SD_prognozy!G83)</f>
        <v>1265343.6200760319</v>
      </c>
      <c r="H50" s="161">
        <f>G50*(1+SD_prognozy!G15/100)*(SD_prognozy!I24/SD_prognozy!H24)*(SD_prognozy!I83/SD_prognozy!H83)</f>
        <v>1305417.8656153737</v>
      </c>
      <c r="I50" s="161">
        <f>H50*(1+SD_prognozy!H15/100)*(SD_prognozy!J24/SD_prognozy!I24)*(SD_prognozy!J83/SD_prognozy!I83)</f>
        <v>1357110.8079160892</v>
      </c>
      <c r="J50" s="214" t="s">
        <v>165</v>
      </c>
    </row>
    <row r="51" spans="1:10" x14ac:dyDescent="0.25">
      <c r="A51" s="416">
        <v>644001</v>
      </c>
      <c r="B51" s="418" t="s">
        <v>180</v>
      </c>
      <c r="C51" s="433" t="str">
        <f>VLOOKUP(A51,pravidla_SDcast!$A$1:$D$501,4,FALSE)</f>
        <v>data</v>
      </c>
      <c r="D51" s="417">
        <v>464713</v>
      </c>
      <c r="E51" s="417">
        <f>367138+171039+13606</f>
        <v>551783</v>
      </c>
      <c r="F51" s="417">
        <f>F52+F53+F54</f>
        <v>553636.83391548705</v>
      </c>
      <c r="G51" s="417">
        <f t="shared" ref="G51:I51" si="22">G52+G53+G54</f>
        <v>575994.99620368984</v>
      </c>
      <c r="H51" s="417">
        <f t="shared" si="22"/>
        <v>592685.95903400891</v>
      </c>
      <c r="I51" s="417">
        <f t="shared" si="22"/>
        <v>608504.95237392548</v>
      </c>
      <c r="J51" s="125"/>
    </row>
    <row r="52" spans="1:10" x14ac:dyDescent="0.25">
      <c r="A52" s="82" t="s">
        <v>210</v>
      </c>
      <c r="B52" s="166" t="s">
        <v>181</v>
      </c>
      <c r="C52" s="103" t="str">
        <f>VLOOKUP(A52,pravidla_SDcast!$A$1:$D$501,4,FALSE)</f>
        <v>data</v>
      </c>
      <c r="D52" s="220">
        <v>24680</v>
      </c>
      <c r="E52" s="220">
        <v>59976.976920000001</v>
      </c>
      <c r="F52" s="220">
        <f>-data!E50</f>
        <v>58115.207666514005</v>
      </c>
      <c r="G52" s="220">
        <f>-data!F50</f>
        <v>70188.61567286255</v>
      </c>
      <c r="H52" s="220">
        <f>-data!G50</f>
        <v>75370.05140472723</v>
      </c>
      <c r="I52" s="220">
        <f>-data!H50</f>
        <v>79000.264638540713</v>
      </c>
      <c r="J52" s="221" t="s">
        <v>1097</v>
      </c>
    </row>
    <row r="53" spans="1:10" x14ac:dyDescent="0.25">
      <c r="A53" s="82" t="s">
        <v>211</v>
      </c>
      <c r="B53" s="166" t="s">
        <v>624</v>
      </c>
      <c r="C53" s="103">
        <f>VLOOKUP(A53,pravidla_SDcast!$A$1:$D$501,4,FALSE)</f>
        <v>29</v>
      </c>
      <c r="D53" s="220">
        <v>0</v>
      </c>
      <c r="E53" s="220">
        <v>246.542</v>
      </c>
      <c r="F53" s="220">
        <f>E53*((1+SD_prognozy!G15/100)*SD_prognozy!$F$84/100+(1+SD_prognozy!G17/100)*(1-SD_prognozy!$F$84/100))</f>
        <v>252.102687930781</v>
      </c>
      <c r="G53" s="220">
        <f>F53*((1+SD_prognozy!H15/100)*SD_prognozy!$F$84/100+(1+SD_prognozy!H17/100)*(1-SD_prognozy!$F$84/100))</f>
        <v>260.19741039529896</v>
      </c>
      <c r="H53" s="220">
        <f>G53*((1+SD_prognozy!I15/100)*SD_prognozy!$F$84/100+(1+SD_prognozy!I17/100)*(1-SD_prognozy!$F$84/100))</f>
        <v>269.75644124962423</v>
      </c>
      <c r="I53" s="220">
        <f>H53*((1+SD_prognozy!J15/100)*SD_prognozy!$F$84/100+(1+SD_prognozy!J17/100)*(1-SD_prognozy!$F$84/100))</f>
        <v>280.36652686384554</v>
      </c>
      <c r="J53" s="221" t="s">
        <v>1098</v>
      </c>
    </row>
    <row r="54" spans="1:10" x14ac:dyDescent="0.25">
      <c r="A54" s="212" t="s">
        <v>625</v>
      </c>
      <c r="B54" s="223" t="s">
        <v>158</v>
      </c>
      <c r="C54" s="106">
        <f>VLOOKUP(A54,pravidla_SDcast!$A$1:$D$501,4,FALSE)</f>
        <v>25</v>
      </c>
      <c r="D54" s="218">
        <f>D51-D52-D53</f>
        <v>440033</v>
      </c>
      <c r="E54" s="218">
        <f>E51-E52-E53</f>
        <v>491559.48108</v>
      </c>
      <c r="F54" s="218">
        <f>E54*(1+SD_prognozy!G17/100)</f>
        <v>495269.52356104227</v>
      </c>
      <c r="G54" s="218">
        <f>F54*(1+SD_prognozy!H17/100)</f>
        <v>505546.18312043196</v>
      </c>
      <c r="H54" s="218">
        <f>G54*(1+SD_prognozy!I17/100)</f>
        <v>517046.151188032</v>
      </c>
      <c r="I54" s="218">
        <f>H54*(1+SD_prognozy!J17/100)</f>
        <v>529224.32120852091</v>
      </c>
      <c r="J54" s="214" t="s">
        <v>165</v>
      </c>
    </row>
    <row r="55" spans="1:10" x14ac:dyDescent="0.25">
      <c r="A55" s="416">
        <v>644002</v>
      </c>
      <c r="B55" s="418" t="s">
        <v>182</v>
      </c>
      <c r="C55" s="433" t="str">
        <f>VLOOKUP(A55,pravidla_SDcast!$A$1:$D$501,4,FALSE)</f>
        <v>data</v>
      </c>
      <c r="D55" s="417">
        <v>141922</v>
      </c>
      <c r="E55" s="417">
        <f>89347+72390</f>
        <v>161737</v>
      </c>
      <c r="F55" s="417">
        <f>F56+F57</f>
        <v>162931.87802876128</v>
      </c>
      <c r="G55" s="417">
        <f t="shared" ref="G55:I55" si="23">G56+G57</f>
        <v>166312.65427728652</v>
      </c>
      <c r="H55" s="417">
        <f t="shared" si="23"/>
        <v>170095.86989098444</v>
      </c>
      <c r="I55" s="417">
        <f t="shared" si="23"/>
        <v>174102.19779528416</v>
      </c>
      <c r="J55" s="125"/>
    </row>
    <row r="56" spans="1:10" x14ac:dyDescent="0.25">
      <c r="A56" s="82" t="s">
        <v>212</v>
      </c>
      <c r="B56" s="166" t="s">
        <v>181</v>
      </c>
      <c r="C56" s="103">
        <f>VLOOKUP(A56,pravidla_SDcast!$A$1:$D$501,4,FALSE)</f>
        <v>2</v>
      </c>
      <c r="D56" s="220">
        <v>0</v>
      </c>
      <c r="E56" s="220">
        <v>25.637589999999999</v>
      </c>
      <c r="F56" s="220">
        <v>0</v>
      </c>
      <c r="G56" s="220">
        <v>0</v>
      </c>
      <c r="H56" s="220">
        <v>0</v>
      </c>
      <c r="I56" s="220">
        <v>0</v>
      </c>
      <c r="J56" s="221" t="s">
        <v>1097</v>
      </c>
    </row>
    <row r="57" spans="1:10" x14ac:dyDescent="0.25">
      <c r="A57" s="212" t="s">
        <v>213</v>
      </c>
      <c r="B57" s="223" t="s">
        <v>158</v>
      </c>
      <c r="C57" s="106">
        <f>VLOOKUP(A57,pravidla_SDcast!$A$1:$D$501,4,FALSE)</f>
        <v>25</v>
      </c>
      <c r="D57" s="218">
        <f>D55-D56</f>
        <v>141922</v>
      </c>
      <c r="E57" s="218">
        <f>E55-E56</f>
        <v>161711.36241</v>
      </c>
      <c r="F57" s="218">
        <f>E57*(1+SD_prognozy!G17/100)</f>
        <v>162931.87802876128</v>
      </c>
      <c r="G57" s="218">
        <f>F57*(1+SD_prognozy!H17/100)</f>
        <v>166312.65427728652</v>
      </c>
      <c r="H57" s="218">
        <f>G57*(1+SD_prognozy!I17/100)</f>
        <v>170095.86989098444</v>
      </c>
      <c r="I57" s="218">
        <f>H57*(1+SD_prognozy!J17/100)</f>
        <v>174102.19779528416</v>
      </c>
      <c r="J57" s="214" t="s">
        <v>165</v>
      </c>
    </row>
    <row r="58" spans="1:10" x14ac:dyDescent="0.25">
      <c r="A58" s="419">
        <v>723001</v>
      </c>
      <c r="B58" s="420" t="s">
        <v>180</v>
      </c>
      <c r="C58" s="433" t="str">
        <f>VLOOKUP(A58,pravidla_SDcast!$A$1:$D$501,4,FALSE)</f>
        <v>data</v>
      </c>
      <c r="D58" s="417">
        <v>129136.13923999992</v>
      </c>
      <c r="E58" s="417">
        <f>91131+3051</f>
        <v>94182</v>
      </c>
      <c r="F58" s="417">
        <f>F59+F60</f>
        <v>97299.539084536227</v>
      </c>
      <c r="G58" s="417">
        <f t="shared" ref="G58:I58" si="24">G59+G60</f>
        <v>101755.06210696237</v>
      </c>
      <c r="H58" s="417">
        <f t="shared" si="24"/>
        <v>106956.25033579464</v>
      </c>
      <c r="I58" s="417">
        <f t="shared" si="24"/>
        <v>113291.01256609241</v>
      </c>
      <c r="J58" s="125"/>
    </row>
    <row r="59" spans="1:10" x14ac:dyDescent="0.25">
      <c r="A59" s="82" t="s">
        <v>214</v>
      </c>
      <c r="B59" s="166" t="s">
        <v>181</v>
      </c>
      <c r="C59" s="103" t="str">
        <f>VLOOKUP(A59,pravidla_SDcast!$A$1:$D$501,4,FALSE)</f>
        <v>data</v>
      </c>
      <c r="D59" s="220">
        <v>560</v>
      </c>
      <c r="E59" s="220">
        <v>45.794800000000002</v>
      </c>
      <c r="F59" s="220">
        <f>-data!E54</f>
        <v>107.07909000000001</v>
      </c>
      <c r="G59" s="220">
        <f>-data!F54</f>
        <v>263.99992205999996</v>
      </c>
      <c r="H59" s="220">
        <f>-data!G54</f>
        <v>346.64049800999999</v>
      </c>
      <c r="I59" s="220">
        <f>-data!H54</f>
        <v>809.38594155959993</v>
      </c>
      <c r="J59" s="221" t="s">
        <v>1097</v>
      </c>
    </row>
    <row r="60" spans="1:10" x14ac:dyDescent="0.25">
      <c r="A60" s="212" t="s">
        <v>215</v>
      </c>
      <c r="B60" s="223" t="s">
        <v>158</v>
      </c>
      <c r="C60" s="106">
        <f>VLOOKUP(A60,pravidla_SDcast!$A$1:$D$501,4,FALSE)</f>
        <v>37</v>
      </c>
      <c r="D60" s="218">
        <f>D58-D59</f>
        <v>128576.13923999992</v>
      </c>
      <c r="E60" s="218">
        <f>E58-E59</f>
        <v>94136.205199999997</v>
      </c>
      <c r="F60" s="218">
        <f>E60*(1+SD_prognozy!G9/100)</f>
        <v>97192.459994536228</v>
      </c>
      <c r="G60" s="218">
        <f>F60*(1+SD_prognozy!H9/100)</f>
        <v>101491.06218490237</v>
      </c>
      <c r="H60" s="218">
        <f>G60*(1+SD_prognozy!I9/100)</f>
        <v>106609.60983778464</v>
      </c>
      <c r="I60" s="218">
        <f>H60*(1+SD_prognozy!J9/100)</f>
        <v>112481.62662453282</v>
      </c>
      <c r="J60" s="214" t="s">
        <v>165</v>
      </c>
    </row>
  </sheetData>
  <pageMargins left="0.7" right="0.7" top="0.75" bottom="0.75" header="0.3" footer="0.3"/>
  <pageSetup orientation="portrait" verticalDpi="300" r:id="rId1"/>
  <ignoredErrors>
    <ignoredError sqref="F38:I38" formula="1"/>
  </ignoredError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árok1">
    <tabColor rgb="FFFFC000"/>
  </sheetPr>
  <dimension ref="A1:AR1731"/>
  <sheetViews>
    <sheetView showGridLines="0" workbookViewId="0">
      <selection sqref="A1:K1"/>
    </sheetView>
  </sheetViews>
  <sheetFormatPr defaultRowHeight="15" x14ac:dyDescent="0.25"/>
  <cols>
    <col min="1" max="1" width="24.28515625" style="5" customWidth="1"/>
    <col min="2" max="2" width="17.5703125" style="5" bestFit="1" customWidth="1"/>
    <col min="3" max="3" width="2.7109375" style="5" customWidth="1"/>
    <col min="4" max="4" width="25" style="5" customWidth="1"/>
    <col min="5" max="5" width="17.7109375" style="5" customWidth="1"/>
    <col min="6" max="6" width="2.7109375" style="5" customWidth="1"/>
    <col min="7" max="7" width="24.28515625" style="40" customWidth="1"/>
    <col min="8" max="8" width="17.7109375" style="40" customWidth="1"/>
    <col min="9" max="9" width="2.7109375" style="5" customWidth="1"/>
    <col min="10" max="10" width="24.28515625" style="29" customWidth="1"/>
    <col min="11" max="11" width="17.7109375" style="29" customWidth="1"/>
    <col min="12" max="12" width="9" style="5" customWidth="1"/>
    <col min="13" max="13" width="10.7109375" style="33" customWidth="1"/>
    <col min="14" max="14" width="11.140625" style="33" bestFit="1" customWidth="1"/>
    <col min="15" max="15" width="3" style="34" customWidth="1"/>
    <col min="16" max="16" width="8.5703125" style="34" customWidth="1"/>
    <col min="17" max="17" width="4.42578125" style="34" customWidth="1"/>
    <col min="18" max="18" width="7.7109375" style="35" customWidth="1"/>
    <col min="19" max="19" width="9.140625" style="34"/>
    <col min="20" max="20" width="12.7109375" style="34" customWidth="1"/>
    <col min="21" max="25" width="14.28515625" style="35" customWidth="1"/>
    <col min="26" max="27" width="9.140625" style="34" customWidth="1"/>
    <col min="28" max="31" width="9.85546875" style="34" bestFit="1" customWidth="1"/>
    <col min="32" max="32" width="9.5703125" style="34" bestFit="1" customWidth="1"/>
    <col min="33" max="34" width="9.140625" style="34" customWidth="1"/>
    <col min="35" max="44" width="9.140625" style="34"/>
    <col min="45" max="16384" width="9.140625" style="5"/>
  </cols>
  <sheetData>
    <row r="1" spans="1:44" s="40" customFormat="1" ht="33" customHeight="1" x14ac:dyDescent="0.25">
      <c r="A1" s="456" t="s">
        <v>1109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235"/>
      <c r="M1" s="455" t="s">
        <v>1114</v>
      </c>
      <c r="N1" s="455"/>
      <c r="O1" s="455"/>
      <c r="P1" s="455"/>
      <c r="Q1" s="455"/>
      <c r="R1" s="455"/>
      <c r="S1" s="234"/>
      <c r="T1" s="455" t="s">
        <v>1115</v>
      </c>
      <c r="U1" s="455"/>
      <c r="V1" s="455"/>
      <c r="W1" s="455"/>
      <c r="X1" s="455"/>
      <c r="Y1" s="455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</row>
    <row r="2" spans="1:44" x14ac:dyDescent="0.25">
      <c r="A2" s="457" t="s">
        <v>1110</v>
      </c>
      <c r="B2" s="457" t="s">
        <v>693</v>
      </c>
      <c r="C2" s="157"/>
      <c r="D2" s="457" t="s">
        <v>1111</v>
      </c>
      <c r="E2" s="457"/>
      <c r="F2" s="157"/>
      <c r="G2" s="457" t="s">
        <v>1112</v>
      </c>
      <c r="H2" s="457"/>
      <c r="I2" s="157"/>
      <c r="J2" s="457" t="s">
        <v>1113</v>
      </c>
      <c r="K2" s="457"/>
      <c r="L2" s="157"/>
      <c r="M2" s="357" t="s">
        <v>1203</v>
      </c>
      <c r="N2" s="357" t="s">
        <v>694</v>
      </c>
      <c r="O2" s="458" t="s">
        <v>1204</v>
      </c>
      <c r="P2" s="458"/>
      <c r="Q2" s="357" t="s">
        <v>695</v>
      </c>
      <c r="R2" s="357" t="s">
        <v>1205</v>
      </c>
      <c r="S2" s="236"/>
      <c r="T2" s="245"/>
      <c r="U2" s="246">
        <v>2013</v>
      </c>
      <c r="V2" s="246">
        <v>2014</v>
      </c>
      <c r="W2" s="246">
        <v>2015</v>
      </c>
      <c r="X2" s="246">
        <v>2016</v>
      </c>
      <c r="Y2" s="246">
        <v>2017</v>
      </c>
    </row>
    <row r="3" spans="1:44" x14ac:dyDescent="0.25">
      <c r="A3" s="331" t="s">
        <v>1101</v>
      </c>
      <c r="B3" s="332" t="s">
        <v>1198</v>
      </c>
      <c r="C3" s="194"/>
      <c r="D3" s="331" t="s">
        <v>1101</v>
      </c>
      <c r="E3" s="332" t="s">
        <v>1198</v>
      </c>
      <c r="F3" s="194"/>
      <c r="G3" s="331" t="s">
        <v>1101</v>
      </c>
      <c r="H3" s="332" t="s">
        <v>1198</v>
      </c>
      <c r="I3" s="194"/>
      <c r="J3" s="331" t="s">
        <v>1101</v>
      </c>
      <c r="K3" s="332" t="s">
        <v>1198</v>
      </c>
      <c r="L3" s="194"/>
      <c r="M3" s="331" t="str">
        <f t="shared" ref="M3:M33" si="0">J3</f>
        <v>Časť 1</v>
      </c>
      <c r="N3" s="459" t="str">
        <f t="shared" ref="N3:N33" si="1">K3</f>
        <v>Školstvo, spolufin.</v>
      </c>
      <c r="O3" s="459"/>
      <c r="P3" s="459"/>
      <c r="Q3" s="459"/>
      <c r="R3" s="460"/>
      <c r="S3" s="236"/>
      <c r="T3" s="331" t="s">
        <v>1101</v>
      </c>
      <c r="U3" s="459" t="str">
        <f>N3</f>
        <v>Školstvo, spolufin.</v>
      </c>
      <c r="V3" s="459"/>
      <c r="W3" s="459"/>
      <c r="X3" s="459"/>
      <c r="Y3" s="460"/>
    </row>
    <row r="4" spans="1:44" s="18" customFormat="1" x14ac:dyDescent="0.25">
      <c r="A4" s="333" t="s">
        <v>696</v>
      </c>
      <c r="B4" s="334">
        <v>-5130.0868100000007</v>
      </c>
      <c r="C4" s="164"/>
      <c r="D4" s="333" t="s">
        <v>696</v>
      </c>
      <c r="E4" s="334">
        <v>-5130.0868100000007</v>
      </c>
      <c r="F4" s="164"/>
      <c r="G4" s="333" t="s">
        <v>696</v>
      </c>
      <c r="H4" s="334">
        <v>-5130.0868100000007</v>
      </c>
      <c r="I4" s="164"/>
      <c r="J4" s="333" t="s">
        <v>696</v>
      </c>
      <c r="K4" s="334">
        <v>-5130.0868100000007</v>
      </c>
      <c r="L4" s="164"/>
      <c r="M4" s="358" t="str">
        <f t="shared" si="0"/>
        <v>D11PAY</v>
      </c>
      <c r="N4" s="239">
        <f t="shared" si="1"/>
        <v>-5130.0868100000007</v>
      </c>
      <c r="O4" s="243"/>
      <c r="P4" s="243">
        <f>MATCH(Q4,Q5:Q$1550,0)</f>
        <v>16</v>
      </c>
      <c r="Q4" s="243" t="s">
        <v>697</v>
      </c>
      <c r="R4" s="359" t="str">
        <f>IF(Q4="ekrk",INDEX(indexy_SDcast!$A:$C,MATCH($M4,indexy_SDcast!$A:$A,0),2),"")</f>
        <v/>
      </c>
      <c r="S4" s="240"/>
      <c r="T4" s="363" t="str">
        <f t="shared" ref="T4:T35" si="2">M4</f>
        <v>D11PAY</v>
      </c>
      <c r="U4" s="244">
        <f>SUM(U5:U19)</f>
        <v>-5130.0868100000007</v>
      </c>
      <c r="V4" s="244">
        <f>SUM(V5:V19)</f>
        <v>-6567.7020321204409</v>
      </c>
      <c r="W4" s="244">
        <f>SUM(W5:W19)</f>
        <v>-6641.5315782672787</v>
      </c>
      <c r="X4" s="244">
        <f>SUM(X5:X19)</f>
        <v>-4266.0283432783244</v>
      </c>
      <c r="Y4" s="359">
        <f>SUM(Y5:Y19)</f>
        <v>-5771.2877608810131</v>
      </c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</row>
    <row r="5" spans="1:44" x14ac:dyDescent="0.25">
      <c r="A5" s="330">
        <v>611000</v>
      </c>
      <c r="B5" s="329">
        <v>-2577.9849900000004</v>
      </c>
      <c r="C5" s="157"/>
      <c r="D5" s="330">
        <v>611000</v>
      </c>
      <c r="E5" s="329">
        <v>-2577.9849900000004</v>
      </c>
      <c r="F5" s="157"/>
      <c r="G5" s="330">
        <v>611000</v>
      </c>
      <c r="H5" s="329">
        <v>-2577.9849900000004</v>
      </c>
      <c r="I5" s="157"/>
      <c r="J5" s="330">
        <v>611000</v>
      </c>
      <c r="K5" s="329">
        <v>-2577.9849900000004</v>
      </c>
      <c r="L5" s="157"/>
      <c r="M5" s="360">
        <f t="shared" si="0"/>
        <v>611000</v>
      </c>
      <c r="N5" s="237">
        <f t="shared" si="1"/>
        <v>-2577.9849900000004</v>
      </c>
      <c r="O5" s="361"/>
      <c r="P5" s="361"/>
      <c r="Q5" s="361" t="s">
        <v>698</v>
      </c>
      <c r="R5" s="362">
        <v>35</v>
      </c>
      <c r="S5" s="236"/>
      <c r="T5" s="364">
        <f t="shared" si="2"/>
        <v>611000</v>
      </c>
      <c r="U5" s="365">
        <f t="shared" ref="U5:U19" si="3">N5</f>
        <v>-2577.9849900000004</v>
      </c>
      <c r="V5" s="365">
        <f>IF($Q5="ekrk",IF($R5="data",IFERROR(INDEX(data!$A:$ALL,MATCH($M5,data!$A:$A,0),MATCH(V$2,data!$1:$1,0)),"#data"),IFERROR(U5*INDEX(indexy_SDcast!$A:$ALI,MATCH($R5,indexy_SDcast!$K:$K,0),MATCH(V$2,indexy_SDcast!$2:$2,0)),"#ekrk")),"#popis")</f>
        <v>-3300.4192491625681</v>
      </c>
      <c r="W5" s="365">
        <f>IF($Q5="ekrk",IF($R5="data",IFERROR(INDEX(data!$A:$ALL,MATCH($M5,data!$A:$A,0),MATCH(W$2,data!$1:$1,0)),"#data"),IFERROR(V5*INDEX(indexy_SDcast!$A:$ALI,MATCH($R5,indexy_SDcast!$K:$K,0),MATCH(W$2,indexy_SDcast!$2:$2,0)),"#ekrk")),"#popis")</f>
        <v>-3337.5202708088395</v>
      </c>
      <c r="X5" s="365">
        <f>IF($Q5="ekrk",IF($R5="data",IFERROR(INDEX(data!$A:$ALL,MATCH($M5,data!$A:$A,0),MATCH(X$2,data!$1:$1,0)),"#data"),IFERROR(W5*INDEX(indexy_SDcast!$A:$ALI,MATCH($R5,indexy_SDcast!$K:$K,0),MATCH(X$2,indexy_SDcast!$2:$2,0)),"#ekrk")),"#popis")</f>
        <v>-2143.7760106609362</v>
      </c>
      <c r="Y5" s="362">
        <f>IF($Q5="ekrk",IF($R5="data",IFERROR(INDEX(data!$A:$ALL,MATCH($M5,data!$A:$A,0),MATCH(Y$2,data!$1:$1,0)),"#data"),IFERROR(X5*INDEX(indexy_SDcast!$A:$ALI,MATCH($R5,indexy_SDcast!$K:$K,0),MATCH(Y$2,indexy_SDcast!$2:$2,0)),"#ekrk")),"#popis")</f>
        <v>-2900.2030124558378</v>
      </c>
    </row>
    <row r="6" spans="1:44" x14ac:dyDescent="0.25">
      <c r="A6" s="330">
        <v>612001</v>
      </c>
      <c r="B6" s="329">
        <v>-697.92933999999991</v>
      </c>
      <c r="C6" s="157"/>
      <c r="D6" s="330">
        <v>612001</v>
      </c>
      <c r="E6" s="329">
        <v>-697.92933999999991</v>
      </c>
      <c r="F6" s="157"/>
      <c r="G6" s="330">
        <v>612001</v>
      </c>
      <c r="H6" s="329">
        <v>-697.92933999999991</v>
      </c>
      <c r="I6" s="157"/>
      <c r="J6" s="330">
        <v>612001</v>
      </c>
      <c r="K6" s="329">
        <v>-697.92933999999991</v>
      </c>
      <c r="L6" s="157"/>
      <c r="M6" s="360">
        <f t="shared" si="0"/>
        <v>612001</v>
      </c>
      <c r="N6" s="237">
        <f t="shared" si="1"/>
        <v>-697.92933999999991</v>
      </c>
      <c r="O6" s="361"/>
      <c r="P6" s="361"/>
      <c r="Q6" s="361" t="s">
        <v>698</v>
      </c>
      <c r="R6" s="362">
        <v>35</v>
      </c>
      <c r="S6" s="236"/>
      <c r="T6" s="364">
        <f t="shared" si="2"/>
        <v>612001</v>
      </c>
      <c r="U6" s="365">
        <f>N6</f>
        <v>-697.92933999999991</v>
      </c>
      <c r="V6" s="365">
        <f>IF($Q6="ekrk",IF($R6="data",IFERROR(INDEX(data!$A:$ALL,MATCH($M6,data!$A:$A,0),MATCH(V$2,data!$1:$1,0)),"#data"),IFERROR(U6*INDEX(indexy_SDcast!$A:$ALI,MATCH($R6,indexy_SDcast!$K:$K,0),MATCH(V$2,indexy_SDcast!$2:$2,0)),"#ekrk")),"#popis")</f>
        <v>-893.51157482547103</v>
      </c>
      <c r="W6" s="365">
        <f>IF($Q6="ekrk",IF($R6="data",IFERROR(INDEX(data!$A:$ALL,MATCH($M6,data!$A:$A,0),MATCH(W$2,data!$1:$1,0)),"#data"),IFERROR(V6*INDEX(indexy_SDcast!$A:$ALI,MATCH($R6,indexy_SDcast!$K:$K,0),MATCH(W$2,indexy_SDcast!$2:$2,0)),"#ekrk")),"#popis")</f>
        <v>-903.55581156515348</v>
      </c>
      <c r="X6" s="365">
        <f>IF($Q6="ekrk",IF($R6="data",IFERROR(INDEX(data!$A:$ALL,MATCH($M6,data!$A:$A,0),MATCH(X$2,data!$1:$1,0)),"#data"),IFERROR(W6*INDEX(indexy_SDcast!$A:$ALI,MATCH($R6,indexy_SDcast!$K:$K,0),MATCH(X$2,indexy_SDcast!$2:$2,0)),"#ekrk")),"#popis")</f>
        <v>-580.37738079631708</v>
      </c>
      <c r="Y6" s="362">
        <f>IF($Q6="ekrk",IF($R6="data",IFERROR(INDEX(data!$A:$ALL,MATCH($M6,data!$A:$A,0),MATCH(Y$2,data!$1:$1,0)),"#data"),IFERROR(X6*INDEX(indexy_SDcast!$A:$ALI,MATCH($R6,indexy_SDcast!$K:$K,0),MATCH(Y$2,indexy_SDcast!$2:$2,0)),"#ekrk")),"#popis")</f>
        <v>-785.16235827630396</v>
      </c>
    </row>
    <row r="7" spans="1:44" x14ac:dyDescent="0.25">
      <c r="A7" s="330">
        <v>612002</v>
      </c>
      <c r="B7" s="329">
        <v>-75.300510000000003</v>
      </c>
      <c r="C7" s="157"/>
      <c r="D7" s="330">
        <v>612002</v>
      </c>
      <c r="E7" s="329">
        <v>-75.300510000000003</v>
      </c>
      <c r="F7" s="157"/>
      <c r="G7" s="330">
        <v>612002</v>
      </c>
      <c r="H7" s="329">
        <v>-75.300510000000003</v>
      </c>
      <c r="I7" s="157"/>
      <c r="J7" s="330">
        <v>612002</v>
      </c>
      <c r="K7" s="329">
        <v>-75.300510000000003</v>
      </c>
      <c r="L7" s="157"/>
      <c r="M7" s="360">
        <f t="shared" si="0"/>
        <v>612002</v>
      </c>
      <c r="N7" s="237">
        <f t="shared" si="1"/>
        <v>-75.300510000000003</v>
      </c>
      <c r="O7" s="361"/>
      <c r="P7" s="361"/>
      <c r="Q7" s="361" t="s">
        <v>698</v>
      </c>
      <c r="R7" s="362">
        <v>35</v>
      </c>
      <c r="S7" s="236"/>
      <c r="T7" s="364">
        <f t="shared" si="2"/>
        <v>612002</v>
      </c>
      <c r="U7" s="365">
        <f t="shared" si="3"/>
        <v>-75.300510000000003</v>
      </c>
      <c r="V7" s="365">
        <f>IF($Q7="ekrk",IF($R7="data",IFERROR(INDEX(data!$A:$ALL,MATCH($M7,data!$A:$A,0),MATCH(V$2,data!$1:$1,0)),"#data"),IFERROR(U7*INDEX(indexy_SDcast!$A:$ALI,MATCH($R7,indexy_SDcast!$K:$K,0),MATCH(V$2,indexy_SDcast!$2:$2,0)),"#ekrk")),"#popis")</f>
        <v>-96.402133309456715</v>
      </c>
      <c r="W7" s="365">
        <f>IF($Q7="ekrk",IF($R7="data",IFERROR(INDEX(data!$A:$ALL,MATCH($M7,data!$A:$A,0),MATCH(W$2,data!$1:$1,0)),"#data"),IFERROR(V7*INDEX(indexy_SDcast!$A:$ALI,MATCH($R7,indexy_SDcast!$K:$K,0),MATCH(W$2,indexy_SDcast!$2:$2,0)),"#ekrk")),"#popis")</f>
        <v>-97.485819158025322</v>
      </c>
      <c r="X7" s="365">
        <f>IF($Q7="ekrk",IF($R7="data",IFERROR(INDEX(data!$A:$ALL,MATCH($M7,data!$A:$A,0),MATCH(X$2,data!$1:$1,0)),"#data"),IFERROR(W7*INDEX(indexy_SDcast!$A:$ALI,MATCH($R7,indexy_SDcast!$K:$K,0),MATCH(X$2,indexy_SDcast!$2:$2,0)),"#ekrk")),"#popis")</f>
        <v>-62.617675259829156</v>
      </c>
      <c r="Y7" s="362">
        <f>IF($Q7="ekrk",IF($R7="data",IFERROR(INDEX(data!$A:$ALL,MATCH($M7,data!$A:$A,0),MATCH(Y$2,data!$1:$1,0)),"#data"),IFERROR(X7*INDEX(indexy_SDcast!$A:$ALI,MATCH($R7,indexy_SDcast!$K:$K,0),MATCH(Y$2,indexy_SDcast!$2:$2,0)),"#ekrk")),"#popis")</f>
        <v>-84.712194519589076</v>
      </c>
    </row>
    <row r="8" spans="1:44" x14ac:dyDescent="0.25">
      <c r="A8" s="330">
        <v>614000</v>
      </c>
      <c r="B8" s="329">
        <v>-303.73944999999986</v>
      </c>
      <c r="C8" s="157"/>
      <c r="D8" s="330">
        <v>614000</v>
      </c>
      <c r="E8" s="329">
        <v>-303.73944999999986</v>
      </c>
      <c r="F8" s="157"/>
      <c r="G8" s="330">
        <v>614000</v>
      </c>
      <c r="H8" s="329">
        <v>-303.73944999999986</v>
      </c>
      <c r="I8" s="157"/>
      <c r="J8" s="330">
        <v>614000</v>
      </c>
      <c r="K8" s="329">
        <v>-303.73944999999986</v>
      </c>
      <c r="L8" s="157"/>
      <c r="M8" s="360">
        <f t="shared" si="0"/>
        <v>614000</v>
      </c>
      <c r="N8" s="237">
        <f t="shared" si="1"/>
        <v>-303.73944999999986</v>
      </c>
      <c r="O8" s="361"/>
      <c r="P8" s="361"/>
      <c r="Q8" s="361" t="s">
        <v>698</v>
      </c>
      <c r="R8" s="362">
        <v>35</v>
      </c>
      <c r="S8" s="236"/>
      <c r="T8" s="364">
        <f t="shared" si="2"/>
        <v>614000</v>
      </c>
      <c r="U8" s="365">
        <f t="shared" si="3"/>
        <v>-303.73944999999986</v>
      </c>
      <c r="V8" s="365">
        <f>IF($Q8="ekrk",IF($R8="data",IFERROR(INDEX(data!$A:$ALL,MATCH($M8,data!$A:$A,0),MATCH(V$2,data!$1:$1,0)),"#data"),IFERROR(U8*INDEX(indexy_SDcast!$A:$ALI,MATCH($R8,indexy_SDcast!$K:$K,0),MATCH(V$2,indexy_SDcast!$2:$2,0)),"#ekrk")),"#popis")</f>
        <v>-388.85700708057686</v>
      </c>
      <c r="W8" s="365">
        <f>IF($Q8="ekrk",IF($R8="data",IFERROR(INDEX(data!$A:$ALL,MATCH($M8,data!$A:$A,0),MATCH(W$2,data!$1:$1,0)),"#data"),IFERROR(V8*INDEX(indexy_SDcast!$A:$ALI,MATCH($R8,indexy_SDcast!$K:$K,0),MATCH(W$2,indexy_SDcast!$2:$2,0)),"#ekrk")),"#popis")</f>
        <v>-393.22826756230546</v>
      </c>
      <c r="X8" s="365">
        <f>IF($Q8="ekrk",IF($R8="data",IFERROR(INDEX(data!$A:$ALL,MATCH($M8,data!$A:$A,0),MATCH(X$2,data!$1:$1,0)),"#data"),IFERROR(W8*INDEX(indexy_SDcast!$A:$ALI,MATCH($R8,indexy_SDcast!$K:$K,0),MATCH(X$2,indexy_SDcast!$2:$2,0)),"#ekrk")),"#popis")</f>
        <v>-252.58073608929215</v>
      </c>
      <c r="Y8" s="362">
        <f>IF($Q8="ekrk",IF($R8="data",IFERROR(INDEX(data!$A:$ALL,MATCH($M8,data!$A:$A,0),MATCH(Y$2,data!$1:$1,0)),"#data"),IFERROR(X8*INDEX(indexy_SDcast!$A:$ALI,MATCH($R8,indexy_SDcast!$K:$K,0),MATCH(Y$2,indexy_SDcast!$2:$2,0)),"#ekrk")),"#popis")</f>
        <v>-341.70333470082721</v>
      </c>
    </row>
    <row r="9" spans="1:44" x14ac:dyDescent="0.25">
      <c r="A9" s="330">
        <v>615000</v>
      </c>
      <c r="B9" s="329">
        <v>-1.81589</v>
      </c>
      <c r="C9" s="157"/>
      <c r="D9" s="330">
        <v>615000</v>
      </c>
      <c r="E9" s="329">
        <v>-1.81589</v>
      </c>
      <c r="F9" s="157"/>
      <c r="G9" s="330">
        <v>615000</v>
      </c>
      <c r="H9" s="329">
        <v>-1.81589</v>
      </c>
      <c r="I9" s="157"/>
      <c r="J9" s="330">
        <v>615000</v>
      </c>
      <c r="K9" s="329">
        <v>-1.81589</v>
      </c>
      <c r="L9" s="157"/>
      <c r="M9" s="360">
        <f t="shared" si="0"/>
        <v>615000</v>
      </c>
      <c r="N9" s="237">
        <f t="shared" si="1"/>
        <v>-1.81589</v>
      </c>
      <c r="O9" s="361"/>
      <c r="P9" s="361"/>
      <c r="Q9" s="361" t="s">
        <v>698</v>
      </c>
      <c r="R9" s="362">
        <v>35</v>
      </c>
      <c r="S9" s="236"/>
      <c r="T9" s="364">
        <f t="shared" si="2"/>
        <v>615000</v>
      </c>
      <c r="U9" s="365">
        <f t="shared" si="3"/>
        <v>-1.81589</v>
      </c>
      <c r="V9" s="365">
        <f>IF($Q9="ekrk",IF($R9="data",IFERROR(INDEX(data!$A:$ALL,MATCH($M9,data!$A:$A,0),MATCH(V$2,data!$1:$1,0)),"#data"),IFERROR(U9*INDEX(indexy_SDcast!$A:$ALI,MATCH($R9,indexy_SDcast!$K:$K,0),MATCH(V$2,indexy_SDcast!$2:$2,0)),"#ekrk")),"#popis")</f>
        <v>-2.32476074671087</v>
      </c>
      <c r="W9" s="365">
        <f>IF($Q9="ekrk",IF($R9="data",IFERROR(INDEX(data!$A:$ALL,MATCH($M9,data!$A:$A,0),MATCH(W$2,data!$1:$1,0)),"#data"),IFERROR(V9*INDEX(indexy_SDcast!$A:$ALI,MATCH($R9,indexy_SDcast!$K:$K,0),MATCH(W$2,indexy_SDcast!$2:$2,0)),"#ekrk")),"#popis")</f>
        <v>-2.3508940928934821</v>
      </c>
      <c r="X9" s="365">
        <f>IF($Q9="ekrk",IF($R9="data",IFERROR(INDEX(data!$A:$ALL,MATCH($M9,data!$A:$A,0),MATCH(X$2,data!$1:$1,0)),"#data"),IFERROR(W9*INDEX(indexy_SDcast!$A:$ALI,MATCH($R9,indexy_SDcast!$K:$K,0),MATCH(X$2,indexy_SDcast!$2:$2,0)),"#ekrk")),"#popis")</f>
        <v>-1.5100403745946893</v>
      </c>
      <c r="Y9" s="362">
        <f>IF($Q9="ekrk",IF($R9="data",IFERROR(INDEX(data!$A:$ALL,MATCH($M9,data!$A:$A,0),MATCH(Y$2,data!$1:$1,0)),"#data"),IFERROR(X9*INDEX(indexy_SDcast!$A:$ALI,MATCH($R9,indexy_SDcast!$K:$K,0),MATCH(Y$2,indexy_SDcast!$2:$2,0)),"#ekrk")),"#popis")</f>
        <v>-2.0428550471461162</v>
      </c>
    </row>
    <row r="10" spans="1:44" x14ac:dyDescent="0.25">
      <c r="A10" s="330">
        <v>616000</v>
      </c>
      <c r="B10" s="329">
        <v>-0.73285999999999996</v>
      </c>
      <c r="C10" s="157"/>
      <c r="D10" s="330">
        <v>616000</v>
      </c>
      <c r="E10" s="329">
        <v>-0.73285999999999996</v>
      </c>
      <c r="F10" s="157"/>
      <c r="G10" s="330">
        <v>616000</v>
      </c>
      <c r="H10" s="329">
        <v>-0.73285999999999996</v>
      </c>
      <c r="I10" s="157"/>
      <c r="J10" s="330">
        <v>616000</v>
      </c>
      <c r="K10" s="329">
        <v>-0.73285999999999996</v>
      </c>
      <c r="L10" s="157"/>
      <c r="M10" s="360">
        <f t="shared" si="0"/>
        <v>616000</v>
      </c>
      <c r="N10" s="237">
        <f t="shared" si="1"/>
        <v>-0.73285999999999996</v>
      </c>
      <c r="O10" s="361"/>
      <c r="P10" s="361"/>
      <c r="Q10" s="361" t="s">
        <v>698</v>
      </c>
      <c r="R10" s="362">
        <v>35</v>
      </c>
      <c r="S10" s="236"/>
      <c r="T10" s="364">
        <f t="shared" si="2"/>
        <v>616000</v>
      </c>
      <c r="U10" s="365">
        <f t="shared" si="3"/>
        <v>-0.73285999999999996</v>
      </c>
      <c r="V10" s="365">
        <f>IF($Q10="ekrk",IF($R10="data",IFERROR(INDEX(data!$A:$ALL,MATCH($M10,data!$A:$A,0),MATCH(V$2,data!$1:$1,0)),"#data"),IFERROR(U10*INDEX(indexy_SDcast!$A:$ALI,MATCH($R10,indexy_SDcast!$K:$K,0),MATCH(V$2,indexy_SDcast!$2:$2,0)),"#ekrk")),"#popis")</f>
        <v>-0.93823092854442069</v>
      </c>
      <c r="W10" s="365">
        <f>IF($Q10="ekrk",IF($R10="data",IFERROR(INDEX(data!$A:$ALL,MATCH($M10,data!$A:$A,0),MATCH(W$2,data!$1:$1,0)),"#data"),IFERROR(V10*INDEX(indexy_SDcast!$A:$ALI,MATCH($R10,indexy_SDcast!$K:$K,0),MATCH(W$2,indexy_SDcast!$2:$2,0)),"#ekrk")),"#popis")</f>
        <v>-0.94877786920899232</v>
      </c>
      <c r="X10" s="365">
        <f>IF($Q10="ekrk",IF($R10="data",IFERROR(INDEX(data!$A:$ALL,MATCH($M10,data!$A:$A,0),MATCH(X$2,data!$1:$1,0)),"#data"),IFERROR(W10*INDEX(indexy_SDcast!$A:$ALI,MATCH($R10,indexy_SDcast!$K:$K,0),MATCH(X$2,indexy_SDcast!$2:$2,0)),"#ekrk")),"#popis")</f>
        <v>-0.60942468372283776</v>
      </c>
      <c r="Y10" s="362">
        <f>IF($Q10="ekrk",IF($R10="data",IFERROR(INDEX(data!$A:$ALL,MATCH($M10,data!$A:$A,0),MATCH(Y$2,data!$1:$1,0)),"#data"),IFERROR(X10*INDEX(indexy_SDcast!$A:$ALI,MATCH($R10,indexy_SDcast!$K:$K,0),MATCH(Y$2,indexy_SDcast!$2:$2,0)),"#ekrk")),"#popis")</f>
        <v>-0.82445894291587174</v>
      </c>
    </row>
    <row r="11" spans="1:44" x14ac:dyDescent="0.25">
      <c r="A11" s="330">
        <v>631001</v>
      </c>
      <c r="B11" s="329">
        <v>-27.331999999999987</v>
      </c>
      <c r="C11" s="157"/>
      <c r="D11" s="330">
        <v>631001</v>
      </c>
      <c r="E11" s="329">
        <v>-27.331999999999987</v>
      </c>
      <c r="F11" s="157"/>
      <c r="G11" s="330">
        <v>631001</v>
      </c>
      <c r="H11" s="329">
        <v>-27.331999999999987</v>
      </c>
      <c r="I11" s="157"/>
      <c r="J11" s="330">
        <v>631001</v>
      </c>
      <c r="K11" s="329">
        <v>-27.331999999999987</v>
      </c>
      <c r="L11" s="157"/>
      <c r="M11" s="360">
        <f t="shared" si="0"/>
        <v>631001</v>
      </c>
      <c r="N11" s="237">
        <f t="shared" si="1"/>
        <v>-27.331999999999987</v>
      </c>
      <c r="O11" s="361"/>
      <c r="P11" s="361"/>
      <c r="Q11" s="361" t="s">
        <v>698</v>
      </c>
      <c r="R11" s="362">
        <v>35</v>
      </c>
      <c r="S11" s="236"/>
      <c r="T11" s="364">
        <f t="shared" si="2"/>
        <v>631001</v>
      </c>
      <c r="U11" s="365">
        <f t="shared" si="3"/>
        <v>-27.331999999999987</v>
      </c>
      <c r="V11" s="365">
        <f>IF($Q11="ekrk",IF($R11="data",IFERROR(INDEX(data!$A:$ALL,MATCH($M11,data!$A:$A,0),MATCH(V$2,data!$1:$1,0)),"#data"),IFERROR(U11*INDEX(indexy_SDcast!$A:$ALI,MATCH($R11,indexy_SDcast!$K:$K,0),MATCH(V$2,indexy_SDcast!$2:$2,0)),"#ekrk")),"#popis")</f>
        <v>-34.991304940883794</v>
      </c>
      <c r="W11" s="365">
        <f>IF($Q11="ekrk",IF($R11="data",IFERROR(INDEX(data!$A:$ALL,MATCH($M11,data!$A:$A,0),MATCH(W$2,data!$1:$1,0)),"#data"),IFERROR(V11*INDEX(indexy_SDcast!$A:$ALI,MATCH($R11,indexy_SDcast!$K:$K,0),MATCH(W$2,indexy_SDcast!$2:$2,0)),"#ekrk")),"#popis")</f>
        <v>-35.384652895805708</v>
      </c>
      <c r="X11" s="365">
        <f>IF($Q11="ekrk",IF($R11="data",IFERROR(INDEX(data!$A:$ALL,MATCH($M11,data!$A:$A,0),MATCH(X$2,data!$1:$1,0)),"#data"),IFERROR(W11*INDEX(indexy_SDcast!$A:$ALI,MATCH($R11,indexy_SDcast!$K:$K,0),MATCH(X$2,indexy_SDcast!$2:$2,0)),"#ekrk")),"#popis")</f>
        <v>-22.728482186928741</v>
      </c>
      <c r="Y11" s="362">
        <f>IF($Q11="ekrk",IF($R11="data",IFERROR(INDEX(data!$A:$ALL,MATCH($M11,data!$A:$A,0),MATCH(Y$2,data!$1:$1,0)),"#data"),IFERROR(X11*INDEX(indexy_SDcast!$A:$ALI,MATCH($R11,indexy_SDcast!$K:$K,0),MATCH(Y$2,indexy_SDcast!$2:$2,0)),"#ekrk")),"#popis")</f>
        <v>-30.748180863707393</v>
      </c>
    </row>
    <row r="12" spans="1:44" x14ac:dyDescent="0.25">
      <c r="A12" s="330">
        <v>631002</v>
      </c>
      <c r="B12" s="329">
        <v>-32.73266000000001</v>
      </c>
      <c r="C12" s="157"/>
      <c r="D12" s="330">
        <v>631002</v>
      </c>
      <c r="E12" s="329">
        <v>-32.73266000000001</v>
      </c>
      <c r="F12" s="157"/>
      <c r="G12" s="330">
        <v>631002</v>
      </c>
      <c r="H12" s="329">
        <v>-32.73266000000001</v>
      </c>
      <c r="I12" s="157"/>
      <c r="J12" s="330">
        <v>631002</v>
      </c>
      <c r="K12" s="329">
        <v>-32.73266000000001</v>
      </c>
      <c r="L12" s="157"/>
      <c r="M12" s="360">
        <f t="shared" si="0"/>
        <v>631002</v>
      </c>
      <c r="N12" s="237">
        <f t="shared" si="1"/>
        <v>-32.73266000000001</v>
      </c>
      <c r="O12" s="361"/>
      <c r="P12" s="361"/>
      <c r="Q12" s="361" t="s">
        <v>698</v>
      </c>
      <c r="R12" s="362">
        <v>35</v>
      </c>
      <c r="S12" s="236"/>
      <c r="T12" s="364">
        <f t="shared" si="2"/>
        <v>631002</v>
      </c>
      <c r="U12" s="365">
        <f t="shared" si="3"/>
        <v>-32.73266000000001</v>
      </c>
      <c r="V12" s="365">
        <f>IF($Q12="ekrk",IF($R12="data",IFERROR(INDEX(data!$A:$ALL,MATCH($M12,data!$A:$A,0),MATCH(V$2,data!$1:$1,0)),"#data"),IFERROR(U12*INDEX(indexy_SDcast!$A:$ALI,MATCH($R12,indexy_SDcast!$K:$K,0),MATCH(V$2,indexy_SDcast!$2:$2,0)),"#ekrk")),"#popis")</f>
        <v>-41.905403467959545</v>
      </c>
      <c r="W12" s="365">
        <f>IF($Q12="ekrk",IF($R12="data",IFERROR(INDEX(data!$A:$ALL,MATCH($M12,data!$A:$A,0),MATCH(W$2,data!$1:$1,0)),"#data"),IFERROR(V12*INDEX(indexy_SDcast!$A:$ALI,MATCH($R12,indexy_SDcast!$K:$K,0),MATCH(W$2,indexy_SDcast!$2:$2,0)),"#ekrk")),"#popis")</f>
        <v>-42.376474917913967</v>
      </c>
      <c r="X12" s="365">
        <f>IF($Q12="ekrk",IF($R12="data",IFERROR(INDEX(data!$A:$ALL,MATCH($M12,data!$A:$A,0),MATCH(X$2,data!$1:$1,0)),"#data"),IFERROR(W12*INDEX(indexy_SDcast!$A:$ALI,MATCH($R12,indexy_SDcast!$K:$K,0),MATCH(X$2,indexy_SDcast!$2:$2,0)),"#ekrk")),"#popis")</f>
        <v>-27.219511186184526</v>
      </c>
      <c r="Y12" s="362">
        <f>IF($Q12="ekrk",IF($R12="data",IFERROR(INDEX(data!$A:$ALL,MATCH($M12,data!$A:$A,0),MATCH(Y$2,data!$1:$1,0)),"#data"),IFERROR(X12*INDEX(indexy_SDcast!$A:$ALI,MATCH($R12,indexy_SDcast!$K:$K,0),MATCH(Y$2,indexy_SDcast!$2:$2,0)),"#ekrk")),"#popis")</f>
        <v>-36.823860304048047</v>
      </c>
    </row>
    <row r="13" spans="1:44" x14ac:dyDescent="0.25">
      <c r="A13" s="330">
        <v>631004</v>
      </c>
      <c r="B13" s="329">
        <v>-1.3000000000000002E-4</v>
      </c>
      <c r="C13" s="157"/>
      <c r="D13" s="330">
        <v>631004</v>
      </c>
      <c r="E13" s="329">
        <v>-1.3000000000000002E-4</v>
      </c>
      <c r="F13" s="157"/>
      <c r="G13" s="330">
        <v>631004</v>
      </c>
      <c r="H13" s="329">
        <v>-1.3000000000000002E-4</v>
      </c>
      <c r="I13" s="157"/>
      <c r="J13" s="330">
        <v>631004</v>
      </c>
      <c r="K13" s="329">
        <v>-1.3000000000000002E-4</v>
      </c>
      <c r="L13" s="157"/>
      <c r="M13" s="360">
        <f t="shared" si="0"/>
        <v>631004</v>
      </c>
      <c r="N13" s="237">
        <f t="shared" si="1"/>
        <v>-1.3000000000000002E-4</v>
      </c>
      <c r="O13" s="361"/>
      <c r="P13" s="361"/>
      <c r="Q13" s="361" t="s">
        <v>698</v>
      </c>
      <c r="R13" s="362">
        <v>35</v>
      </c>
      <c r="S13" s="236"/>
      <c r="T13" s="364">
        <f t="shared" si="2"/>
        <v>631004</v>
      </c>
      <c r="U13" s="365">
        <f t="shared" si="3"/>
        <v>-1.3000000000000002E-4</v>
      </c>
      <c r="V13" s="365">
        <f>IF($Q13="ekrk",IF($R13="data",IFERROR(INDEX(data!$A:$ALL,MATCH($M13,data!$A:$A,0),MATCH(V$2,data!$1:$1,0)),"#data"),IFERROR(U13*INDEX(indexy_SDcast!$A:$ALI,MATCH($R13,indexy_SDcast!$K:$K,0),MATCH(V$2,indexy_SDcast!$2:$2,0)),"#ekrk")),"#popis")</f>
        <v>-1.6643017862999035E-4</v>
      </c>
      <c r="W13" s="365">
        <f>IF($Q13="ekrk",IF($R13="data",IFERROR(INDEX(data!$A:$ALL,MATCH($M13,data!$A:$A,0),MATCH(W$2,data!$1:$1,0)),"#data"),IFERROR(V13*INDEX(indexy_SDcast!$A:$ALI,MATCH($R13,indexy_SDcast!$K:$K,0),MATCH(W$2,indexy_SDcast!$2:$2,0)),"#ekrk")),"#popis")</f>
        <v>-1.6830107114205857E-4</v>
      </c>
      <c r="X13" s="365">
        <f>IF($Q13="ekrk",IF($R13="data",IFERROR(INDEX(data!$A:$ALL,MATCH($M13,data!$A:$A,0),MATCH(X$2,data!$1:$1,0)),"#data"),IFERROR(W13*INDEX(indexy_SDcast!$A:$ALI,MATCH($R13,indexy_SDcast!$K:$K,0),MATCH(X$2,indexy_SDcast!$2:$2,0)),"#ekrk")),"#popis")</f>
        <v>-1.0810415206720102E-4</v>
      </c>
      <c r="Y13" s="362">
        <f>IF($Q13="ekrk",IF($R13="data",IFERROR(INDEX(data!$A:$ALL,MATCH($M13,data!$A:$A,0),MATCH(Y$2,data!$1:$1,0)),"#data"),IFERROR(X13*INDEX(indexy_SDcast!$A:$ALI,MATCH($R13,indexy_SDcast!$K:$K,0),MATCH(Y$2,indexy_SDcast!$2:$2,0)),"#ekrk")),"#popis")</f>
        <v>-1.4624848208261246E-4</v>
      </c>
    </row>
    <row r="14" spans="1:44" x14ac:dyDescent="0.25">
      <c r="A14" s="330">
        <v>637006</v>
      </c>
      <c r="B14" s="329">
        <v>-0.23138999999999998</v>
      </c>
      <c r="C14" s="157"/>
      <c r="D14" s="330">
        <v>637006</v>
      </c>
      <c r="E14" s="329">
        <v>-0.23138999999999998</v>
      </c>
      <c r="F14" s="157"/>
      <c r="G14" s="330">
        <v>637006</v>
      </c>
      <c r="H14" s="329">
        <v>-0.23138999999999998</v>
      </c>
      <c r="I14" s="157"/>
      <c r="J14" s="330">
        <v>637006</v>
      </c>
      <c r="K14" s="329">
        <v>-0.23138999999999998</v>
      </c>
      <c r="L14" s="157"/>
      <c r="M14" s="360">
        <f t="shared" si="0"/>
        <v>637006</v>
      </c>
      <c r="N14" s="237">
        <f t="shared" si="1"/>
        <v>-0.23138999999999998</v>
      </c>
      <c r="O14" s="361"/>
      <c r="P14" s="361"/>
      <c r="Q14" s="361" t="s">
        <v>698</v>
      </c>
      <c r="R14" s="362">
        <v>35</v>
      </c>
      <c r="S14" s="236"/>
      <c r="T14" s="364">
        <f t="shared" si="2"/>
        <v>637006</v>
      </c>
      <c r="U14" s="365">
        <f t="shared" si="3"/>
        <v>-0.23138999999999998</v>
      </c>
      <c r="V14" s="365">
        <f>IF($Q14="ekrk",IF($R14="data",IFERROR(INDEX(data!$A:$ALL,MATCH($M14,data!$A:$A,0),MATCH(V$2,data!$1:$1,0)),"#data"),IFERROR(U14*INDEX(indexy_SDcast!$A:$ALI,MATCH($R14,indexy_SDcast!$K:$K,0),MATCH(V$2,indexy_SDcast!$2:$2,0)),"#ekrk")),"#popis")</f>
        <v>-0.29623291563994969</v>
      </c>
      <c r="W14" s="365">
        <f>IF($Q14="ekrk",IF($R14="data",IFERROR(INDEX(data!$A:$ALL,MATCH($M14,data!$A:$A,0),MATCH(W$2,data!$1:$1,0)),"#data"),IFERROR(V14*INDEX(indexy_SDcast!$A:$ALI,MATCH($R14,indexy_SDcast!$K:$K,0),MATCH(W$2,indexy_SDcast!$2:$2,0)),"#ekrk")),"#popis")</f>
        <v>-0.2995629603966225</v>
      </c>
      <c r="X14" s="365">
        <f>IF($Q14="ekrk",IF($R14="data",IFERROR(INDEX(data!$A:$ALL,MATCH($M14,data!$A:$A,0),MATCH(X$2,data!$1:$1,0)),"#data"),IFERROR(W14*INDEX(indexy_SDcast!$A:$ALI,MATCH($R14,indexy_SDcast!$K:$K,0),MATCH(X$2,indexy_SDcast!$2:$2,0)),"#ekrk")),"#popis")</f>
        <v>-0.19241707497561261</v>
      </c>
      <c r="Y14" s="362">
        <f>IF($Q14="ekrk",IF($R14="data",IFERROR(INDEX(data!$A:$ALL,MATCH($M14,data!$A:$A,0),MATCH(Y$2,data!$1:$1,0)),"#data"),IFERROR(X14*INDEX(indexy_SDcast!$A:$ALI,MATCH($R14,indexy_SDcast!$K:$K,0),MATCH(Y$2,indexy_SDcast!$2:$2,0)),"#ekrk")),"#popis")</f>
        <v>-0.26031104822381301</v>
      </c>
    </row>
    <row r="15" spans="1:44" x14ac:dyDescent="0.25">
      <c r="A15" s="330">
        <v>637007</v>
      </c>
      <c r="B15" s="329">
        <v>-198.27601999999999</v>
      </c>
      <c r="C15" s="157"/>
      <c r="D15" s="330">
        <v>637007</v>
      </c>
      <c r="E15" s="329">
        <v>-198.27601999999999</v>
      </c>
      <c r="F15" s="157"/>
      <c r="G15" s="330">
        <v>637007</v>
      </c>
      <c r="H15" s="329">
        <v>-198.27601999999999</v>
      </c>
      <c r="I15" s="157"/>
      <c r="J15" s="330">
        <v>637007</v>
      </c>
      <c r="K15" s="329">
        <v>-198.27601999999999</v>
      </c>
      <c r="L15" s="157"/>
      <c r="M15" s="360">
        <f t="shared" si="0"/>
        <v>637007</v>
      </c>
      <c r="N15" s="237">
        <f t="shared" si="1"/>
        <v>-198.27601999999999</v>
      </c>
      <c r="O15" s="361"/>
      <c r="P15" s="361"/>
      <c r="Q15" s="361" t="s">
        <v>698</v>
      </c>
      <c r="R15" s="362">
        <v>35</v>
      </c>
      <c r="S15" s="236"/>
      <c r="T15" s="364">
        <f t="shared" si="2"/>
        <v>637007</v>
      </c>
      <c r="U15" s="365">
        <f t="shared" si="3"/>
        <v>-198.27601999999999</v>
      </c>
      <c r="V15" s="365">
        <f>IF($Q15="ekrk",IF($R15="data",IFERROR(INDEX(data!$A:$ALL,MATCH($M15,data!$A:$A,0),MATCH(V$2,data!$1:$1,0)),"#data"),IFERROR(U15*INDEX(indexy_SDcast!$A:$ALI,MATCH($R15,indexy_SDcast!$K:$K,0),MATCH(V$2,indexy_SDcast!$2:$2,0)),"#ekrk")),"#popis")</f>
        <v>-253.83933405110409</v>
      </c>
      <c r="W15" s="365">
        <f>IF($Q15="ekrk",IF($R15="data",IFERROR(INDEX(data!$A:$ALL,MATCH($M15,data!$A:$A,0),MATCH(W$2,data!$1:$1,0)),"#data"),IFERROR(V15*INDEX(indexy_SDcast!$A:$ALI,MATCH($R15,indexy_SDcast!$K:$K,0),MATCH(W$2,indexy_SDcast!$2:$2,0)),"#ekrk")),"#popis")</f>
        <v>-256.69281959834018</v>
      </c>
      <c r="X15" s="365">
        <f>IF($Q15="ekrk",IF($R15="data",IFERROR(INDEX(data!$A:$ALL,MATCH($M15,data!$A:$A,0),MATCH(X$2,data!$1:$1,0)),"#data"),IFERROR(W15*INDEX(indexy_SDcast!$A:$ALI,MATCH($R15,indexy_SDcast!$K:$K,0),MATCH(X$2,indexy_SDcast!$2:$2,0)),"#ekrk")),"#popis")</f>
        <v>-164.88046936430297</v>
      </c>
      <c r="Y15" s="362">
        <f>IF($Q15="ekrk",IF($R15="data",IFERROR(INDEX(data!$A:$ALL,MATCH($M15,data!$A:$A,0),MATCH(Y$2,data!$1:$1,0)),"#data"),IFERROR(X15*INDEX(indexy_SDcast!$A:$ALI,MATCH($R15,indexy_SDcast!$K:$K,0),MATCH(Y$2,indexy_SDcast!$2:$2,0)),"#ekrk")),"#popis")</f>
        <v>-223.05820737216695</v>
      </c>
    </row>
    <row r="16" spans="1:44" x14ac:dyDescent="0.25">
      <c r="A16" s="330">
        <v>637009</v>
      </c>
      <c r="B16" s="329">
        <v>-131.91296</v>
      </c>
      <c r="C16" s="157"/>
      <c r="D16" s="330">
        <v>637009</v>
      </c>
      <c r="E16" s="329">
        <v>-131.91296</v>
      </c>
      <c r="F16" s="157"/>
      <c r="G16" s="330">
        <v>637009</v>
      </c>
      <c r="H16" s="329">
        <v>-131.91296</v>
      </c>
      <c r="I16" s="157"/>
      <c r="J16" s="330">
        <v>637009</v>
      </c>
      <c r="K16" s="329">
        <v>-131.91296</v>
      </c>
      <c r="L16" s="157"/>
      <c r="M16" s="360">
        <f t="shared" si="0"/>
        <v>637009</v>
      </c>
      <c r="N16" s="237">
        <f t="shared" si="1"/>
        <v>-131.91296</v>
      </c>
      <c r="O16" s="361"/>
      <c r="P16" s="361"/>
      <c r="Q16" s="361" t="s">
        <v>698</v>
      </c>
      <c r="R16" s="362">
        <v>35</v>
      </c>
      <c r="S16" s="236"/>
      <c r="T16" s="364">
        <f t="shared" si="2"/>
        <v>637009</v>
      </c>
      <c r="U16" s="365">
        <f t="shared" si="3"/>
        <v>-131.91296</v>
      </c>
      <c r="V16" s="365">
        <f>IF($Q16="ekrk",IF($R16="data",IFERROR(INDEX(data!$A:$ALL,MATCH($M16,data!$A:$A,0),MATCH(V$2,data!$1:$1,0)),"#data"),IFERROR(U16*INDEX(indexy_SDcast!$A:$ALI,MATCH($R16,indexy_SDcast!$K:$K,0),MATCH(V$2,indexy_SDcast!$2:$2,0)),"#ekrk")),"#popis")</f>
        <v>-168.87921151085206</v>
      </c>
      <c r="W16" s="365">
        <f>IF($Q16="ekrk",IF($R16="data",IFERROR(INDEX(data!$A:$ALL,MATCH($M16,data!$A:$A,0),MATCH(W$2,data!$1:$1,0)),"#data"),IFERROR(V16*INDEX(indexy_SDcast!$A:$ALI,MATCH($R16,indexy_SDcast!$K:$K,0),MATCH(W$2,indexy_SDcast!$2:$2,0)),"#ekrk")),"#popis")</f>
        <v>-170.77763435015018</v>
      </c>
      <c r="X16" s="365">
        <f>IF($Q16="ekrk",IF($R16="data",IFERROR(INDEX(data!$A:$ALL,MATCH($M16,data!$A:$A,0),MATCH(X$2,data!$1:$1,0)),"#data"),IFERROR(W16*INDEX(indexy_SDcast!$A:$ALI,MATCH($R16,indexy_SDcast!$K:$K,0),MATCH(X$2,indexy_SDcast!$2:$2,0)),"#ekrk")),"#popis")</f>
        <v>-109.69491298057387</v>
      </c>
      <c r="Y16" s="362">
        <f>IF($Q16="ekrk",IF($R16="data",IFERROR(INDEX(data!$A:$ALL,MATCH($M16,data!$A:$A,0),MATCH(Y$2,data!$1:$1,0)),"#data"),IFERROR(X16*INDEX(indexy_SDcast!$A:$ALI,MATCH($R16,indexy_SDcast!$K:$K,0),MATCH(Y$2,indexy_SDcast!$2:$2,0)),"#ekrk")),"#popis")</f>
        <v>-148.40053974634134</v>
      </c>
    </row>
    <row r="17" spans="1:44" x14ac:dyDescent="0.25">
      <c r="A17" s="330">
        <v>637014</v>
      </c>
      <c r="B17" s="329">
        <v>-41.148680000000006</v>
      </c>
      <c r="C17" s="157"/>
      <c r="D17" s="330">
        <v>637014</v>
      </c>
      <c r="E17" s="329">
        <v>-41.148680000000006</v>
      </c>
      <c r="F17" s="157"/>
      <c r="G17" s="330">
        <v>637014</v>
      </c>
      <c r="H17" s="329">
        <v>-41.148680000000006</v>
      </c>
      <c r="I17" s="157"/>
      <c r="J17" s="330">
        <v>637014</v>
      </c>
      <c r="K17" s="329">
        <v>-41.148680000000006</v>
      </c>
      <c r="L17" s="157"/>
      <c r="M17" s="360">
        <f t="shared" si="0"/>
        <v>637014</v>
      </c>
      <c r="N17" s="237">
        <f t="shared" si="1"/>
        <v>-41.148680000000006</v>
      </c>
      <c r="O17" s="361"/>
      <c r="P17" s="361"/>
      <c r="Q17" s="361" t="s">
        <v>698</v>
      </c>
      <c r="R17" s="362">
        <v>35</v>
      </c>
      <c r="S17" s="236"/>
      <c r="T17" s="364">
        <f t="shared" si="2"/>
        <v>637014</v>
      </c>
      <c r="U17" s="365">
        <f t="shared" si="3"/>
        <v>-41.148680000000006</v>
      </c>
      <c r="V17" s="365">
        <f>IF($Q17="ekrk",IF($R17="data",IFERROR(INDEX(data!$A:$ALL,MATCH($M17,data!$A:$A,0),MATCH(V$2,data!$1:$1,0)),"#data"),IFERROR(U17*INDEX(indexy_SDcast!$A:$ALI,MATCH($R17,indexy_SDcast!$K:$K,0),MATCH(V$2,indexy_SDcast!$2:$2,0)),"#ekrk")),"#popis")</f>
        <v>-52.679862790679316</v>
      </c>
      <c r="W17" s="365">
        <f>IF($Q17="ekrk",IF($R17="data",IFERROR(INDEX(data!$A:$ALL,MATCH($M17,data!$A:$A,0),MATCH(W$2,data!$1:$1,0)),"#data"),IFERROR(V17*INDEX(indexy_SDcast!$A:$ALI,MATCH($R17,indexy_SDcast!$K:$K,0),MATCH(W$2,indexy_SDcast!$2:$2,0)),"#ekrk")),"#popis")</f>
        <v>-53.27205323139848</v>
      </c>
      <c r="X17" s="365">
        <f>IF($Q17="ekrk",IF($R17="data",IFERROR(INDEX(data!$A:$ALL,MATCH($M17,data!$A:$A,0),MATCH(X$2,data!$1:$1,0)),"#data"),IFERROR(W17*INDEX(indexy_SDcast!$A:$ALI,MATCH($R17,indexy_SDcast!$K:$K,0),MATCH(X$2,indexy_SDcast!$2:$2,0)),"#ekrk")),"#popis")</f>
        <v>-34.218024308343026</v>
      </c>
      <c r="Y17" s="362">
        <f>IF($Q17="ekrk",IF($R17="data",IFERROR(INDEX(data!$A:$ALL,MATCH($M17,data!$A:$A,0),MATCH(Y$2,data!$1:$1,0)),"#data"),IFERROR(X17*INDEX(indexy_SDcast!$A:$ALI,MATCH($R17,indexy_SDcast!$K:$K,0),MATCH(Y$2,indexy_SDcast!$2:$2,0)),"#ekrk")),"#popis")</f>
        <v>-46.291784536178106</v>
      </c>
    </row>
    <row r="18" spans="1:44" x14ac:dyDescent="0.25">
      <c r="A18" s="330">
        <v>637026</v>
      </c>
      <c r="B18" s="329">
        <v>-24.617660000000001</v>
      </c>
      <c r="C18" s="157"/>
      <c r="D18" s="330">
        <v>637026</v>
      </c>
      <c r="E18" s="329">
        <v>-24.617660000000001</v>
      </c>
      <c r="F18" s="157"/>
      <c r="G18" s="330">
        <v>637026</v>
      </c>
      <c r="H18" s="329">
        <v>-24.617660000000001</v>
      </c>
      <c r="I18" s="157"/>
      <c r="J18" s="330">
        <v>637026</v>
      </c>
      <c r="K18" s="329">
        <v>-24.617660000000001</v>
      </c>
      <c r="L18" s="157"/>
      <c r="M18" s="360">
        <f t="shared" si="0"/>
        <v>637026</v>
      </c>
      <c r="N18" s="237">
        <f t="shared" si="1"/>
        <v>-24.617660000000001</v>
      </c>
      <c r="O18" s="361"/>
      <c r="P18" s="361"/>
      <c r="Q18" s="361" t="s">
        <v>698</v>
      </c>
      <c r="R18" s="362">
        <v>35</v>
      </c>
      <c r="S18" s="236"/>
      <c r="T18" s="364">
        <f t="shared" si="2"/>
        <v>637026</v>
      </c>
      <c r="U18" s="365">
        <f t="shared" si="3"/>
        <v>-24.617660000000001</v>
      </c>
      <c r="V18" s="365">
        <f>IF($Q18="ekrk",IF($R18="data",IFERROR(INDEX(data!$A:$ALL,MATCH($M18,data!$A:$A,0),MATCH(V$2,data!$1:$1,0)),"#data"),IFERROR(U18*INDEX(indexy_SDcast!$A:$ALI,MATCH($R18,indexy_SDcast!$K:$K,0),MATCH(V$2,indexy_SDcast!$2:$2,0)),"#ekrk")),"#popis")</f>
        <v>-31.516319625018212</v>
      </c>
      <c r="W18" s="365">
        <f>IF($Q18="ekrk",IF($R18="data",IFERROR(INDEX(data!$A:$ALL,MATCH($M18,data!$A:$A,0),MATCH(W$2,data!$1:$1,0)),"#data"),IFERROR(V18*INDEX(indexy_SDcast!$A:$ALI,MATCH($R18,indexy_SDcast!$K:$K,0),MATCH(W$2,indexy_SDcast!$2:$2,0)),"#ekrk")),"#popis")</f>
        <v>-31.870604207776992</v>
      </c>
      <c r="X18" s="365">
        <f>IF($Q18="ekrk",IF($R18="data",IFERROR(INDEX(data!$A:$ALL,MATCH($M18,data!$A:$A,0),MATCH(X$2,data!$1:$1,0)),"#data"),IFERROR(W18*INDEX(indexy_SDcast!$A:$ALI,MATCH($R18,indexy_SDcast!$K:$K,0),MATCH(X$2,indexy_SDcast!$2:$2,0)),"#ekrk")),"#popis")</f>
        <v>-20.471317385989625</v>
      </c>
      <c r="Y18" s="362">
        <f>IF($Q18="ekrk",IF($R18="data",IFERROR(INDEX(data!$A:$ALL,MATCH($M18,data!$A:$A,0),MATCH(Y$2,data!$1:$1,0)),"#data"),IFERROR(X18*INDEX(indexy_SDcast!$A:$ALI,MATCH($R18,indexy_SDcast!$K:$K,0),MATCH(Y$2,indexy_SDcast!$2:$2,0)),"#ekrk")),"#popis")</f>
        <v>-27.694580057121883</v>
      </c>
    </row>
    <row r="19" spans="1:44" x14ac:dyDescent="0.25">
      <c r="A19" s="330">
        <v>637027</v>
      </c>
      <c r="B19" s="329">
        <v>-1016.3322700000003</v>
      </c>
      <c r="C19" s="157"/>
      <c r="D19" s="330">
        <v>637027</v>
      </c>
      <c r="E19" s="329">
        <v>-1016.3322700000003</v>
      </c>
      <c r="F19" s="157"/>
      <c r="G19" s="330">
        <v>637027</v>
      </c>
      <c r="H19" s="329">
        <v>-1016.3322700000003</v>
      </c>
      <c r="I19" s="157"/>
      <c r="J19" s="330">
        <v>637027</v>
      </c>
      <c r="K19" s="329">
        <v>-1016.3322700000003</v>
      </c>
      <c r="L19" s="157"/>
      <c r="M19" s="360">
        <f t="shared" si="0"/>
        <v>637027</v>
      </c>
      <c r="N19" s="237">
        <f t="shared" si="1"/>
        <v>-1016.3322700000003</v>
      </c>
      <c r="O19" s="361"/>
      <c r="P19" s="361"/>
      <c r="Q19" s="361" t="s">
        <v>698</v>
      </c>
      <c r="R19" s="362">
        <v>35</v>
      </c>
      <c r="S19" s="236"/>
      <c r="T19" s="364">
        <f t="shared" si="2"/>
        <v>637027</v>
      </c>
      <c r="U19" s="365">
        <f t="shared" si="3"/>
        <v>-1016.3322700000003</v>
      </c>
      <c r="V19" s="365">
        <f>IF($Q19="ekrk",IF($R19="data",IFERROR(INDEX(data!$A:$ALL,MATCH($M19,data!$A:$A,0),MATCH(V$2,data!$1:$1,0)),"#data"),IFERROR(U19*INDEX(indexy_SDcast!$A:$ALI,MATCH($R19,indexy_SDcast!$K:$K,0),MATCH(V$2,indexy_SDcast!$2:$2,0)),"#ekrk")),"#popis")</f>
        <v>-1301.141240334797</v>
      </c>
      <c r="W19" s="365">
        <f>IF($Q19="ekrk",IF($R19="data",IFERROR(INDEX(data!$A:$ALL,MATCH($M19,data!$A:$A,0),MATCH(W$2,data!$1:$1,0)),"#data"),IFERROR(V19*INDEX(indexy_SDcast!$A:$ALI,MATCH($R19,indexy_SDcast!$K:$K,0),MATCH(W$2,indexy_SDcast!$2:$2,0)),"#ekrk")),"#popis")</f>
        <v>-1315.7677667479993</v>
      </c>
      <c r="X19" s="365">
        <f>IF($Q19="ekrk",IF($R19="data",IFERROR(INDEX(data!$A:$ALL,MATCH($M19,data!$A:$A,0),MATCH(X$2,data!$1:$1,0)),"#data"),IFERROR(W19*INDEX(indexy_SDcast!$A:$ALI,MATCH($R19,indexy_SDcast!$K:$K,0),MATCH(X$2,indexy_SDcast!$2:$2,0)),"#ekrk")),"#popis")</f>
        <v>-845.15183282218175</v>
      </c>
      <c r="Y19" s="362">
        <f>IF($Q19="ekrk",IF($R19="data",IFERROR(INDEX(data!$A:$ALL,MATCH($M19,data!$A:$A,0),MATCH(Y$2,data!$1:$1,0)),"#data"),IFERROR(X19*INDEX(indexy_SDcast!$A:$ALI,MATCH($R19,indexy_SDcast!$K:$K,0),MATCH(Y$2,indexy_SDcast!$2:$2,0)),"#ekrk")),"#popis")</f>
        <v>-1143.3619367621222</v>
      </c>
    </row>
    <row r="20" spans="1:44" s="18" customFormat="1" x14ac:dyDescent="0.25">
      <c r="A20" s="333" t="s">
        <v>700</v>
      </c>
      <c r="B20" s="334">
        <v>-1538.5893800000008</v>
      </c>
      <c r="C20" s="164"/>
      <c r="D20" s="333" t="s">
        <v>700</v>
      </c>
      <c r="E20" s="334">
        <v>-1538.5893800000008</v>
      </c>
      <c r="F20" s="164"/>
      <c r="G20" s="333" t="s">
        <v>700</v>
      </c>
      <c r="H20" s="334">
        <v>-1538.5893800000008</v>
      </c>
      <c r="I20" s="164"/>
      <c r="J20" s="333" t="s">
        <v>700</v>
      </c>
      <c r="K20" s="334">
        <v>-1538.5893800000008</v>
      </c>
      <c r="L20" s="164"/>
      <c r="M20" s="358" t="str">
        <f t="shared" si="0"/>
        <v>D121PAY</v>
      </c>
      <c r="N20" s="239">
        <f t="shared" si="1"/>
        <v>-1538.5893800000008</v>
      </c>
      <c r="O20" s="243"/>
      <c r="P20" s="243">
        <f>MATCH(Q20,Q21:Q$1550,0)</f>
        <v>11</v>
      </c>
      <c r="Q20" s="243" t="s">
        <v>697</v>
      </c>
      <c r="R20" s="359" t="str">
        <f>IF(Q20="ekrk",INDEX(indexy_SDcast!$A:$C,MATCH($M20,indexy_SDcast!$A:$A,0),2),"")</f>
        <v/>
      </c>
      <c r="S20" s="240"/>
      <c r="T20" s="363" t="str">
        <f t="shared" si="2"/>
        <v>D121PAY</v>
      </c>
      <c r="U20" s="244">
        <f>SUM(U21:U30)</f>
        <v>-1538.5893800000008</v>
      </c>
      <c r="V20" s="244">
        <f>SUM(V21:V30)</f>
        <v>-1969.7515796277394</v>
      </c>
      <c r="W20" s="244">
        <f>SUM(W21:W30)</f>
        <v>-1991.8941592445829</v>
      </c>
      <c r="X20" s="244">
        <f>SUM(X21:X30)</f>
        <v>-1279.4453869576964</v>
      </c>
      <c r="Y20" s="359">
        <f>SUM(Y21:Y30)</f>
        <v>-1730.8950874879063</v>
      </c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</row>
    <row r="21" spans="1:44" x14ac:dyDescent="0.25">
      <c r="A21" s="330">
        <v>621000</v>
      </c>
      <c r="B21" s="329">
        <v>-302.10011999999995</v>
      </c>
      <c r="C21" s="157"/>
      <c r="D21" s="330">
        <v>621000</v>
      </c>
      <c r="E21" s="329">
        <v>-302.10011999999995</v>
      </c>
      <c r="F21" s="157"/>
      <c r="G21" s="330">
        <v>621000</v>
      </c>
      <c r="H21" s="329">
        <v>-302.10011999999995</v>
      </c>
      <c r="I21" s="157"/>
      <c r="J21" s="330">
        <v>621000</v>
      </c>
      <c r="K21" s="329">
        <v>-302.10011999999995</v>
      </c>
      <c r="L21" s="157"/>
      <c r="M21" s="360">
        <f t="shared" si="0"/>
        <v>621000</v>
      </c>
      <c r="N21" s="237">
        <f t="shared" si="1"/>
        <v>-302.10011999999995</v>
      </c>
      <c r="O21" s="361"/>
      <c r="P21" s="361"/>
      <c r="Q21" s="361" t="s">
        <v>698</v>
      </c>
      <c r="R21" s="362">
        <v>35</v>
      </c>
      <c r="S21" s="236"/>
      <c r="T21" s="364">
        <f t="shared" si="2"/>
        <v>621000</v>
      </c>
      <c r="U21" s="365">
        <f t="shared" ref="U21:U30" si="4">N21</f>
        <v>-302.10011999999995</v>
      </c>
      <c r="V21" s="365">
        <f>IF($Q21="ekrk",IF($R21="data",IFERROR(INDEX(data!$A:$ALL,MATCH($M21,data!$A:$A,0),MATCH(V$2,data!$1:$1,0)),"#data"),IFERROR(U21*INDEX(indexy_SDcast!$A:$ALI,MATCH($R21,indexy_SDcast!$K:$K,0),MATCH(V$2,indexy_SDcast!$2:$2,0)),"#ekrk")),"#popis")</f>
        <v>-386.75828412108848</v>
      </c>
      <c r="W21" s="365">
        <f>IF($Q21="ekrk",IF($R21="data",IFERROR(INDEX(data!$A:$ALL,MATCH($M21,data!$A:$A,0),MATCH(W$2,data!$1:$1,0)),"#data"),IFERROR(V21*INDEX(indexy_SDcast!$A:$ALI,MATCH($R21,indexy_SDcast!$K:$K,0),MATCH(W$2,indexy_SDcast!$2:$2,0)),"#ekrk")),"#popis")</f>
        <v>-391.1059522164955</v>
      </c>
      <c r="X21" s="365">
        <f>IF($Q21="ekrk",IF($R21="data",IFERROR(INDEX(data!$A:$ALL,MATCH($M21,data!$A:$A,0),MATCH(X$2,data!$1:$1,0)),"#data"),IFERROR(W21*INDEX(indexy_SDcast!$A:$ALI,MATCH($R21,indexy_SDcast!$K:$K,0),MATCH(X$2,indexy_SDcast!$2:$2,0)),"#ekrk")),"#popis")</f>
        <v>-251.2175177846128</v>
      </c>
      <c r="Y21" s="362">
        <f>IF($Q21="ekrk",IF($R21="data",IFERROR(INDEX(data!$A:$ALL,MATCH($M21,data!$A:$A,0),MATCH(Y$2,data!$1:$1,0)),"#data"),IFERROR(X21*INDEX(indexy_SDcast!$A:$ALI,MATCH($R21,indexy_SDcast!$K:$K,0),MATCH(Y$2,indexy_SDcast!$2:$2,0)),"#ekrk")),"#popis")</f>
        <v>-339.85910759211583</v>
      </c>
    </row>
    <row r="22" spans="1:44" x14ac:dyDescent="0.25">
      <c r="A22" s="330">
        <v>623000</v>
      </c>
      <c r="B22" s="329">
        <v>-137.78711999999996</v>
      </c>
      <c r="C22" s="157"/>
      <c r="D22" s="330">
        <v>623000</v>
      </c>
      <c r="E22" s="329">
        <v>-137.78711999999996</v>
      </c>
      <c r="F22" s="157"/>
      <c r="G22" s="330">
        <v>623000</v>
      </c>
      <c r="H22" s="329">
        <v>-137.78711999999996</v>
      </c>
      <c r="I22" s="157"/>
      <c r="J22" s="330">
        <v>623000</v>
      </c>
      <c r="K22" s="329">
        <v>-137.78711999999996</v>
      </c>
      <c r="L22" s="157"/>
      <c r="M22" s="360">
        <f t="shared" si="0"/>
        <v>623000</v>
      </c>
      <c r="N22" s="237">
        <f t="shared" si="1"/>
        <v>-137.78711999999996</v>
      </c>
      <c r="O22" s="361"/>
      <c r="P22" s="361"/>
      <c r="Q22" s="361" t="s">
        <v>698</v>
      </c>
      <c r="R22" s="362">
        <v>35</v>
      </c>
      <c r="S22" s="236"/>
      <c r="T22" s="364">
        <f t="shared" si="2"/>
        <v>623000</v>
      </c>
      <c r="U22" s="365">
        <f t="shared" si="4"/>
        <v>-137.78711999999996</v>
      </c>
      <c r="V22" s="365">
        <f>IF($Q22="ekrk",IF($R22="data",IFERROR(INDEX(data!$A:$ALL,MATCH($M22,data!$A:$A,0),MATCH(V$2,data!$1:$1,0)),"#data"),IFERROR(U22*INDEX(indexy_SDcast!$A:$ALI,MATCH($R22,indexy_SDcast!$K:$K,0),MATCH(V$2,indexy_SDcast!$2:$2,0)),"#ekrk")),"#popis")</f>
        <v>-176.39949995778389</v>
      </c>
      <c r="W22" s="365">
        <f>IF($Q22="ekrk",IF($R22="data",IFERROR(INDEX(data!$A:$ALL,MATCH($M22,data!$A:$A,0),MATCH(W$2,data!$1:$1,0)),"#data"),IFERROR(V22*INDEX(indexy_SDcast!$A:$ALI,MATCH($R22,indexy_SDcast!$K:$K,0),MATCH(W$2,indexy_SDcast!$2:$2,0)),"#ekrk")),"#popis")</f>
        <v>-178.3824606583027</v>
      </c>
      <c r="X22" s="365">
        <f>IF($Q22="ekrk",IF($R22="data",IFERROR(INDEX(data!$A:$ALL,MATCH($M22,data!$A:$A,0),MATCH(X$2,data!$1:$1,0)),"#data"),IFERROR(W22*INDEX(indexy_SDcast!$A:$ALI,MATCH($R22,indexy_SDcast!$K:$K,0),MATCH(X$2,indexy_SDcast!$2:$2,0)),"#ekrk")),"#popis")</f>
        <v>-114.57969056447438</v>
      </c>
      <c r="Y22" s="362">
        <f>IF($Q22="ekrk",IF($R22="data",IFERROR(INDEX(data!$A:$ALL,MATCH($M22,data!$A:$A,0),MATCH(Y$2,data!$1:$1,0)),"#data"),IFERROR(X22*INDEX(indexy_SDcast!$A:$ALI,MATCH($R22,indexy_SDcast!$K:$K,0),MATCH(Y$2,indexy_SDcast!$2:$2,0)),"#ekrk")),"#popis")</f>
        <v>-155.00890115795974</v>
      </c>
    </row>
    <row r="23" spans="1:44" x14ac:dyDescent="0.25">
      <c r="A23" s="330">
        <v>625001</v>
      </c>
      <c r="B23" s="329">
        <v>-59.01977000000003</v>
      </c>
      <c r="C23" s="157"/>
      <c r="D23" s="330">
        <v>625001</v>
      </c>
      <c r="E23" s="329">
        <v>-59.01977000000003</v>
      </c>
      <c r="F23" s="157"/>
      <c r="G23" s="330">
        <v>625001</v>
      </c>
      <c r="H23" s="329">
        <v>-59.01977000000003</v>
      </c>
      <c r="I23" s="157"/>
      <c r="J23" s="330">
        <v>625001</v>
      </c>
      <c r="K23" s="329">
        <v>-59.01977000000003</v>
      </c>
      <c r="L23" s="157"/>
      <c r="M23" s="360">
        <f t="shared" si="0"/>
        <v>625001</v>
      </c>
      <c r="N23" s="237">
        <f t="shared" si="1"/>
        <v>-59.01977000000003</v>
      </c>
      <c r="O23" s="361"/>
      <c r="P23" s="361"/>
      <c r="Q23" s="361" t="s">
        <v>698</v>
      </c>
      <c r="R23" s="362">
        <v>35</v>
      </c>
      <c r="S23" s="236"/>
      <c r="T23" s="364">
        <f t="shared" si="2"/>
        <v>625001</v>
      </c>
      <c r="U23" s="365">
        <f t="shared" si="4"/>
        <v>-59.01977000000003</v>
      </c>
      <c r="V23" s="365">
        <f>IF($Q23="ekrk",IF($R23="data",IFERROR(INDEX(data!$A:$ALL,MATCH($M23,data!$A:$A,0),MATCH(V$2,data!$1:$1,0)),"#data"),IFERROR(U23*INDEX(indexy_SDcast!$A:$ALI,MATCH($R23,indexy_SDcast!$K:$K,0),MATCH(V$2,indexy_SDcast!$2:$2,0)),"#ekrk")),"#popis")</f>
        <v>-75.559006644622684</v>
      </c>
      <c r="W23" s="365">
        <f>IF($Q23="ekrk",IF($R23="data",IFERROR(INDEX(data!$A:$ALL,MATCH($M23,data!$A:$A,0),MATCH(W$2,data!$1:$1,0)),"#data"),IFERROR(V23*INDEX(indexy_SDcast!$A:$ALI,MATCH($R23,indexy_SDcast!$K:$K,0),MATCH(W$2,indexy_SDcast!$2:$2,0)),"#ekrk")),"#popis")</f>
        <v>-76.408388535061064</v>
      </c>
      <c r="X23" s="365">
        <f>IF($Q23="ekrk",IF($R23="data",IFERROR(INDEX(data!$A:$ALL,MATCH($M23,data!$A:$A,0),MATCH(X$2,data!$1:$1,0)),"#data"),IFERROR(W23*INDEX(indexy_SDcast!$A:$ALI,MATCH($R23,indexy_SDcast!$K:$K,0),MATCH(X$2,indexy_SDcast!$2:$2,0)),"#ekrk")),"#popis")</f>
        <v>-49.079093777317162</v>
      </c>
      <c r="Y23" s="362">
        <f>IF($Q23="ekrk",IF($R23="data",IFERROR(INDEX(data!$A:$ALL,MATCH($M23,data!$A:$A,0),MATCH(Y$2,data!$1:$1,0)),"#data"),IFERROR(X23*INDEX(indexy_SDcast!$A:$ALI,MATCH($R23,indexy_SDcast!$K:$K,0),MATCH(Y$2,indexy_SDcast!$2:$2,0)),"#ekrk")),"#popis")</f>
        <v>-66.396552118191636</v>
      </c>
    </row>
    <row r="24" spans="1:44" x14ac:dyDescent="0.25">
      <c r="A24" s="330">
        <v>625002</v>
      </c>
      <c r="B24" s="329">
        <v>-624.47965000000033</v>
      </c>
      <c r="C24" s="157"/>
      <c r="D24" s="330">
        <v>625002</v>
      </c>
      <c r="E24" s="329">
        <v>-624.47965000000033</v>
      </c>
      <c r="F24" s="157"/>
      <c r="G24" s="330">
        <v>625002</v>
      </c>
      <c r="H24" s="329">
        <v>-624.47965000000033</v>
      </c>
      <c r="I24" s="157"/>
      <c r="J24" s="330">
        <v>625002</v>
      </c>
      <c r="K24" s="329">
        <v>-624.47965000000033</v>
      </c>
      <c r="L24" s="157"/>
      <c r="M24" s="360">
        <f t="shared" si="0"/>
        <v>625002</v>
      </c>
      <c r="N24" s="237">
        <f t="shared" si="1"/>
        <v>-624.47965000000033</v>
      </c>
      <c r="O24" s="361"/>
      <c r="P24" s="361"/>
      <c r="Q24" s="361" t="s">
        <v>698</v>
      </c>
      <c r="R24" s="362">
        <v>35</v>
      </c>
      <c r="S24" s="236"/>
      <c r="T24" s="364">
        <f t="shared" si="2"/>
        <v>625002</v>
      </c>
      <c r="U24" s="365">
        <f t="shared" si="4"/>
        <v>-624.47965000000033</v>
      </c>
      <c r="V24" s="365">
        <f>IF($Q24="ekrk",IF($R24="data",IFERROR(INDEX(data!$A:$ALL,MATCH($M24,data!$A:$A,0),MATCH(V$2,data!$1:$1,0)),"#data"),IFERROR(U24*INDEX(indexy_SDcast!$A:$ALI,MATCH($R24,indexy_SDcast!$K:$K,0),MATCH(V$2,indexy_SDcast!$2:$2,0)),"#ekrk")),"#popis")</f>
        <v>-799.4789207714914</v>
      </c>
      <c r="W24" s="365">
        <f>IF($Q24="ekrk",IF($R24="data",IFERROR(INDEX(data!$A:$ALL,MATCH($M24,data!$A:$A,0),MATCH(W$2,data!$1:$1,0)),"#data"),IFERROR(V24*INDEX(indexy_SDcast!$A:$ALI,MATCH($R24,indexy_SDcast!$K:$K,0),MATCH(W$2,indexy_SDcast!$2:$2,0)),"#ekrk")),"#popis")</f>
        <v>-808.46610770321433</v>
      </c>
      <c r="X24" s="365">
        <f>IF($Q24="ekrk",IF($R24="data",IFERROR(INDEX(data!$A:$ALL,MATCH($M24,data!$A:$A,0),MATCH(X$2,data!$1:$1,0)),"#data"),IFERROR(W24*INDEX(indexy_SDcast!$A:$ALI,MATCH($R24,indexy_SDcast!$K:$K,0),MATCH(X$2,indexy_SDcast!$2:$2,0)),"#ekrk")),"#popis")</f>
        <v>-519.29879266517298</v>
      </c>
      <c r="Y24" s="362">
        <f>IF($Q24="ekrk",IF($R24="data",IFERROR(INDEX(data!$A:$ALL,MATCH($M24,data!$A:$A,0),MATCH(Y$2,data!$1:$1,0)),"#data"),IFERROR(X24*INDEX(indexy_SDcast!$A:$ALI,MATCH($R24,indexy_SDcast!$K:$K,0),MATCH(Y$2,indexy_SDcast!$2:$2,0)),"#ekrk")),"#popis")</f>
        <v>-702.53231464600867</v>
      </c>
    </row>
    <row r="25" spans="1:44" x14ac:dyDescent="0.25">
      <c r="A25" s="330">
        <v>625003</v>
      </c>
      <c r="B25" s="329">
        <v>-36.376619999999974</v>
      </c>
      <c r="C25" s="157"/>
      <c r="D25" s="330">
        <v>625003</v>
      </c>
      <c r="E25" s="329">
        <v>-36.376619999999974</v>
      </c>
      <c r="F25" s="157"/>
      <c r="G25" s="330">
        <v>625003</v>
      </c>
      <c r="H25" s="329">
        <v>-36.376619999999974</v>
      </c>
      <c r="I25" s="157"/>
      <c r="J25" s="330">
        <v>625003</v>
      </c>
      <c r="K25" s="329">
        <v>-36.376619999999974</v>
      </c>
      <c r="L25" s="157"/>
      <c r="M25" s="360">
        <f t="shared" si="0"/>
        <v>625003</v>
      </c>
      <c r="N25" s="237">
        <f t="shared" si="1"/>
        <v>-36.376619999999974</v>
      </c>
      <c r="O25" s="361"/>
      <c r="P25" s="361"/>
      <c r="Q25" s="361" t="s">
        <v>698</v>
      </c>
      <c r="R25" s="362">
        <v>35</v>
      </c>
      <c r="S25" s="236"/>
      <c r="T25" s="364">
        <f t="shared" si="2"/>
        <v>625003</v>
      </c>
      <c r="U25" s="365">
        <f t="shared" si="4"/>
        <v>-36.376619999999974</v>
      </c>
      <c r="V25" s="365">
        <f>IF($Q25="ekrk",IF($R25="data",IFERROR(INDEX(data!$A:$ALL,MATCH($M25,data!$A:$A,0),MATCH(V$2,data!$1:$1,0)),"#data"),IFERROR(U25*INDEX(indexy_SDcast!$A:$ALI,MATCH($R25,indexy_SDcast!$K:$K,0),MATCH(V$2,indexy_SDcast!$2:$2,0)),"#ekrk")),"#popis")</f>
        <v>-46.570518188886723</v>
      </c>
      <c r="W25" s="365">
        <f>IF($Q25="ekrk",IF($R25="data",IFERROR(INDEX(data!$A:$ALL,MATCH($M25,data!$A:$A,0),MATCH(W$2,data!$1:$1,0)),"#data"),IFERROR(V25*INDEX(indexy_SDcast!$A:$ALI,MATCH($R25,indexy_SDcast!$K:$K,0),MATCH(W$2,indexy_SDcast!$2:$2,0)),"#ekrk")),"#popis")</f>
        <v>-47.094031619443271</v>
      </c>
      <c r="X25" s="365">
        <f>IF($Q25="ekrk",IF($R25="data",IFERROR(INDEX(data!$A:$ALL,MATCH($M25,data!$A:$A,0),MATCH(X$2,data!$1:$1,0)),"#data"),IFERROR(W25*INDEX(indexy_SDcast!$A:$ALI,MATCH($R25,indexy_SDcast!$K:$K,0),MATCH(X$2,indexy_SDcast!$2:$2,0)),"#ekrk")),"#popis")</f>
        <v>-30.249720462852174</v>
      </c>
      <c r="Y25" s="362">
        <f>IF($Q25="ekrk",IF($R25="data",IFERROR(INDEX(data!$A:$ALL,MATCH($M25,data!$A:$A,0),MATCH(Y$2,data!$1:$1,0)),"#data"),IFERROR(X25*INDEX(indexy_SDcast!$A:$ALI,MATCH($R25,indexy_SDcast!$K:$K,0),MATCH(Y$2,indexy_SDcast!$2:$2,0)),"#ekrk")),"#popis")</f>
        <v>-40.923272756123062</v>
      </c>
    </row>
    <row r="26" spans="1:44" x14ac:dyDescent="0.25">
      <c r="A26" s="330">
        <v>625004</v>
      </c>
      <c r="B26" s="329">
        <v>-125.88487999999998</v>
      </c>
      <c r="C26" s="157"/>
      <c r="D26" s="330">
        <v>625004</v>
      </c>
      <c r="E26" s="329">
        <v>-125.88487999999998</v>
      </c>
      <c r="F26" s="157"/>
      <c r="G26" s="330">
        <v>625004</v>
      </c>
      <c r="H26" s="329">
        <v>-125.88487999999998</v>
      </c>
      <c r="I26" s="157"/>
      <c r="J26" s="330">
        <v>625004</v>
      </c>
      <c r="K26" s="329">
        <v>-125.88487999999998</v>
      </c>
      <c r="L26" s="157"/>
      <c r="M26" s="360">
        <f t="shared" si="0"/>
        <v>625004</v>
      </c>
      <c r="N26" s="237">
        <f t="shared" si="1"/>
        <v>-125.88487999999998</v>
      </c>
      <c r="O26" s="361"/>
      <c r="P26" s="361"/>
      <c r="Q26" s="361" t="s">
        <v>698</v>
      </c>
      <c r="R26" s="362">
        <v>35</v>
      </c>
      <c r="S26" s="236"/>
      <c r="T26" s="364">
        <f t="shared" si="2"/>
        <v>625004</v>
      </c>
      <c r="U26" s="365">
        <f t="shared" si="4"/>
        <v>-125.88487999999998</v>
      </c>
      <c r="V26" s="365">
        <f>IF($Q26="ekrk",IF($R26="data",IFERROR(INDEX(data!$A:$ALL,MATCH($M26,data!$A:$A,0),MATCH(V$2,data!$1:$1,0)),"#data"),IFERROR(U26*INDEX(indexy_SDcast!$A:$ALI,MATCH($R26,indexy_SDcast!$K:$K,0),MATCH(V$2,indexy_SDcast!$2:$2,0)),"#ekrk")),"#popis")</f>
        <v>-161.16186973242225</v>
      </c>
      <c r="W26" s="365">
        <f>IF($Q26="ekrk",IF($R26="data",IFERROR(INDEX(data!$A:$ALL,MATCH($M26,data!$A:$A,0),MATCH(W$2,data!$1:$1,0)),"#data"),IFERROR(V26*INDEX(indexy_SDcast!$A:$ALI,MATCH($R26,indexy_SDcast!$K:$K,0),MATCH(W$2,indexy_SDcast!$2:$2,0)),"#ekrk")),"#popis")</f>
        <v>-162.97353957376538</v>
      </c>
      <c r="X26" s="365">
        <f>IF($Q26="ekrk",IF($R26="data",IFERROR(INDEX(data!$A:$ALL,MATCH($M26,data!$A:$A,0),MATCH(X$2,data!$1:$1,0)),"#data"),IFERROR(W26*INDEX(indexy_SDcast!$A:$ALI,MATCH($R26,indexy_SDcast!$K:$K,0),MATCH(X$2,indexy_SDcast!$2:$2,0)),"#ekrk")),"#popis")</f>
        <v>-104.68214008062576</v>
      </c>
      <c r="Y26" s="362">
        <f>IF($Q26="ekrk",IF($R26="data",IFERROR(INDEX(data!$A:$ALL,MATCH($M26,data!$A:$A,0),MATCH(Y$2,data!$1:$1,0)),"#data"),IFERROR(X26*INDEX(indexy_SDcast!$A:$ALI,MATCH($R26,indexy_SDcast!$K:$K,0),MATCH(Y$2,indexy_SDcast!$2:$2,0)),"#ekrk")),"#popis")</f>
        <v>-141.61902013193705</v>
      </c>
    </row>
    <row r="27" spans="1:44" x14ac:dyDescent="0.25">
      <c r="A27" s="330">
        <v>625005</v>
      </c>
      <c r="B27" s="329">
        <v>-40.026359999999997</v>
      </c>
      <c r="C27" s="157"/>
      <c r="D27" s="330">
        <v>625005</v>
      </c>
      <c r="E27" s="329">
        <v>-40.026359999999997</v>
      </c>
      <c r="F27" s="157"/>
      <c r="G27" s="330">
        <v>625005</v>
      </c>
      <c r="H27" s="329">
        <v>-40.026359999999997</v>
      </c>
      <c r="I27" s="157"/>
      <c r="J27" s="330">
        <v>625005</v>
      </c>
      <c r="K27" s="329">
        <v>-40.026359999999997</v>
      </c>
      <c r="L27" s="157"/>
      <c r="M27" s="360">
        <f t="shared" si="0"/>
        <v>625005</v>
      </c>
      <c r="N27" s="237">
        <f t="shared" si="1"/>
        <v>-40.026359999999997</v>
      </c>
      <c r="O27" s="361"/>
      <c r="P27" s="361"/>
      <c r="Q27" s="361" t="s">
        <v>698</v>
      </c>
      <c r="R27" s="362">
        <v>35</v>
      </c>
      <c r="S27" s="236"/>
      <c r="T27" s="364">
        <f t="shared" si="2"/>
        <v>625005</v>
      </c>
      <c r="U27" s="365">
        <f t="shared" si="4"/>
        <v>-40.026359999999997</v>
      </c>
      <c r="V27" s="365">
        <f>IF($Q27="ekrk",IF($R27="data",IFERROR(INDEX(data!$A:$ALL,MATCH($M27,data!$A:$A,0),MATCH(V$2,data!$1:$1,0)),"#data"),IFERROR(U27*INDEX(indexy_SDcast!$A:$ALI,MATCH($R27,indexy_SDcast!$K:$K,0),MATCH(V$2,indexy_SDcast!$2:$2,0)),"#ekrk")),"#popis")</f>
        <v>-51.243032651602299</v>
      </c>
      <c r="W27" s="365">
        <f>IF($Q27="ekrk",IF($R27="data",IFERROR(INDEX(data!$A:$ALL,MATCH($M27,data!$A:$A,0),MATCH(W$2,data!$1:$1,0)),"#data"),IFERROR(V27*INDEX(indexy_SDcast!$A:$ALI,MATCH($R27,indexy_SDcast!$K:$K,0),MATCH(W$2,indexy_SDcast!$2:$2,0)),"#ekrk")),"#popis")</f>
        <v>-51.819071245520355</v>
      </c>
      <c r="X27" s="365">
        <f>IF($Q27="ekrk",IF($R27="data",IFERROR(INDEX(data!$A:$ALL,MATCH($M27,data!$A:$A,0),MATCH(X$2,data!$1:$1,0)),"#data"),IFERROR(W27*INDEX(indexy_SDcast!$A:$ALI,MATCH($R27,indexy_SDcast!$K:$K,0),MATCH(X$2,indexy_SDcast!$2:$2,0)),"#ekrk")),"#popis")</f>
        <v>-33.284736216434858</v>
      </c>
      <c r="Y27" s="362">
        <f>IF($Q27="ekrk",IF($R27="data",IFERROR(INDEX(data!$A:$ALL,MATCH($M27,data!$A:$A,0),MATCH(Y$2,data!$1:$1,0)),"#data"),IFERROR(X27*INDEX(indexy_SDcast!$A:$ALI,MATCH($R27,indexy_SDcast!$K:$K,0),MATCH(Y$2,indexy_SDcast!$2:$2,0)),"#ekrk")),"#popis")</f>
        <v>-45.029187640709196</v>
      </c>
    </row>
    <row r="28" spans="1:44" x14ac:dyDescent="0.25">
      <c r="A28" s="330">
        <v>625006</v>
      </c>
      <c r="B28" s="329">
        <v>-1.23587</v>
      </c>
      <c r="C28" s="157"/>
      <c r="D28" s="330">
        <v>625006</v>
      </c>
      <c r="E28" s="329">
        <v>-1.23587</v>
      </c>
      <c r="F28" s="157"/>
      <c r="G28" s="330">
        <v>625006</v>
      </c>
      <c r="H28" s="329">
        <v>-1.23587</v>
      </c>
      <c r="I28" s="157"/>
      <c r="J28" s="330">
        <v>625006</v>
      </c>
      <c r="K28" s="329">
        <v>-1.23587</v>
      </c>
      <c r="L28" s="157"/>
      <c r="M28" s="360">
        <f t="shared" si="0"/>
        <v>625006</v>
      </c>
      <c r="N28" s="237">
        <f t="shared" si="1"/>
        <v>-1.23587</v>
      </c>
      <c r="O28" s="361"/>
      <c r="P28" s="361"/>
      <c r="Q28" s="361" t="s">
        <v>698</v>
      </c>
      <c r="R28" s="362">
        <v>35</v>
      </c>
      <c r="S28" s="236"/>
      <c r="T28" s="364">
        <f t="shared" si="2"/>
        <v>625006</v>
      </c>
      <c r="U28" s="365">
        <f t="shared" si="4"/>
        <v>-1.23587</v>
      </c>
      <c r="V28" s="365">
        <f>IF($Q28="ekrk",IF($R28="data",IFERROR(INDEX(data!$A:$ALL,MATCH($M28,data!$A:$A,0),MATCH(V$2,data!$1:$1,0)),"#data"),IFERROR(U28*INDEX(indexy_SDcast!$A:$ALI,MATCH($R28,indexy_SDcast!$K:$K,0),MATCH(V$2,indexy_SDcast!$2:$2,0)),"#ekrk")),"#popis")</f>
        <v>-1.5822004989495857</v>
      </c>
      <c r="W28" s="365">
        <f>IF($Q28="ekrk",IF($R28="data",IFERROR(INDEX(data!$A:$ALL,MATCH($M28,data!$A:$A,0),MATCH(W$2,data!$1:$1,0)),"#data"),IFERROR(V28*INDEX(indexy_SDcast!$A:$ALI,MATCH($R28,indexy_SDcast!$K:$K,0),MATCH(W$2,indexy_SDcast!$2:$2,0)),"#ekrk")),"#popis")</f>
        <v>-1.5999864984025838</v>
      </c>
      <c r="X28" s="365">
        <f>IF($Q28="ekrk",IF($R28="data",IFERROR(INDEX(data!$A:$ALL,MATCH($M28,data!$A:$A,0),MATCH(X$2,data!$1:$1,0)),"#data"),IFERROR(W28*INDEX(indexy_SDcast!$A:$ALI,MATCH($R28,indexy_SDcast!$K:$K,0),MATCH(X$2,indexy_SDcast!$2:$2,0)),"#ekrk")),"#popis")</f>
        <v>-1.0277129108868592</v>
      </c>
      <c r="Y28" s="362">
        <f>IF($Q28="ekrk",IF($R28="data",IFERROR(INDEX(data!$A:$ALL,MATCH($M28,data!$A:$A,0),MATCH(Y$2,data!$1:$1,0)),"#data"),IFERROR(X28*INDEX(indexy_SDcast!$A:$ALI,MATCH($R28,indexy_SDcast!$K:$K,0),MATCH(Y$2,indexy_SDcast!$2:$2,0)),"#ekrk")),"#popis")</f>
        <v>-1.390339319626448</v>
      </c>
    </row>
    <row r="29" spans="1:44" x14ac:dyDescent="0.25">
      <c r="A29" s="330">
        <v>625007</v>
      </c>
      <c r="B29" s="329">
        <v>-211.56006000000014</v>
      </c>
      <c r="C29" s="157"/>
      <c r="D29" s="330">
        <v>625007</v>
      </c>
      <c r="E29" s="329">
        <v>-211.56006000000014</v>
      </c>
      <c r="F29" s="157"/>
      <c r="G29" s="330">
        <v>625007</v>
      </c>
      <c r="H29" s="329">
        <v>-211.56006000000014</v>
      </c>
      <c r="I29" s="157"/>
      <c r="J29" s="330">
        <v>625007</v>
      </c>
      <c r="K29" s="329">
        <v>-211.56006000000014</v>
      </c>
      <c r="L29" s="157"/>
      <c r="M29" s="360">
        <f t="shared" si="0"/>
        <v>625007</v>
      </c>
      <c r="N29" s="237">
        <f t="shared" si="1"/>
        <v>-211.56006000000014</v>
      </c>
      <c r="O29" s="361"/>
      <c r="P29" s="361"/>
      <c r="Q29" s="361" t="s">
        <v>698</v>
      </c>
      <c r="R29" s="362">
        <v>35</v>
      </c>
      <c r="S29" s="236"/>
      <c r="T29" s="364">
        <f t="shared" si="2"/>
        <v>625007</v>
      </c>
      <c r="U29" s="365">
        <f t="shared" si="4"/>
        <v>-211.56006000000014</v>
      </c>
      <c r="V29" s="365">
        <f>IF($Q29="ekrk",IF($R29="data",IFERROR(INDEX(data!$A:$ALL,MATCH($M29,data!$A:$A,0),MATCH(V$2,data!$1:$1,0)),"#data"),IFERROR(U29*INDEX(indexy_SDcast!$A:$ALI,MATCH($R29,indexy_SDcast!$K:$K,0),MATCH(V$2,indexy_SDcast!$2:$2,0)),"#ekrk")),"#popis")</f>
        <v>-270.84598905208838</v>
      </c>
      <c r="W29" s="365">
        <f>IF($Q29="ekrk",IF($R29="data",IFERROR(INDEX(data!$A:$ALL,MATCH($M29,data!$A:$A,0),MATCH(W$2,data!$1:$1,0)),"#data"),IFERROR(V29*INDEX(indexy_SDcast!$A:$ALI,MATCH($R29,indexy_SDcast!$K:$K,0),MATCH(W$2,indexy_SDcast!$2:$2,0)),"#ekrk")),"#popis")</f>
        <v>-273.89065160675534</v>
      </c>
      <c r="X29" s="365">
        <f>IF($Q29="ekrk",IF($R29="data",IFERROR(INDEX(data!$A:$ALL,MATCH($M29,data!$A:$A,0),MATCH(X$2,data!$1:$1,0)),"#data"),IFERROR(W29*INDEX(indexy_SDcast!$A:$ALI,MATCH($R29,indexy_SDcast!$K:$K,0),MATCH(X$2,indexy_SDcast!$2:$2,0)),"#ekrk")),"#popis")</f>
        <v>-175.92708382758602</v>
      </c>
      <c r="Y29" s="362">
        <f>IF($Q29="ekrk",IF($R29="data",IFERROR(INDEX(data!$A:$ALL,MATCH($M29,data!$A:$A,0),MATCH(Y$2,data!$1:$1,0)),"#data"),IFERROR(X29*INDEX(indexy_SDcast!$A:$ALI,MATCH($R29,indexy_SDcast!$K:$K,0),MATCH(Y$2,indexy_SDcast!$2:$2,0)),"#ekrk")),"#popis")</f>
        <v>-238.00259726389564</v>
      </c>
    </row>
    <row r="30" spans="1:44" x14ac:dyDescent="0.25">
      <c r="A30" s="330">
        <v>627000</v>
      </c>
      <c r="B30" s="329">
        <v>-0.11893000000000001</v>
      </c>
      <c r="C30" s="157"/>
      <c r="D30" s="330">
        <v>627000</v>
      </c>
      <c r="E30" s="329">
        <v>-0.11893000000000001</v>
      </c>
      <c r="F30" s="157"/>
      <c r="G30" s="330">
        <v>627000</v>
      </c>
      <c r="H30" s="329">
        <v>-0.11893000000000001</v>
      </c>
      <c r="I30" s="157"/>
      <c r="J30" s="330">
        <v>627000</v>
      </c>
      <c r="K30" s="329">
        <v>-0.11893000000000001</v>
      </c>
      <c r="L30" s="157"/>
      <c r="M30" s="360">
        <f t="shared" si="0"/>
        <v>627000</v>
      </c>
      <c r="N30" s="237">
        <f t="shared" si="1"/>
        <v>-0.11893000000000001</v>
      </c>
      <c r="O30" s="361"/>
      <c r="P30" s="361"/>
      <c r="Q30" s="361" t="s">
        <v>698</v>
      </c>
      <c r="R30" s="362">
        <v>35</v>
      </c>
      <c r="S30" s="236"/>
      <c r="T30" s="364">
        <f t="shared" si="2"/>
        <v>627000</v>
      </c>
      <c r="U30" s="365">
        <f t="shared" si="4"/>
        <v>-0.11893000000000001</v>
      </c>
      <c r="V30" s="365">
        <f>IF($Q30="ekrk",IF($R30="data",IFERROR(INDEX(data!$A:$ALL,MATCH($M30,data!$A:$A,0),MATCH(V$2,data!$1:$1,0)),"#data"),IFERROR(U30*INDEX(indexy_SDcast!$A:$ALI,MATCH($R30,indexy_SDcast!$K:$K,0),MATCH(V$2,indexy_SDcast!$2:$2,0)),"#ekrk")),"#popis")</f>
        <v>-0.15225800880357498</v>
      </c>
      <c r="W30" s="365">
        <f>IF($Q30="ekrk",IF($R30="data",IFERROR(INDEX(data!$A:$ALL,MATCH($M30,data!$A:$A,0),MATCH(W$2,data!$1:$1,0)),"#data"),IFERROR(V30*INDEX(indexy_SDcast!$A:$ALI,MATCH($R30,indexy_SDcast!$K:$K,0),MATCH(W$2,indexy_SDcast!$2:$2,0)),"#ekrk")),"#popis")</f>
        <v>-0.15396958762250018</v>
      </c>
      <c r="X30" s="365">
        <f>IF($Q30="ekrk",IF($R30="data",IFERROR(INDEX(data!$A:$ALL,MATCH($M30,data!$A:$A,0),MATCH(X$2,data!$1:$1,0)),"#data"),IFERROR(W30*INDEX(indexy_SDcast!$A:$ALI,MATCH($R30,indexy_SDcast!$K:$K,0),MATCH(X$2,indexy_SDcast!$2:$2,0)),"#ekrk")),"#popis")</f>
        <v>-9.8898667733478579E-2</v>
      </c>
      <c r="Y30" s="362">
        <f>IF($Q30="ekrk",IF($R30="data",IFERROR(INDEX(data!$A:$ALL,MATCH($M30,data!$A:$A,0),MATCH(Y$2,data!$1:$1,0)),"#data"),IFERROR(X30*INDEX(indexy_SDcast!$A:$ALI,MATCH($R30,indexy_SDcast!$K:$K,0),MATCH(Y$2,indexy_SDcast!$2:$2,0)),"#ekrk")),"#popis")</f>
        <v>-0.13379486133911614</v>
      </c>
    </row>
    <row r="31" spans="1:44" s="18" customFormat="1" x14ac:dyDescent="0.25">
      <c r="A31" s="333" t="s">
        <v>701</v>
      </c>
      <c r="B31" s="334">
        <v>-4.4101699999999999</v>
      </c>
      <c r="C31" s="164"/>
      <c r="D31" s="333" t="s">
        <v>701</v>
      </c>
      <c r="E31" s="334">
        <v>-4.4101699999999999</v>
      </c>
      <c r="F31" s="164"/>
      <c r="G31" s="333" t="s">
        <v>701</v>
      </c>
      <c r="H31" s="334">
        <v>-4.4101699999999999</v>
      </c>
      <c r="I31" s="164"/>
      <c r="J31" s="333" t="s">
        <v>701</v>
      </c>
      <c r="K31" s="334">
        <v>-4.4101699999999999</v>
      </c>
      <c r="L31" s="164"/>
      <c r="M31" s="358" t="str">
        <f t="shared" si="0"/>
        <v>D122PAY</v>
      </c>
      <c r="N31" s="239">
        <f t="shared" si="1"/>
        <v>-4.4101699999999999</v>
      </c>
      <c r="O31" s="243"/>
      <c r="P31" s="243">
        <f>MATCH(Q31,Q32:Q$1550,0)</f>
        <v>3</v>
      </c>
      <c r="Q31" s="243" t="s">
        <v>697</v>
      </c>
      <c r="R31" s="359" t="str">
        <f>IF(Q31="ekrk",INDEX(indexy_SDcast!$A:$C,MATCH($M31,indexy_SDcast!$A:$A,0),2),"")</f>
        <v/>
      </c>
      <c r="S31" s="240"/>
      <c r="T31" s="363" t="str">
        <f t="shared" si="2"/>
        <v>D122PAY</v>
      </c>
      <c r="U31" s="244">
        <f>SUM(U32:U33)</f>
        <v>-4.4101699999999999</v>
      </c>
      <c r="V31" s="244">
        <f>SUM(V32:V33)</f>
        <v>-5.6460413914509573</v>
      </c>
      <c r="W31" s="244">
        <f>SUM(W32:W33)</f>
        <v>-5.7095102686044026</v>
      </c>
      <c r="X31" s="244">
        <f>SUM(X32:X33)</f>
        <v>-3.6673668332477525</v>
      </c>
      <c r="Y31" s="359">
        <f>SUM(Y32:Y33)</f>
        <v>-4.9613897555867297</v>
      </c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</row>
    <row r="32" spans="1:44" x14ac:dyDescent="0.25">
      <c r="A32" s="330">
        <v>637016</v>
      </c>
      <c r="B32" s="329">
        <v>-0.21300000000000002</v>
      </c>
      <c r="C32" s="157"/>
      <c r="D32" s="330">
        <v>637016</v>
      </c>
      <c r="E32" s="329">
        <v>-0.21300000000000002</v>
      </c>
      <c r="F32" s="157"/>
      <c r="G32" s="330">
        <v>637016</v>
      </c>
      <c r="H32" s="329">
        <v>-0.21300000000000002</v>
      </c>
      <c r="I32" s="157"/>
      <c r="J32" s="330">
        <v>637016</v>
      </c>
      <c r="K32" s="329">
        <v>-0.21300000000000002</v>
      </c>
      <c r="L32" s="157"/>
      <c r="M32" s="360">
        <f t="shared" si="0"/>
        <v>637016</v>
      </c>
      <c r="N32" s="237">
        <f t="shared" si="1"/>
        <v>-0.21300000000000002</v>
      </c>
      <c r="O32" s="361"/>
      <c r="P32" s="361"/>
      <c r="Q32" s="361" t="s">
        <v>698</v>
      </c>
      <c r="R32" s="362">
        <v>35</v>
      </c>
      <c r="S32" s="236"/>
      <c r="T32" s="364">
        <f t="shared" si="2"/>
        <v>637016</v>
      </c>
      <c r="U32" s="365">
        <f>N32</f>
        <v>-0.21300000000000002</v>
      </c>
      <c r="V32" s="365">
        <f>IF($Q32="ekrk",IF($R32="data",IFERROR(INDEX(data!$A:$ALL,MATCH($M32,data!$A:$A,0),MATCH(V$2,data!$1:$1,0)),"#data"),IFERROR(U32*INDEX(indexy_SDcast!$A:$ALI,MATCH($R32,indexy_SDcast!$K:$K,0),MATCH(V$2,indexy_SDcast!$2:$2,0)),"#ekrk")),"#popis")</f>
        <v>-0.27268944652452265</v>
      </c>
      <c r="W32" s="365">
        <f>IF($Q32="ekrk",IF($R32="data",IFERROR(INDEX(data!$A:$ALL,MATCH($M32,data!$A:$A,0),MATCH(W$2,data!$1:$1,0)),"#data"),IFERROR(V32*INDEX(indexy_SDcast!$A:$ALI,MATCH($R32,indexy_SDcast!$K:$K,0),MATCH(W$2,indexy_SDcast!$2:$2,0)),"#ekrk")),"#popis")</f>
        <v>-0.2757548319481421</v>
      </c>
      <c r="X32" s="365">
        <f>IF($Q32="ekrk",IF($R32="data",IFERROR(INDEX(data!$A:$ALL,MATCH($M32,data!$A:$A,0),MATCH(X$2,data!$1:$1,0)),"#data"),IFERROR(W32*INDEX(indexy_SDcast!$A:$ALI,MATCH($R32,indexy_SDcast!$K:$K,0),MATCH(X$2,indexy_SDcast!$2:$2,0)),"#ekrk")),"#popis")</f>
        <v>-0.17712449531010627</v>
      </c>
      <c r="Y32" s="362">
        <f>IF($Q32="ekrk",IF($R32="data",IFERROR(INDEX(data!$A:$ALL,MATCH($M32,data!$A:$A,0),MATCH(Y$2,data!$1:$1,0)),"#data"),IFERROR(X32*INDEX(indexy_SDcast!$A:$ALI,MATCH($R32,indexy_SDcast!$K:$K,0),MATCH(Y$2,indexy_SDcast!$2:$2,0)),"#ekrk")),"#popis")</f>
        <v>-0.23962251295074194</v>
      </c>
    </row>
    <row r="33" spans="1:44" x14ac:dyDescent="0.25">
      <c r="A33" s="330">
        <v>642015</v>
      </c>
      <c r="B33" s="329">
        <v>-4.1971699999999998</v>
      </c>
      <c r="C33" s="157"/>
      <c r="D33" s="330">
        <v>642015</v>
      </c>
      <c r="E33" s="329">
        <v>-4.1971699999999998</v>
      </c>
      <c r="F33" s="157"/>
      <c r="G33" s="330">
        <v>642015</v>
      </c>
      <c r="H33" s="329">
        <v>-4.1971699999999998</v>
      </c>
      <c r="I33" s="157"/>
      <c r="J33" s="330">
        <v>642015</v>
      </c>
      <c r="K33" s="329">
        <v>-4.1971699999999998</v>
      </c>
      <c r="L33" s="157"/>
      <c r="M33" s="360">
        <f t="shared" si="0"/>
        <v>642015</v>
      </c>
      <c r="N33" s="237">
        <f t="shared" si="1"/>
        <v>-4.1971699999999998</v>
      </c>
      <c r="O33" s="361"/>
      <c r="P33" s="361"/>
      <c r="Q33" s="361" t="s">
        <v>698</v>
      </c>
      <c r="R33" s="362">
        <v>35</v>
      </c>
      <c r="S33" s="236"/>
      <c r="T33" s="364">
        <f t="shared" si="2"/>
        <v>642015</v>
      </c>
      <c r="U33" s="365">
        <f>N33</f>
        <v>-4.1971699999999998</v>
      </c>
      <c r="V33" s="365">
        <f>IF($Q33="ekrk",IF($R33="data",IFERROR(INDEX(data!$A:$ALL,MATCH($M33,data!$A:$A,0),MATCH(V$2,data!$1:$1,0)),"#data"),IFERROR(U33*INDEX(indexy_SDcast!$A:$ALI,MATCH($R33,indexy_SDcast!$K:$K,0),MATCH(V$2,indexy_SDcast!$2:$2,0)),"#ekrk")),"#popis")</f>
        <v>-5.3733519449264344</v>
      </c>
      <c r="W33" s="365">
        <f>IF($Q33="ekrk",IF($R33="data",IFERROR(INDEX(data!$A:$ALL,MATCH($M33,data!$A:$A,0),MATCH(W$2,data!$1:$1,0)),"#data"),IFERROR(V33*INDEX(indexy_SDcast!$A:$ALI,MATCH($R33,indexy_SDcast!$K:$K,0),MATCH(W$2,indexy_SDcast!$2:$2,0)),"#ekrk")),"#popis")</f>
        <v>-5.4337554366562602</v>
      </c>
      <c r="X33" s="365">
        <f>IF($Q33="ekrk",IF($R33="data",IFERROR(INDEX(data!$A:$ALL,MATCH($M33,data!$A:$A,0),MATCH(X$2,data!$1:$1,0)),"#data"),IFERROR(W33*INDEX(indexy_SDcast!$A:$ALI,MATCH($R33,indexy_SDcast!$K:$K,0),MATCH(X$2,indexy_SDcast!$2:$2,0)),"#ekrk")),"#popis")</f>
        <v>-3.4902423379376462</v>
      </c>
      <c r="Y33" s="362">
        <f>IF($Q33="ekrk",IF($R33="data",IFERROR(INDEX(data!$A:$ALL,MATCH($M33,data!$A:$A,0),MATCH(Y$2,data!$1:$1,0)),"#data"),IFERROR(X33*INDEX(indexy_SDcast!$A:$ALI,MATCH($R33,indexy_SDcast!$K:$K,0),MATCH(Y$2,indexy_SDcast!$2:$2,0)),"#ekrk")),"#popis")</f>
        <v>-4.7217672426359876</v>
      </c>
    </row>
    <row r="34" spans="1:44" s="18" customFormat="1" x14ac:dyDescent="0.25">
      <c r="A34" s="333" t="s">
        <v>706</v>
      </c>
      <c r="B34" s="334">
        <v>-1.74797</v>
      </c>
      <c r="C34" s="164"/>
      <c r="D34" s="333" t="s">
        <v>706</v>
      </c>
      <c r="E34" s="334">
        <v>-1.74797</v>
      </c>
      <c r="F34" s="164"/>
      <c r="G34" s="333" t="s">
        <v>706</v>
      </c>
      <c r="H34" s="334">
        <v>-1.74797</v>
      </c>
      <c r="I34" s="164"/>
      <c r="J34" s="333" t="s">
        <v>706</v>
      </c>
      <c r="K34" s="334">
        <v>-1.74797</v>
      </c>
      <c r="L34" s="164"/>
      <c r="M34" s="358" t="str">
        <f t="shared" ref="M34:M65" si="5">J34</f>
        <v>D29PAY</v>
      </c>
      <c r="N34" s="239">
        <f t="shared" ref="N34:N65" si="6">K34</f>
        <v>-1.74797</v>
      </c>
      <c r="O34" s="243"/>
      <c r="P34" s="243">
        <f>MATCH(Q34,Q35:Q$1550,0)</f>
        <v>2</v>
      </c>
      <c r="Q34" s="243" t="s">
        <v>697</v>
      </c>
      <c r="R34" s="359" t="str">
        <f>IF(Q34="ekrk",INDEX(indexy_SDcast!$A:$C,MATCH($M34,indexy_SDcast!$A:$A,0),2),"")</f>
        <v/>
      </c>
      <c r="S34" s="240"/>
      <c r="T34" s="363" t="str">
        <f t="shared" si="2"/>
        <v>D29PAY</v>
      </c>
      <c r="U34" s="244">
        <f>SUM(U35:U35)</f>
        <v>-1.74797</v>
      </c>
      <c r="V34" s="244">
        <f>SUM(V35:V35)</f>
        <v>-2.2378073795374167</v>
      </c>
      <c r="W34" s="244">
        <f>SUM(W35:W35)</f>
        <v>-2.2629632563398774</v>
      </c>
      <c r="X34" s="244">
        <f>SUM(X35:X35)</f>
        <v>-1.4535601129915794</v>
      </c>
      <c r="Y34" s="359">
        <f>SUM(Y35:Y35)</f>
        <v>-1.9664458401995697</v>
      </c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</row>
    <row r="35" spans="1:44" x14ac:dyDescent="0.25">
      <c r="A35" s="330">
        <v>637035</v>
      </c>
      <c r="B35" s="329">
        <v>-1.74797</v>
      </c>
      <c r="C35" s="157"/>
      <c r="D35" s="330">
        <v>637035</v>
      </c>
      <c r="E35" s="329">
        <v>-1.74797</v>
      </c>
      <c r="F35" s="157"/>
      <c r="G35" s="330">
        <v>637035</v>
      </c>
      <c r="H35" s="329">
        <v>-1.74797</v>
      </c>
      <c r="I35" s="157"/>
      <c r="J35" s="330">
        <v>637035</v>
      </c>
      <c r="K35" s="329">
        <v>-1.74797</v>
      </c>
      <c r="L35" s="157"/>
      <c r="M35" s="360">
        <f t="shared" si="5"/>
        <v>637035</v>
      </c>
      <c r="N35" s="237">
        <f t="shared" si="6"/>
        <v>-1.74797</v>
      </c>
      <c r="O35" s="361"/>
      <c r="P35" s="361"/>
      <c r="Q35" s="361" t="s">
        <v>698</v>
      </c>
      <c r="R35" s="362">
        <v>35</v>
      </c>
      <c r="S35" s="236"/>
      <c r="T35" s="364">
        <f t="shared" si="2"/>
        <v>637035</v>
      </c>
      <c r="U35" s="365">
        <f>N35</f>
        <v>-1.74797</v>
      </c>
      <c r="V35" s="365">
        <f>IF($Q35="ekrk",IF($R35="data",IFERROR(INDEX(data!$A:$ALL,MATCH($M35,data!$A:$A,0),MATCH(V$2,data!$1:$1,0)),"#data"),IFERROR(U35*INDEX(indexy_SDcast!$A:$ALI,MATCH($R35,indexy_SDcast!$K:$K,0),MATCH(V$2,indexy_SDcast!$2:$2,0)),"#ekrk")),"#popis")</f>
        <v>-2.2378073795374167</v>
      </c>
      <c r="W35" s="365">
        <f>IF($Q35="ekrk",IF($R35="data",IFERROR(INDEX(data!$A:$ALL,MATCH($M35,data!$A:$A,0),MATCH(W$2,data!$1:$1,0)),"#data"),IFERROR(V35*INDEX(indexy_SDcast!$A:$ALI,MATCH($R35,indexy_SDcast!$K:$K,0),MATCH(W$2,indexy_SDcast!$2:$2,0)),"#ekrk")),"#popis")</f>
        <v>-2.2629632563398774</v>
      </c>
      <c r="X35" s="365">
        <f>IF($Q35="ekrk",IF($R35="data",IFERROR(INDEX(data!$A:$ALL,MATCH($M35,data!$A:$A,0),MATCH(X$2,data!$1:$1,0)),"#data"),IFERROR(W35*INDEX(indexy_SDcast!$A:$ALI,MATCH($R35,indexy_SDcast!$K:$K,0),MATCH(X$2,indexy_SDcast!$2:$2,0)),"#ekrk")),"#popis")</f>
        <v>-1.4535601129915794</v>
      </c>
      <c r="Y35" s="362">
        <f>IF($Q35="ekrk",IF($R35="data",IFERROR(INDEX(data!$A:$ALL,MATCH($M35,data!$A:$A,0),MATCH(Y$2,data!$1:$1,0)),"#data"),IFERROR(X35*INDEX(indexy_SDcast!$A:$ALI,MATCH($R35,indexy_SDcast!$K:$K,0),MATCH(Y$2,indexy_SDcast!$2:$2,0)),"#ekrk")),"#popis")</f>
        <v>-1.9664458401995697</v>
      </c>
    </row>
    <row r="36" spans="1:44" s="18" customFormat="1" x14ac:dyDescent="0.25">
      <c r="A36" s="333" t="s">
        <v>708</v>
      </c>
      <c r="B36" s="334">
        <v>-131.02567999999999</v>
      </c>
      <c r="C36" s="164"/>
      <c r="D36" s="333" t="s">
        <v>708</v>
      </c>
      <c r="E36" s="334">
        <v>-131.02567999999999</v>
      </c>
      <c r="F36" s="164"/>
      <c r="G36" s="333" t="s">
        <v>708</v>
      </c>
      <c r="H36" s="334">
        <v>-131.02567999999999</v>
      </c>
      <c r="I36" s="164"/>
      <c r="J36" s="333" t="s">
        <v>708</v>
      </c>
      <c r="K36" s="334">
        <v>-131.02567999999999</v>
      </c>
      <c r="L36" s="164"/>
      <c r="M36" s="358" t="str">
        <f t="shared" si="5"/>
        <v>D319PAY</v>
      </c>
      <c r="N36" s="239">
        <f t="shared" si="6"/>
        <v>-131.02567999999999</v>
      </c>
      <c r="O36" s="243"/>
      <c r="P36" s="243">
        <f>MATCH(Q36,Q37:Q$1550,0)</f>
        <v>2</v>
      </c>
      <c r="Q36" s="243" t="s">
        <v>697</v>
      </c>
      <c r="R36" s="359"/>
      <c r="S36" s="240"/>
      <c r="T36" s="363" t="str">
        <f t="shared" ref="T36:T67" si="7">M36</f>
        <v>D319PAY</v>
      </c>
      <c r="U36" s="244">
        <f>SUM(U37:U37)</f>
        <v>-131.02567999999999</v>
      </c>
      <c r="V36" s="244">
        <f>SUM(V37:V37)</f>
        <v>-167.74328713473807</v>
      </c>
      <c r="W36" s="244">
        <f>SUM(W37:W37)</f>
        <v>-169.62894070089689</v>
      </c>
      <c r="X36" s="244">
        <f>SUM(X37:X37)</f>
        <v>-108.9570771956032</v>
      </c>
      <c r="Y36" s="359">
        <f>SUM(Y37:Y37)</f>
        <v>-147.40236010647777</v>
      </c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</row>
    <row r="37" spans="1:44" x14ac:dyDescent="0.25">
      <c r="A37" s="330">
        <v>644002</v>
      </c>
      <c r="B37" s="329">
        <v>-131.02567999999999</v>
      </c>
      <c r="C37" s="157"/>
      <c r="D37" s="330">
        <v>644002</v>
      </c>
      <c r="E37" s="329">
        <v>-131.02567999999999</v>
      </c>
      <c r="F37" s="157"/>
      <c r="G37" s="330">
        <v>644002</v>
      </c>
      <c r="H37" s="329">
        <v>-131.02567999999999</v>
      </c>
      <c r="I37" s="157"/>
      <c r="J37" s="330">
        <v>644002</v>
      </c>
      <c r="K37" s="329">
        <v>-131.02567999999999</v>
      </c>
      <c r="L37" s="157"/>
      <c r="M37" s="360">
        <f t="shared" si="5"/>
        <v>644002</v>
      </c>
      <c r="N37" s="237">
        <f t="shared" si="6"/>
        <v>-131.02567999999999</v>
      </c>
      <c r="O37" s="361"/>
      <c r="P37" s="361"/>
      <c r="Q37" s="361" t="s">
        <v>698</v>
      </c>
      <c r="R37" s="362">
        <v>35</v>
      </c>
      <c r="S37" s="236"/>
      <c r="T37" s="364">
        <f t="shared" si="7"/>
        <v>644002</v>
      </c>
      <c r="U37" s="365">
        <f>N37</f>
        <v>-131.02567999999999</v>
      </c>
      <c r="V37" s="365">
        <f>IF($Q37="ekrk",IF($R37="data",IFERROR(INDEX(data!$A:$ALL,MATCH($M37,data!$A:$A,0),MATCH(V$2,data!$1:$1,0)),"#data"),IFERROR(U37*INDEX(indexy_SDcast!$A:$ALI,MATCH($R37,indexy_SDcast!$K:$K,0),MATCH(V$2,indexy_SDcast!$2:$2,0)),"#ekrk")),"#popis")</f>
        <v>-167.74328713473807</v>
      </c>
      <c r="W37" s="365">
        <f>IF($Q37="ekrk",IF($R37="data",IFERROR(INDEX(data!$A:$ALL,MATCH($M37,data!$A:$A,0),MATCH(W$2,data!$1:$1,0)),"#data"),IFERROR(V37*INDEX(indexy_SDcast!$A:$ALI,MATCH($R37,indexy_SDcast!$K:$K,0),MATCH(W$2,indexy_SDcast!$2:$2,0)),"#ekrk")),"#popis")</f>
        <v>-169.62894070089689</v>
      </c>
      <c r="X37" s="365">
        <f>IF($Q37="ekrk",IF($R37="data",IFERROR(INDEX(data!$A:$ALL,MATCH($M37,data!$A:$A,0),MATCH(X$2,data!$1:$1,0)),"#data"),IFERROR(W37*INDEX(indexy_SDcast!$A:$ALI,MATCH($R37,indexy_SDcast!$K:$K,0),MATCH(X$2,indexy_SDcast!$2:$2,0)),"#ekrk")),"#popis")</f>
        <v>-108.9570771956032</v>
      </c>
      <c r="Y37" s="362">
        <f>IF($Q37="ekrk",IF($R37="data",IFERROR(INDEX(data!$A:$ALL,MATCH($M37,data!$A:$A,0),MATCH(Y$2,data!$1:$1,0)),"#data"),IFERROR(X37*INDEX(indexy_SDcast!$A:$ALI,MATCH($R37,indexy_SDcast!$K:$K,0),MATCH(Y$2,indexy_SDcast!$2:$2,0)),"#ekrk")),"#popis")</f>
        <v>-147.40236010647777</v>
      </c>
    </row>
    <row r="38" spans="1:44" s="18" customFormat="1" x14ac:dyDescent="0.25">
      <c r="A38" s="333" t="s">
        <v>709</v>
      </c>
      <c r="B38" s="334">
        <v>-153.81276999999997</v>
      </c>
      <c r="C38" s="164"/>
      <c r="D38" s="333" t="s">
        <v>709</v>
      </c>
      <c r="E38" s="334">
        <v>-153.81276999999997</v>
      </c>
      <c r="F38" s="164"/>
      <c r="G38" s="333" t="s">
        <v>709</v>
      </c>
      <c r="H38" s="334">
        <v>-153.81276999999997</v>
      </c>
      <c r="I38" s="164"/>
      <c r="J38" s="333" t="s">
        <v>709</v>
      </c>
      <c r="K38" s="334">
        <v>-153.81276999999997</v>
      </c>
      <c r="L38" s="164"/>
      <c r="M38" s="358" t="str">
        <f t="shared" si="5"/>
        <v>D39PAY</v>
      </c>
      <c r="N38" s="239">
        <f t="shared" si="6"/>
        <v>-153.81276999999997</v>
      </c>
      <c r="O38" s="243"/>
      <c r="P38" s="243">
        <f>MATCH(Q38,Q39:Q$1550,0)</f>
        <v>2</v>
      </c>
      <c r="Q38" s="243" t="s">
        <v>697</v>
      </c>
      <c r="R38" s="359" t="str">
        <f>IF(Q38="ekrk",INDEX(indexy_SDcast!$A:$C,MATCH($M38,indexy_SDcast!$A:$A,0),2),"")</f>
        <v/>
      </c>
      <c r="S38" s="240"/>
      <c r="T38" s="363" t="str">
        <f t="shared" si="7"/>
        <v>D39PAY</v>
      </c>
      <c r="U38" s="244">
        <f>SUM(U39:U39)</f>
        <v>-153.81276999999997</v>
      </c>
      <c r="V38" s="244">
        <f>SUM(V39:V39)</f>
        <v>-196.91605220518161</v>
      </c>
      <c r="W38" s="244">
        <f>SUM(W39:W39)</f>
        <v>-199.12964574097757</v>
      </c>
      <c r="X38" s="244">
        <f>SUM(X39:X39)</f>
        <v>-127.90614675351853</v>
      </c>
      <c r="Y38" s="359">
        <f>SUM(Y39:Y39)</f>
        <v>-173.0375702878614</v>
      </c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</row>
    <row r="39" spans="1:44" x14ac:dyDescent="0.25">
      <c r="A39" s="330">
        <v>644002</v>
      </c>
      <c r="B39" s="329">
        <v>-153.81276999999997</v>
      </c>
      <c r="C39" s="157"/>
      <c r="D39" s="330">
        <v>644002</v>
      </c>
      <c r="E39" s="329">
        <v>-153.81276999999997</v>
      </c>
      <c r="F39" s="157"/>
      <c r="G39" s="330">
        <v>644002</v>
      </c>
      <c r="H39" s="329">
        <v>-153.81276999999997</v>
      </c>
      <c r="I39" s="157"/>
      <c r="J39" s="330">
        <v>644002</v>
      </c>
      <c r="K39" s="329">
        <v>-153.81276999999997</v>
      </c>
      <c r="L39" s="157"/>
      <c r="M39" s="360">
        <f t="shared" si="5"/>
        <v>644002</v>
      </c>
      <c r="N39" s="237">
        <f t="shared" si="6"/>
        <v>-153.81276999999997</v>
      </c>
      <c r="O39" s="361"/>
      <c r="P39" s="361"/>
      <c r="Q39" s="361" t="s">
        <v>698</v>
      </c>
      <c r="R39" s="362">
        <v>35</v>
      </c>
      <c r="S39" s="236"/>
      <c r="T39" s="364">
        <f t="shared" si="7"/>
        <v>644002</v>
      </c>
      <c r="U39" s="365">
        <f>N39</f>
        <v>-153.81276999999997</v>
      </c>
      <c r="V39" s="365">
        <f>IF($Q39="ekrk",IF($R39="data",IFERROR(INDEX(data!$A:$ALL,MATCH($M39,data!$A:$A,0),MATCH(V$2,data!$1:$1,0)),"#data"),IFERROR(U39*INDEX(indexy_SDcast!$A:$ALI,MATCH($R39,indexy_SDcast!$K:$K,0),MATCH(V$2,indexy_SDcast!$2:$2,0)),"#ekrk")),"#popis")</f>
        <v>-196.91605220518161</v>
      </c>
      <c r="W39" s="365">
        <f>IF($Q39="ekrk",IF($R39="data",IFERROR(INDEX(data!$A:$ALL,MATCH($M39,data!$A:$A,0),MATCH(W$2,data!$1:$1,0)),"#data"),IFERROR(V39*INDEX(indexy_SDcast!$A:$ALI,MATCH($R39,indexy_SDcast!$K:$K,0),MATCH(W$2,indexy_SDcast!$2:$2,0)),"#ekrk")),"#popis")</f>
        <v>-199.12964574097757</v>
      </c>
      <c r="X39" s="365">
        <f>IF($Q39="ekrk",IF($R39="data",IFERROR(INDEX(data!$A:$ALL,MATCH($M39,data!$A:$A,0),MATCH(X$2,data!$1:$1,0)),"#data"),IFERROR(W39*INDEX(indexy_SDcast!$A:$ALI,MATCH($R39,indexy_SDcast!$K:$K,0),MATCH(X$2,indexy_SDcast!$2:$2,0)),"#ekrk")),"#popis")</f>
        <v>-127.90614675351853</v>
      </c>
      <c r="Y39" s="362">
        <f>IF($Q39="ekrk",IF($R39="data",IFERROR(INDEX(data!$A:$ALL,MATCH($M39,data!$A:$A,0),MATCH(Y$2,data!$1:$1,0)),"#data"),IFERROR(X39*INDEX(indexy_SDcast!$A:$ALI,MATCH($R39,indexy_SDcast!$K:$K,0),MATCH(Y$2,indexy_SDcast!$2:$2,0)),"#ekrk")),"#popis")</f>
        <v>-173.0375702878614</v>
      </c>
    </row>
    <row r="40" spans="1:44" s="18" customFormat="1" x14ac:dyDescent="0.25">
      <c r="A40" s="333" t="s">
        <v>728</v>
      </c>
      <c r="B40" s="334">
        <v>-672.42412999999988</v>
      </c>
      <c r="C40" s="164"/>
      <c r="D40" s="333" t="s">
        <v>728</v>
      </c>
      <c r="E40" s="334">
        <v>-672.42412999999988</v>
      </c>
      <c r="F40" s="164"/>
      <c r="G40" s="333" t="s">
        <v>728</v>
      </c>
      <c r="H40" s="334">
        <v>-672.42412999999988</v>
      </c>
      <c r="I40" s="164"/>
      <c r="J40" s="333" t="s">
        <v>728</v>
      </c>
      <c r="K40" s="334">
        <v>-672.42412999999988</v>
      </c>
      <c r="L40" s="164"/>
      <c r="M40" s="358" t="str">
        <f t="shared" si="5"/>
        <v>D624PAY</v>
      </c>
      <c r="N40" s="239">
        <f t="shared" si="6"/>
        <v>-672.42412999999988</v>
      </c>
      <c r="O40" s="243"/>
      <c r="P40" s="243">
        <f>MATCH(Q40,Q41:Q$1550,0)</f>
        <v>6</v>
      </c>
      <c r="Q40" s="243" t="s">
        <v>697</v>
      </c>
      <c r="R40" s="359" t="str">
        <f>IF(Q40="ekrk",INDEX(indexy_SDcast!$A:$C,MATCH($M40,indexy_SDcast!$A:$A,0),2),"")</f>
        <v/>
      </c>
      <c r="S40" s="240"/>
      <c r="T40" s="363" t="str">
        <f t="shared" si="7"/>
        <v>D624PAY</v>
      </c>
      <c r="U40" s="244">
        <f>SUM(U41:U45)</f>
        <v>-672.42412999999988</v>
      </c>
      <c r="V40" s="244">
        <f>SUM(V41:V45)</f>
        <v>-860.85898516166003</v>
      </c>
      <c r="W40" s="244">
        <f>SUM(W41:W45)</f>
        <v>-870.53616415974466</v>
      </c>
      <c r="X40" s="244">
        <f>SUM(X41:X45)</f>
        <v>-559.16800310134863</v>
      </c>
      <c r="Y40" s="359">
        <f>SUM(Y41:Y45)</f>
        <v>-756.46929483247095</v>
      </c>
      <c r="Z40" s="58"/>
      <c r="AA40" s="58"/>
      <c r="AB40" s="58"/>
      <c r="AC40" s="58"/>
      <c r="AD40" s="58"/>
      <c r="AE40" s="58"/>
      <c r="AF40" s="58"/>
      <c r="AG40" s="58"/>
      <c r="AH40" s="58"/>
      <c r="AI40" s="58"/>
      <c r="AJ40" s="58"/>
      <c r="AK40" s="58"/>
      <c r="AL40" s="58"/>
      <c r="AM40" s="58"/>
      <c r="AN40" s="58"/>
      <c r="AO40" s="58"/>
      <c r="AP40" s="58"/>
      <c r="AQ40" s="58"/>
      <c r="AR40" s="58"/>
    </row>
    <row r="41" spans="1:44" x14ac:dyDescent="0.25">
      <c r="A41" s="330">
        <v>642014</v>
      </c>
      <c r="B41" s="329">
        <v>-649.97760999999991</v>
      </c>
      <c r="C41" s="157"/>
      <c r="D41" s="330">
        <v>642014</v>
      </c>
      <c r="E41" s="329">
        <v>-649.97760999999991</v>
      </c>
      <c r="F41" s="157"/>
      <c r="G41" s="330">
        <v>642014</v>
      </c>
      <c r="H41" s="329">
        <v>-649.97760999999991</v>
      </c>
      <c r="I41" s="157"/>
      <c r="J41" s="330">
        <v>642014</v>
      </c>
      <c r="K41" s="329">
        <v>-649.97760999999991</v>
      </c>
      <c r="L41" s="157"/>
      <c r="M41" s="360">
        <f t="shared" si="5"/>
        <v>642014</v>
      </c>
      <c r="N41" s="237">
        <f t="shared" si="6"/>
        <v>-649.97760999999991</v>
      </c>
      <c r="O41" s="361"/>
      <c r="P41" s="361"/>
      <c r="Q41" s="361" t="s">
        <v>698</v>
      </c>
      <c r="R41" s="362">
        <v>35</v>
      </c>
      <c r="S41" s="236"/>
      <c r="T41" s="364">
        <f t="shared" si="7"/>
        <v>642014</v>
      </c>
      <c r="U41" s="365">
        <f>N41</f>
        <v>-649.97760999999991</v>
      </c>
      <c r="V41" s="365">
        <f>IF($Q41="ekrk",IF($R41="data",IFERROR(INDEX(data!$A:$ALL,MATCH($M41,data!$A:$A,0),MATCH(V$2,data!$1:$1,0)),"#data"),IFERROR(U41*INDEX(indexy_SDcast!$A:$ALI,MATCH($R41,indexy_SDcast!$K:$K,0),MATCH(V$2,indexy_SDcast!$2:$2,0)),"#ekrk")),"#popis")</f>
        <v>-832.1222287522628</v>
      </c>
      <c r="W41" s="365">
        <f>IF($Q41="ekrk",IF($R41="data",IFERROR(INDEX(data!$A:$ALL,MATCH($M41,data!$A:$A,0),MATCH(W$2,data!$1:$1,0)),"#data"),IFERROR(V41*INDEX(indexy_SDcast!$A:$ALI,MATCH($R41,indexy_SDcast!$K:$K,0),MATCH(W$2,indexy_SDcast!$2:$2,0)),"#ekrk")),"#popis")</f>
        <v>-841.47636908734739</v>
      </c>
      <c r="X41" s="365">
        <f>IF($Q41="ekrk",IF($R41="data",IFERROR(INDEX(data!$A:$ALL,MATCH($M41,data!$A:$A,0),MATCH(X$2,data!$1:$1,0)),"#data"),IFERROR(W41*INDEX(indexy_SDcast!$A:$ALI,MATCH($R41,indexy_SDcast!$K:$K,0),MATCH(X$2,indexy_SDcast!$2:$2,0)),"#ekrk")),"#popis")</f>
        <v>-540.5021414747373</v>
      </c>
      <c r="Y41" s="362">
        <f>IF($Q41="ekrk",IF($R41="data",IFERROR(INDEX(data!$A:$ALL,MATCH($M41,data!$A:$A,0),MATCH(Y$2,data!$1:$1,0)),"#data"),IFERROR(X41*INDEX(indexy_SDcast!$A:$ALI,MATCH($R41,indexy_SDcast!$K:$K,0),MATCH(Y$2,indexy_SDcast!$2:$2,0)),"#ekrk")),"#popis")</f>
        <v>-731.21722192449408</v>
      </c>
    </row>
    <row r="42" spans="1:44" x14ac:dyDescent="0.25">
      <c r="A42" s="330">
        <v>642029</v>
      </c>
      <c r="B42" s="329">
        <v>-2.2190000000000001E-2</v>
      </c>
      <c r="C42" s="157"/>
      <c r="D42" s="330">
        <v>642029</v>
      </c>
      <c r="E42" s="329">
        <v>-2.2190000000000001E-2</v>
      </c>
      <c r="F42" s="157"/>
      <c r="G42" s="330">
        <v>642029</v>
      </c>
      <c r="H42" s="329">
        <v>-2.2190000000000001E-2</v>
      </c>
      <c r="I42" s="157"/>
      <c r="J42" s="330">
        <v>642029</v>
      </c>
      <c r="K42" s="329">
        <v>-2.2190000000000001E-2</v>
      </c>
      <c r="L42" s="157"/>
      <c r="M42" s="360">
        <f t="shared" si="5"/>
        <v>642029</v>
      </c>
      <c r="N42" s="237">
        <f t="shared" si="6"/>
        <v>-2.2190000000000001E-2</v>
      </c>
      <c r="O42" s="361"/>
      <c r="P42" s="361"/>
      <c r="Q42" s="361" t="s">
        <v>698</v>
      </c>
      <c r="R42" s="362">
        <v>35</v>
      </c>
      <c r="S42" s="236"/>
      <c r="T42" s="364">
        <f t="shared" si="7"/>
        <v>642029</v>
      </c>
      <c r="U42" s="365">
        <f>N42</f>
        <v>-2.2190000000000001E-2</v>
      </c>
      <c r="V42" s="365">
        <f>IF($Q42="ekrk",IF($R42="data",IFERROR(INDEX(data!$A:$ALL,MATCH($M42,data!$A:$A,0),MATCH(V$2,data!$1:$1,0)),"#data"),IFERROR(U42*INDEX(indexy_SDcast!$A:$ALI,MATCH($R42,indexy_SDcast!$K:$K,0),MATCH(V$2,indexy_SDcast!$2:$2,0)),"#ekrk")),"#popis")</f>
        <v>-2.840835125999604E-2</v>
      </c>
      <c r="W42" s="365">
        <f>IF($Q42="ekrk",IF($R42="data",IFERROR(INDEX(data!$A:$ALL,MATCH($M42,data!$A:$A,0),MATCH(W$2,data!$1:$1,0)),"#data"),IFERROR(V42*INDEX(indexy_SDcast!$A:$ALI,MATCH($R42,indexy_SDcast!$K:$K,0),MATCH(W$2,indexy_SDcast!$2:$2,0)),"#ekrk")),"#popis")</f>
        <v>-2.8727698220325223E-2</v>
      </c>
      <c r="X42" s="365">
        <f>IF($Q42="ekrk",IF($R42="data",IFERROR(INDEX(data!$A:$ALL,MATCH($M42,data!$A:$A,0),MATCH(X$2,data!$1:$1,0)),"#data"),IFERROR(W42*INDEX(indexy_SDcast!$A:$ALI,MATCH($R42,indexy_SDcast!$K:$K,0),MATCH(X$2,indexy_SDcast!$2:$2,0)),"#ekrk")),"#popis")</f>
        <v>-1.8452547187470695E-2</v>
      </c>
      <c r="Y42" s="362">
        <f>IF($Q42="ekrk",IF($R42="data",IFERROR(INDEX(data!$A:$ALL,MATCH($M42,data!$A:$A,0),MATCH(Y$2,data!$1:$1,0)),"#data"),IFERROR(X42*INDEX(indexy_SDcast!$A:$ALI,MATCH($R42,indexy_SDcast!$K:$K,0),MATCH(Y$2,indexy_SDcast!$2:$2,0)),"#ekrk")),"#popis")</f>
        <v>-2.4963490903178231E-2</v>
      </c>
    </row>
    <row r="43" spans="1:44" x14ac:dyDescent="0.25">
      <c r="A43" s="330">
        <v>642030</v>
      </c>
      <c r="B43" s="329">
        <v>-0.55698000000000003</v>
      </c>
      <c r="C43" s="157"/>
      <c r="D43" s="330">
        <v>642030</v>
      </c>
      <c r="E43" s="329">
        <v>-0.55698000000000003</v>
      </c>
      <c r="F43" s="157"/>
      <c r="G43" s="330">
        <v>642030</v>
      </c>
      <c r="H43" s="329">
        <v>-0.55698000000000003</v>
      </c>
      <c r="I43" s="157"/>
      <c r="J43" s="330">
        <v>642030</v>
      </c>
      <c r="K43" s="329">
        <v>-0.55698000000000003</v>
      </c>
      <c r="L43" s="157"/>
      <c r="M43" s="360">
        <f t="shared" si="5"/>
        <v>642030</v>
      </c>
      <c r="N43" s="237">
        <f t="shared" si="6"/>
        <v>-0.55698000000000003</v>
      </c>
      <c r="O43" s="361"/>
      <c r="P43" s="361"/>
      <c r="Q43" s="361" t="s">
        <v>698</v>
      </c>
      <c r="R43" s="362">
        <v>35</v>
      </c>
      <c r="S43" s="236"/>
      <c r="T43" s="364">
        <f t="shared" si="7"/>
        <v>642030</v>
      </c>
      <c r="U43" s="365">
        <f>N43</f>
        <v>-0.55698000000000003</v>
      </c>
      <c r="V43" s="365">
        <f>IF($Q43="ekrk",IF($R43="data",IFERROR(INDEX(data!$A:$ALL,MATCH($M43,data!$A:$A,0),MATCH(V$2,data!$1:$1,0)),"#data"),IFERROR(U43*INDEX(indexy_SDcast!$A:$ALI,MATCH($R43,indexy_SDcast!$K:$K,0),MATCH(V$2,indexy_SDcast!$2:$2,0)),"#ekrk")),"#popis")</f>
        <v>-0.71306369917947698</v>
      </c>
      <c r="W43" s="365">
        <f>IF($Q43="ekrk",IF($R43="data",IFERROR(INDEX(data!$A:$ALL,MATCH($M43,data!$A:$A,0),MATCH(W$2,data!$1:$1,0)),"#data"),IFERROR(V43*INDEX(indexy_SDcast!$A:$ALI,MATCH($R43,indexy_SDcast!$K:$K,0),MATCH(W$2,indexy_SDcast!$2:$2,0)),"#ekrk")),"#popis")</f>
        <v>-0.72107946619002894</v>
      </c>
      <c r="X43" s="365">
        <f>IF($Q43="ekrk",IF($R43="data",IFERROR(INDEX(data!$A:$ALL,MATCH($M43,data!$A:$A,0),MATCH(X$2,data!$1:$1,0)),"#data"),IFERROR(W43*INDEX(indexy_SDcast!$A:$ALI,MATCH($R43,indexy_SDcast!$K:$K,0),MATCH(X$2,indexy_SDcast!$2:$2,0)),"#ekrk")),"#popis")</f>
        <v>-0.46316808167992007</v>
      </c>
      <c r="Y43" s="362">
        <f>IF($Q43="ekrk",IF($R43="data",IFERROR(INDEX(data!$A:$ALL,MATCH($M43,data!$A:$A,0),MATCH(Y$2,data!$1:$1,0)),"#data"),IFERROR(X43*INDEX(indexy_SDcast!$A:$ALI,MATCH($R43,indexy_SDcast!$K:$K,0),MATCH(Y$2,indexy_SDcast!$2:$2,0)),"#ekrk")),"#popis")</f>
        <v>-0.62659599654133435</v>
      </c>
    </row>
    <row r="44" spans="1:44" x14ac:dyDescent="0.25">
      <c r="A44" s="330">
        <v>642032</v>
      </c>
      <c r="B44" s="329">
        <v>-3.4700000000000002E-2</v>
      </c>
      <c r="C44" s="157"/>
      <c r="D44" s="330">
        <v>642032</v>
      </c>
      <c r="E44" s="329">
        <v>-3.4700000000000002E-2</v>
      </c>
      <c r="F44" s="157"/>
      <c r="G44" s="330">
        <v>642032</v>
      </c>
      <c r="H44" s="329">
        <v>-3.4700000000000002E-2</v>
      </c>
      <c r="I44" s="157"/>
      <c r="J44" s="330">
        <v>642032</v>
      </c>
      <c r="K44" s="329">
        <v>-3.4700000000000002E-2</v>
      </c>
      <c r="L44" s="157"/>
      <c r="M44" s="360">
        <f t="shared" si="5"/>
        <v>642032</v>
      </c>
      <c r="N44" s="237">
        <f t="shared" si="6"/>
        <v>-3.4700000000000002E-2</v>
      </c>
      <c r="O44" s="361"/>
      <c r="P44" s="361"/>
      <c r="Q44" s="361" t="s">
        <v>698</v>
      </c>
      <c r="R44" s="362">
        <v>35</v>
      </c>
      <c r="S44" s="236"/>
      <c r="T44" s="364">
        <f t="shared" si="7"/>
        <v>642032</v>
      </c>
      <c r="U44" s="365">
        <f>N44</f>
        <v>-3.4700000000000002E-2</v>
      </c>
      <c r="V44" s="365">
        <f>IF($Q44="ekrk",IF($R44="data",IFERROR(INDEX(data!$A:$ALL,MATCH($M44,data!$A:$A,0),MATCH(V$2,data!$1:$1,0)),"#data"),IFERROR(U44*INDEX(indexy_SDcast!$A:$ALI,MATCH($R44,indexy_SDcast!$K:$K,0),MATCH(V$2,indexy_SDcast!$2:$2,0)),"#ekrk")),"#popis")</f>
        <v>-4.4424055372774343E-2</v>
      </c>
      <c r="W44" s="365">
        <f>IF($Q44="ekrk",IF($R44="data",IFERROR(INDEX(data!$A:$ALL,MATCH($M44,data!$A:$A,0),MATCH(W$2,data!$1:$1,0)),"#data"),IFERROR(V44*INDEX(indexy_SDcast!$A:$ALI,MATCH($R44,indexy_SDcast!$K:$K,0),MATCH(W$2,indexy_SDcast!$2:$2,0)),"#ekrk")),"#popis")</f>
        <v>-4.4923439758687941E-2</v>
      </c>
      <c r="X44" s="365">
        <f>IF($Q44="ekrk",IF($R44="data",IFERROR(INDEX(data!$A:$ALL,MATCH($M44,data!$A:$A,0),MATCH(X$2,data!$1:$1,0)),"#data"),IFERROR(W44*INDEX(indexy_SDcast!$A:$ALI,MATCH($R44,indexy_SDcast!$K:$K,0),MATCH(X$2,indexy_SDcast!$2:$2,0)),"#ekrk")),"#popis")</f>
        <v>-2.8855492897937502E-2</v>
      </c>
      <c r="Y44" s="362">
        <f>IF($Q44="ekrk",IF($R44="data",IFERROR(INDEX(data!$A:$ALL,MATCH($M44,data!$A:$A,0),MATCH(Y$2,data!$1:$1,0)),"#data"),IFERROR(X44*INDEX(indexy_SDcast!$A:$ALI,MATCH($R44,indexy_SDcast!$K:$K,0),MATCH(Y$2,indexy_SDcast!$2:$2,0)),"#ekrk")),"#popis")</f>
        <v>-3.9037094832820404E-2</v>
      </c>
    </row>
    <row r="45" spans="1:44" x14ac:dyDescent="0.25">
      <c r="A45" s="330">
        <v>642036</v>
      </c>
      <c r="B45" s="329">
        <v>-21.832650000000001</v>
      </c>
      <c r="C45" s="157"/>
      <c r="D45" s="330">
        <v>642036</v>
      </c>
      <c r="E45" s="329">
        <v>-21.832650000000001</v>
      </c>
      <c r="F45" s="157"/>
      <c r="G45" s="330">
        <v>642036</v>
      </c>
      <c r="H45" s="329">
        <v>-21.832650000000001</v>
      </c>
      <c r="I45" s="157"/>
      <c r="J45" s="330">
        <v>642036</v>
      </c>
      <c r="K45" s="329">
        <v>-21.832650000000001</v>
      </c>
      <c r="L45" s="157"/>
      <c r="M45" s="360">
        <f t="shared" si="5"/>
        <v>642036</v>
      </c>
      <c r="N45" s="237">
        <f t="shared" si="6"/>
        <v>-21.832650000000001</v>
      </c>
      <c r="O45" s="361"/>
      <c r="P45" s="361"/>
      <c r="Q45" s="361" t="s">
        <v>698</v>
      </c>
      <c r="R45" s="362">
        <v>35</v>
      </c>
      <c r="S45" s="236"/>
      <c r="T45" s="364">
        <f t="shared" si="7"/>
        <v>642036</v>
      </c>
      <c r="U45" s="365">
        <f>N45</f>
        <v>-21.832650000000001</v>
      </c>
      <c r="V45" s="365">
        <f>IF($Q45="ekrk",IF($R45="data",IFERROR(INDEX(data!$A:$ALL,MATCH($M45,data!$A:$A,0),MATCH(V$2,data!$1:$1,0)),"#data"),IFERROR(U45*INDEX(indexy_SDcast!$A:$ALI,MATCH($R45,indexy_SDcast!$K:$K,0),MATCH(V$2,indexy_SDcast!$2:$2,0)),"#ekrk")),"#popis")</f>
        <v>-27.950860303585063</v>
      </c>
      <c r="W45" s="365">
        <f>IF($Q45="ekrk",IF($R45="data",IFERROR(INDEX(data!$A:$ALL,MATCH($M45,data!$A:$A,0),MATCH(W$2,data!$1:$1,0)),"#data"),IFERROR(V45*INDEX(indexy_SDcast!$A:$ALI,MATCH($R45,indexy_SDcast!$K:$K,0),MATCH(W$2,indexy_SDcast!$2:$2,0)),"#ekrk")),"#popis")</f>
        <v>-28.265064468228189</v>
      </c>
      <c r="X45" s="365">
        <f>IF($Q45="ekrk",IF($R45="data",IFERROR(INDEX(data!$A:$ALL,MATCH($M45,data!$A:$A,0),MATCH(X$2,data!$1:$1,0)),"#data"),IFERROR(W45*INDEX(indexy_SDcast!$A:$ALI,MATCH($R45,indexy_SDcast!$K:$K,0),MATCH(X$2,indexy_SDcast!$2:$2,0)),"#ekrk")),"#popis")</f>
        <v>-18.15538550484597</v>
      </c>
      <c r="Y45" s="362">
        <f>IF($Q45="ekrk",IF($R45="data",IFERROR(INDEX(data!$A:$ALL,MATCH($M45,data!$A:$A,0),MATCH(Y$2,data!$1:$1,0)),"#data"),IFERROR(X45*INDEX(indexy_SDcast!$A:$ALI,MATCH($R45,indexy_SDcast!$K:$K,0),MATCH(Y$2,indexy_SDcast!$2:$2,0)),"#ekrk")),"#popis")</f>
        <v>-24.561476325699605</v>
      </c>
    </row>
    <row r="46" spans="1:44" s="18" customFormat="1" x14ac:dyDescent="0.25">
      <c r="A46" s="333" t="s">
        <v>730</v>
      </c>
      <c r="B46" s="334">
        <v>-4.4101700000000008</v>
      </c>
      <c r="C46" s="164"/>
      <c r="D46" s="333" t="s">
        <v>730</v>
      </c>
      <c r="E46" s="334">
        <v>-4.4101700000000008</v>
      </c>
      <c r="F46" s="164"/>
      <c r="G46" s="333" t="s">
        <v>730</v>
      </c>
      <c r="H46" s="334">
        <v>-4.4101700000000008</v>
      </c>
      <c r="I46" s="164"/>
      <c r="J46" s="333" t="s">
        <v>730</v>
      </c>
      <c r="K46" s="334">
        <v>-4.4101700000000008</v>
      </c>
      <c r="L46" s="164"/>
      <c r="M46" s="358" t="str">
        <f t="shared" si="5"/>
        <v>D632PAY</v>
      </c>
      <c r="N46" s="239">
        <f t="shared" si="6"/>
        <v>-4.4101700000000008</v>
      </c>
      <c r="O46" s="243"/>
      <c r="P46" s="243">
        <f>MATCH(Q46,Q47:Q$1550,0)</f>
        <v>3</v>
      </c>
      <c r="Q46" s="243" t="s">
        <v>697</v>
      </c>
      <c r="R46" s="359" t="str">
        <f>IF(Q46="ekrk",INDEX(indexy_SDcast!$A:$C,MATCH($M46,indexy_SDcast!$A:$A,0),2),"")</f>
        <v/>
      </c>
      <c r="S46" s="240"/>
      <c r="T46" s="363" t="str">
        <f t="shared" si="7"/>
        <v>D632PAY</v>
      </c>
      <c r="U46" s="244">
        <f>SUM(U47:U48)</f>
        <v>-4.4101700000000008</v>
      </c>
      <c r="V46" s="244">
        <f>SUM(V47:V48)</f>
        <v>-5.6460413914509582</v>
      </c>
      <c r="W46" s="244">
        <f>SUM(W47:W48)</f>
        <v>-5.7095102686044035</v>
      </c>
      <c r="X46" s="244">
        <f>SUM(X47:X48)</f>
        <v>-3.6673668332477529</v>
      </c>
      <c r="Y46" s="359">
        <f>SUM(Y47:Y48)</f>
        <v>-4.9613897555867306</v>
      </c>
      <c r="Z46" s="58"/>
      <c r="AA46" s="58"/>
      <c r="AB46" s="58"/>
      <c r="AC46" s="58"/>
      <c r="AD46" s="58"/>
      <c r="AE46" s="58"/>
      <c r="AF46" s="58"/>
      <c r="AG46" s="58"/>
      <c r="AH46" s="58"/>
      <c r="AI46" s="58"/>
      <c r="AJ46" s="58"/>
      <c r="AK46" s="58"/>
      <c r="AL46" s="58"/>
      <c r="AM46" s="58"/>
      <c r="AN46" s="58"/>
      <c r="AO46" s="58"/>
      <c r="AP46" s="58"/>
      <c r="AQ46" s="58"/>
      <c r="AR46" s="58"/>
    </row>
    <row r="47" spans="1:44" x14ac:dyDescent="0.25">
      <c r="A47" s="330">
        <v>637016</v>
      </c>
      <c r="B47" s="329">
        <v>-0.21300000000000002</v>
      </c>
      <c r="C47" s="157"/>
      <c r="D47" s="330">
        <v>637016</v>
      </c>
      <c r="E47" s="329">
        <v>-0.21300000000000002</v>
      </c>
      <c r="F47" s="157"/>
      <c r="G47" s="330">
        <v>637016</v>
      </c>
      <c r="H47" s="329">
        <v>-0.21300000000000002</v>
      </c>
      <c r="I47" s="157"/>
      <c r="J47" s="330">
        <v>637016</v>
      </c>
      <c r="K47" s="329">
        <v>-0.21300000000000002</v>
      </c>
      <c r="L47" s="157"/>
      <c r="M47" s="360">
        <f t="shared" si="5"/>
        <v>637016</v>
      </c>
      <c r="N47" s="237">
        <f t="shared" si="6"/>
        <v>-0.21300000000000002</v>
      </c>
      <c r="O47" s="361"/>
      <c r="P47" s="361"/>
      <c r="Q47" s="361" t="s">
        <v>698</v>
      </c>
      <c r="R47" s="362">
        <v>35</v>
      </c>
      <c r="S47" s="236"/>
      <c r="T47" s="364">
        <f t="shared" si="7"/>
        <v>637016</v>
      </c>
      <c r="U47" s="365">
        <f>N47</f>
        <v>-0.21300000000000002</v>
      </c>
      <c r="V47" s="365">
        <f>IF($Q47="ekrk",IF($R47="data",IFERROR(INDEX(data!$A:$ALL,MATCH($M47,data!$A:$A,0),MATCH(V$2,data!$1:$1,0)),"#data"),IFERROR(U47*INDEX(indexy_SDcast!$A:$ALI,MATCH($R47,indexy_SDcast!$K:$K,0),MATCH(V$2,indexy_SDcast!$2:$2,0)),"#ekrk")),"#popis")</f>
        <v>-0.27268944652452265</v>
      </c>
      <c r="W47" s="365">
        <f>IF($Q47="ekrk",IF($R47="data",IFERROR(INDEX(data!$A:$ALL,MATCH($M47,data!$A:$A,0),MATCH(W$2,data!$1:$1,0)),"#data"),IFERROR(V47*INDEX(indexy_SDcast!$A:$ALI,MATCH($R47,indexy_SDcast!$K:$K,0),MATCH(W$2,indexy_SDcast!$2:$2,0)),"#ekrk")),"#popis")</f>
        <v>-0.2757548319481421</v>
      </c>
      <c r="X47" s="365">
        <f>IF($Q47="ekrk",IF($R47="data",IFERROR(INDEX(data!$A:$ALL,MATCH($M47,data!$A:$A,0),MATCH(X$2,data!$1:$1,0)),"#data"),IFERROR(W47*INDEX(indexy_SDcast!$A:$ALI,MATCH($R47,indexy_SDcast!$K:$K,0),MATCH(X$2,indexy_SDcast!$2:$2,0)),"#ekrk")),"#popis")</f>
        <v>-0.17712449531010627</v>
      </c>
      <c r="Y47" s="362">
        <f>IF($Q47="ekrk",IF($R47="data",IFERROR(INDEX(data!$A:$ALL,MATCH($M47,data!$A:$A,0),MATCH(Y$2,data!$1:$1,0)),"#data"),IFERROR(X47*INDEX(indexy_SDcast!$A:$ALI,MATCH($R47,indexy_SDcast!$K:$K,0),MATCH(Y$2,indexy_SDcast!$2:$2,0)),"#ekrk")),"#popis")</f>
        <v>-0.23962251295074194</v>
      </c>
    </row>
    <row r="48" spans="1:44" x14ac:dyDescent="0.25">
      <c r="A48" s="330">
        <v>642015</v>
      </c>
      <c r="B48" s="329">
        <v>-4.1971700000000007</v>
      </c>
      <c r="C48" s="157"/>
      <c r="D48" s="330">
        <v>642015</v>
      </c>
      <c r="E48" s="329">
        <v>-4.1971700000000007</v>
      </c>
      <c r="F48" s="157"/>
      <c r="G48" s="330">
        <v>642015</v>
      </c>
      <c r="H48" s="329">
        <v>-4.1971700000000007</v>
      </c>
      <c r="I48" s="157"/>
      <c r="J48" s="330">
        <v>642015</v>
      </c>
      <c r="K48" s="329">
        <v>-4.1971700000000007</v>
      </c>
      <c r="L48" s="157"/>
      <c r="M48" s="360">
        <f t="shared" si="5"/>
        <v>642015</v>
      </c>
      <c r="N48" s="237">
        <f t="shared" si="6"/>
        <v>-4.1971700000000007</v>
      </c>
      <c r="O48" s="361"/>
      <c r="P48" s="361"/>
      <c r="Q48" s="361" t="s">
        <v>698</v>
      </c>
      <c r="R48" s="362">
        <v>35</v>
      </c>
      <c r="S48" s="236"/>
      <c r="T48" s="364">
        <f t="shared" si="7"/>
        <v>642015</v>
      </c>
      <c r="U48" s="365">
        <f>N48</f>
        <v>-4.1971700000000007</v>
      </c>
      <c r="V48" s="365">
        <f>IF($Q48="ekrk",IF($R48="data",IFERROR(INDEX(data!$A:$ALL,MATCH($M48,data!$A:$A,0),MATCH(V$2,data!$1:$1,0)),"#data"),IFERROR(U48*INDEX(indexy_SDcast!$A:$ALI,MATCH($R48,indexy_SDcast!$K:$K,0),MATCH(V$2,indexy_SDcast!$2:$2,0)),"#ekrk")),"#popis")</f>
        <v>-5.3733519449264353</v>
      </c>
      <c r="W48" s="365">
        <f>IF($Q48="ekrk",IF($R48="data",IFERROR(INDEX(data!$A:$ALL,MATCH($M48,data!$A:$A,0),MATCH(W$2,data!$1:$1,0)),"#data"),IFERROR(V48*INDEX(indexy_SDcast!$A:$ALI,MATCH($R48,indexy_SDcast!$K:$K,0),MATCH(W$2,indexy_SDcast!$2:$2,0)),"#ekrk")),"#popis")</f>
        <v>-5.433755436656261</v>
      </c>
      <c r="X48" s="365">
        <f>IF($Q48="ekrk",IF($R48="data",IFERROR(INDEX(data!$A:$ALL,MATCH($M48,data!$A:$A,0),MATCH(X$2,data!$1:$1,0)),"#data"),IFERROR(W48*INDEX(indexy_SDcast!$A:$ALI,MATCH($R48,indexy_SDcast!$K:$K,0),MATCH(X$2,indexy_SDcast!$2:$2,0)),"#ekrk")),"#popis")</f>
        <v>-3.4902423379376466</v>
      </c>
      <c r="Y48" s="362">
        <f>IF($Q48="ekrk",IF($R48="data",IFERROR(INDEX(data!$A:$ALL,MATCH($M48,data!$A:$A,0),MATCH(Y$2,data!$1:$1,0)),"#data"),IFERROR(X48*INDEX(indexy_SDcast!$A:$ALI,MATCH($R48,indexy_SDcast!$K:$K,0),MATCH(Y$2,indexy_SDcast!$2:$2,0)),"#ekrk")),"#popis")</f>
        <v>-4.7217672426359885</v>
      </c>
    </row>
    <row r="49" spans="1:44" s="18" customFormat="1" x14ac:dyDescent="0.25">
      <c r="A49" s="333" t="s">
        <v>731</v>
      </c>
      <c r="B49" s="334">
        <v>-4.640290000000002</v>
      </c>
      <c r="C49" s="164"/>
      <c r="D49" s="333" t="s">
        <v>731</v>
      </c>
      <c r="E49" s="334">
        <v>-4.640290000000002</v>
      </c>
      <c r="F49" s="164"/>
      <c r="G49" s="333" t="s">
        <v>731</v>
      </c>
      <c r="H49" s="334">
        <v>-4.640290000000002</v>
      </c>
      <c r="I49" s="164"/>
      <c r="J49" s="333" t="s">
        <v>731</v>
      </c>
      <c r="K49" s="334">
        <v>-4.640290000000002</v>
      </c>
      <c r="L49" s="164"/>
      <c r="M49" s="358" t="str">
        <f t="shared" si="5"/>
        <v>D71PAY</v>
      </c>
      <c r="N49" s="239">
        <f t="shared" si="6"/>
        <v>-4.640290000000002</v>
      </c>
      <c r="O49" s="243"/>
      <c r="P49" s="243">
        <f>MATCH(Q49,Q50:Q$1550,0)</f>
        <v>3</v>
      </c>
      <c r="Q49" s="243" t="s">
        <v>697</v>
      </c>
      <c r="R49" s="359" t="str">
        <f>IF(Q49="ekrk",INDEX(indexy_SDcast!$A:$C,MATCH($M49,indexy_SDcast!$A:$A,0),2),"")</f>
        <v/>
      </c>
      <c r="S49" s="240"/>
      <c r="T49" s="363" t="str">
        <f t="shared" si="7"/>
        <v>D71PAY</v>
      </c>
      <c r="U49" s="244">
        <f>SUM(U50:U51)</f>
        <v>-4.640290000000002</v>
      </c>
      <c r="V49" s="244">
        <f>SUM(V50:V51)</f>
        <v>-5.9406484122689083</v>
      </c>
      <c r="W49" s="244">
        <f>SUM(W50:W51)</f>
        <v>-6.0074290569983324</v>
      </c>
      <c r="X49" s="244">
        <f>SUM(X50:X51)</f>
        <v>-3.8587278138147103</v>
      </c>
      <c r="Y49" s="359">
        <f>SUM(Y50:Y51)</f>
        <v>-5.2202720686394306</v>
      </c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  <c r="AK49" s="58"/>
      <c r="AL49" s="58"/>
      <c r="AM49" s="58"/>
      <c r="AN49" s="58"/>
      <c r="AO49" s="58"/>
      <c r="AP49" s="58"/>
      <c r="AQ49" s="58"/>
      <c r="AR49" s="58"/>
    </row>
    <row r="50" spans="1:44" x14ac:dyDescent="0.25">
      <c r="A50" s="330">
        <v>634003</v>
      </c>
      <c r="B50" s="329">
        <v>-0.31465000000000004</v>
      </c>
      <c r="C50" s="157"/>
      <c r="D50" s="330">
        <v>634003</v>
      </c>
      <c r="E50" s="329">
        <v>-0.31465000000000004</v>
      </c>
      <c r="F50" s="157"/>
      <c r="G50" s="330">
        <v>634003</v>
      </c>
      <c r="H50" s="329">
        <v>-0.31465000000000004</v>
      </c>
      <c r="I50" s="157"/>
      <c r="J50" s="330">
        <v>634003</v>
      </c>
      <c r="K50" s="329">
        <v>-0.31465000000000004</v>
      </c>
      <c r="L50" s="157"/>
      <c r="M50" s="360">
        <f t="shared" si="5"/>
        <v>634003</v>
      </c>
      <c r="N50" s="237">
        <f t="shared" si="6"/>
        <v>-0.31465000000000004</v>
      </c>
      <c r="O50" s="361"/>
      <c r="P50" s="361"/>
      <c r="Q50" s="361" t="s">
        <v>698</v>
      </c>
      <c r="R50" s="362">
        <v>35</v>
      </c>
      <c r="S50" s="236"/>
      <c r="T50" s="364">
        <f t="shared" si="7"/>
        <v>634003</v>
      </c>
      <c r="U50" s="365">
        <f>N50</f>
        <v>-0.31465000000000004</v>
      </c>
      <c r="V50" s="365">
        <f>IF($Q50="ekrk",IF($R50="data",IFERROR(INDEX(data!$A:$ALL,MATCH($M50,data!$A:$A,0),MATCH(V$2,data!$1:$1,0)),"#data"),IFERROR(U50*INDEX(indexy_SDcast!$A:$ALI,MATCH($R50,indexy_SDcast!$K:$K,0),MATCH(V$2,indexy_SDcast!$2:$2,0)),"#ekrk")),"#popis")</f>
        <v>-0.40282504389174201</v>
      </c>
      <c r="W50" s="365">
        <f>IF($Q50="ekrk",IF($R50="data",IFERROR(INDEX(data!$A:$ALL,MATCH($M50,data!$A:$A,0),MATCH(W$2,data!$1:$1,0)),"#data"),IFERROR(V50*INDEX(indexy_SDcast!$A:$ALI,MATCH($R50,indexy_SDcast!$K:$K,0),MATCH(W$2,indexy_SDcast!$2:$2,0)),"#ekrk")),"#popis")</f>
        <v>-0.40735332334499019</v>
      </c>
      <c r="X50" s="365">
        <f>IF($Q50="ekrk",IF($R50="data",IFERROR(INDEX(data!$A:$ALL,MATCH($M50,data!$A:$A,0),MATCH(X$2,data!$1:$1,0)),"#data"),IFERROR(W50*INDEX(indexy_SDcast!$A:$ALI,MATCH($R50,indexy_SDcast!$K:$K,0),MATCH(X$2,indexy_SDcast!$2:$2,0)),"#ekrk")),"#popis")</f>
        <v>-0.26165362652265228</v>
      </c>
      <c r="Y50" s="362">
        <f>IF($Q50="ekrk",IF($R50="data",IFERROR(INDEX(data!$A:$ALL,MATCH($M50,data!$A:$A,0),MATCH(Y$2,data!$1:$1,0)),"#data"),IFERROR(X50*INDEX(indexy_SDcast!$A:$ALI,MATCH($R50,indexy_SDcast!$K:$K,0),MATCH(Y$2,indexy_SDcast!$2:$2,0)),"#ekrk")),"#popis")</f>
        <v>-0.35397757605610775</v>
      </c>
    </row>
    <row r="51" spans="1:44" x14ac:dyDescent="0.25">
      <c r="A51" s="330">
        <v>637015</v>
      </c>
      <c r="B51" s="329">
        <v>-4.3256400000000017</v>
      </c>
      <c r="C51" s="157"/>
      <c r="D51" s="330">
        <v>637015</v>
      </c>
      <c r="E51" s="329">
        <v>-4.3256400000000017</v>
      </c>
      <c r="F51" s="157"/>
      <c r="G51" s="330">
        <v>637015</v>
      </c>
      <c r="H51" s="329">
        <v>-4.3256400000000017</v>
      </c>
      <c r="I51" s="157"/>
      <c r="J51" s="330">
        <v>637015</v>
      </c>
      <c r="K51" s="329">
        <v>-4.3256400000000017</v>
      </c>
      <c r="L51" s="157"/>
      <c r="M51" s="360">
        <f t="shared" si="5"/>
        <v>637015</v>
      </c>
      <c r="N51" s="237">
        <f t="shared" si="6"/>
        <v>-4.3256400000000017</v>
      </c>
      <c r="O51" s="361"/>
      <c r="P51" s="361"/>
      <c r="Q51" s="361" t="s">
        <v>698</v>
      </c>
      <c r="R51" s="362">
        <v>35</v>
      </c>
      <c r="S51" s="236"/>
      <c r="T51" s="364">
        <f t="shared" si="7"/>
        <v>637015</v>
      </c>
      <c r="U51" s="365">
        <f>N51</f>
        <v>-4.3256400000000017</v>
      </c>
      <c r="V51" s="365">
        <f>IF($Q51="ekrk",IF($R51="data",IFERROR(INDEX(data!$A:$ALL,MATCH($M51,data!$A:$A,0),MATCH(V$2,data!$1:$1,0)),"#data"),IFERROR(U51*INDEX(indexy_SDcast!$A:$ALI,MATCH($R51,indexy_SDcast!$K:$K,0),MATCH(V$2,indexy_SDcast!$2:$2,0)),"#ekrk")),"#popis")</f>
        <v>-5.5378233683771665</v>
      </c>
      <c r="W51" s="365">
        <f>IF($Q51="ekrk",IF($R51="data",IFERROR(INDEX(data!$A:$ALL,MATCH($M51,data!$A:$A,0),MATCH(W$2,data!$1:$1,0)),"#data"),IFERROR(V51*INDEX(indexy_SDcast!$A:$ALI,MATCH($R51,indexy_SDcast!$K:$K,0),MATCH(W$2,indexy_SDcast!$2:$2,0)),"#ekrk")),"#popis")</f>
        <v>-5.600075733653342</v>
      </c>
      <c r="X51" s="365">
        <f>IF($Q51="ekrk",IF($R51="data",IFERROR(INDEX(data!$A:$ALL,MATCH($M51,data!$A:$A,0),MATCH(X$2,data!$1:$1,0)),"#data"),IFERROR(W51*INDEX(indexy_SDcast!$A:$ALI,MATCH($R51,indexy_SDcast!$K:$K,0),MATCH(X$2,indexy_SDcast!$2:$2,0)),"#ekrk")),"#popis")</f>
        <v>-3.597074187292058</v>
      </c>
      <c r="Y51" s="362">
        <f>IF($Q51="ekrk",IF($R51="data",IFERROR(INDEX(data!$A:$ALL,MATCH($M51,data!$A:$A,0),MATCH(Y$2,data!$1:$1,0)),"#data"),IFERROR(X51*INDEX(indexy_SDcast!$A:$ALI,MATCH($R51,indexy_SDcast!$K:$K,0),MATCH(Y$2,indexy_SDcast!$2:$2,0)),"#ekrk")),"#popis")</f>
        <v>-4.8662944925833225</v>
      </c>
    </row>
    <row r="52" spans="1:44" s="18" customFormat="1" x14ac:dyDescent="0.25">
      <c r="A52" s="333" t="s">
        <v>736</v>
      </c>
      <c r="B52" s="334">
        <v>-438.24635999999998</v>
      </c>
      <c r="C52" s="164"/>
      <c r="D52" s="333" t="s">
        <v>736</v>
      </c>
      <c r="E52" s="334">
        <v>-438.24635999999998</v>
      </c>
      <c r="F52" s="164"/>
      <c r="G52" s="333" t="s">
        <v>736</v>
      </c>
      <c r="H52" s="334">
        <v>-438.24635999999998</v>
      </c>
      <c r="I52" s="164"/>
      <c r="J52" s="333" t="s">
        <v>736</v>
      </c>
      <c r="K52" s="334">
        <v>-438.24635999999998</v>
      </c>
      <c r="L52" s="164"/>
      <c r="M52" s="358" t="str">
        <f t="shared" si="5"/>
        <v>D75PAY</v>
      </c>
      <c r="N52" s="239">
        <f t="shared" si="6"/>
        <v>-438.24635999999998</v>
      </c>
      <c r="O52" s="243"/>
      <c r="P52" s="243">
        <f>MATCH(Q52,Q53:Q$1550,0)</f>
        <v>8</v>
      </c>
      <c r="Q52" s="243" t="s">
        <v>697</v>
      </c>
      <c r="R52" s="359" t="str">
        <f>IF(Q52="ekrk",INDEX(indexy_SDcast!$A:$C,MATCH($M52,indexy_SDcast!$A:$A,0),2),"")</f>
        <v/>
      </c>
      <c r="S52" s="240"/>
      <c r="T52" s="363" t="str">
        <f t="shared" si="7"/>
        <v>D75PAY</v>
      </c>
      <c r="U52" s="244">
        <f>SUM(U53:U59)</f>
        <v>-438.24635999999998</v>
      </c>
      <c r="V52" s="244">
        <f>SUM(V53:V59)</f>
        <v>-561.05707675956182</v>
      </c>
      <c r="W52" s="244">
        <f>SUM(W53:W59)</f>
        <v>-567.36409086237074</v>
      </c>
      <c r="X52" s="244">
        <f>SUM(X53:X59)</f>
        <v>-364.43270111028698</v>
      </c>
      <c r="Y52" s="359">
        <f>SUM(Y53:Y59)</f>
        <v>-493.02203790946243</v>
      </c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</row>
    <row r="53" spans="1:44" x14ac:dyDescent="0.25">
      <c r="A53" s="330">
        <v>637034</v>
      </c>
      <c r="B53" s="329">
        <v>-2.5499999999999997E-3</v>
      </c>
      <c r="C53" s="157"/>
      <c r="D53" s="330">
        <v>637034</v>
      </c>
      <c r="E53" s="329">
        <v>-2.5499999999999997E-3</v>
      </c>
      <c r="F53" s="157"/>
      <c r="G53" s="330">
        <v>637034</v>
      </c>
      <c r="H53" s="329">
        <v>-2.5499999999999997E-3</v>
      </c>
      <c r="I53" s="157"/>
      <c r="J53" s="330">
        <v>637034</v>
      </c>
      <c r="K53" s="329">
        <v>-2.5499999999999997E-3</v>
      </c>
      <c r="L53" s="157"/>
      <c r="M53" s="360">
        <f t="shared" si="5"/>
        <v>637034</v>
      </c>
      <c r="N53" s="237">
        <f t="shared" si="6"/>
        <v>-2.5499999999999997E-3</v>
      </c>
      <c r="O53" s="361"/>
      <c r="P53" s="361"/>
      <c r="Q53" s="361" t="s">
        <v>698</v>
      </c>
      <c r="R53" s="362">
        <v>35</v>
      </c>
      <c r="S53" s="236"/>
      <c r="T53" s="364">
        <f t="shared" si="7"/>
        <v>637034</v>
      </c>
      <c r="U53" s="365">
        <f t="shared" ref="U53:U59" si="8">N53</f>
        <v>-2.5499999999999997E-3</v>
      </c>
      <c r="V53" s="365">
        <f>IF($Q53="ekrk",IF($R53="data",IFERROR(INDEX(data!$A:$ALL,MATCH($M53,data!$A:$A,0),MATCH(V$2,data!$1:$1,0)),"#data"),IFERROR(U53*INDEX(indexy_SDcast!$A:$ALI,MATCH($R53,indexy_SDcast!$K:$K,0),MATCH(V$2,indexy_SDcast!$2:$2,0)),"#ekrk")),"#popis")</f>
        <v>-3.264591965434425E-3</v>
      </c>
      <c r="W53" s="365">
        <f>IF($Q53="ekrk",IF($R53="data",IFERROR(INDEX(data!$A:$ALL,MATCH($M53,data!$A:$A,0),MATCH(W$2,data!$1:$1,0)),"#data"),IFERROR(V53*INDEX(indexy_SDcast!$A:$ALI,MATCH($R53,indexy_SDcast!$K:$K,0),MATCH(W$2,indexy_SDcast!$2:$2,0)),"#ekrk")),"#popis")</f>
        <v>-3.3012902416326862E-3</v>
      </c>
      <c r="X53" s="365">
        <f>IF($Q53="ekrk",IF($R53="data",IFERROR(INDEX(data!$A:$ALL,MATCH($M53,data!$A:$A,0),MATCH(X$2,data!$1:$1,0)),"#data"),IFERROR(W53*INDEX(indexy_SDcast!$A:$ALI,MATCH($R53,indexy_SDcast!$K:$K,0),MATCH(X$2,indexy_SDcast!$2:$2,0)),"#ekrk")),"#popis")</f>
        <v>-2.1205045213181731E-3</v>
      </c>
      <c r="Y53" s="362">
        <f>IF($Q53="ekrk",IF($R53="data",IFERROR(INDEX(data!$A:$ALL,MATCH($M53,data!$A:$A,0),MATCH(Y$2,data!$1:$1,0)),"#data"),IFERROR(X53*INDEX(indexy_SDcast!$A:$ALI,MATCH($R53,indexy_SDcast!$K:$K,0),MATCH(Y$2,indexy_SDcast!$2:$2,0)),"#ekrk")),"#popis")</f>
        <v>-2.8687202254666284E-3</v>
      </c>
    </row>
    <row r="54" spans="1:44" x14ac:dyDescent="0.25">
      <c r="A54" s="330">
        <v>642001</v>
      </c>
      <c r="B54" s="329">
        <v>-19.663640000000001</v>
      </c>
      <c r="C54" s="157"/>
      <c r="D54" s="330">
        <v>642001</v>
      </c>
      <c r="E54" s="329">
        <v>-19.663640000000001</v>
      </c>
      <c r="F54" s="157"/>
      <c r="G54" s="330">
        <v>642001</v>
      </c>
      <c r="H54" s="329">
        <v>-19.663640000000001</v>
      </c>
      <c r="I54" s="157"/>
      <c r="J54" s="330">
        <v>642001</v>
      </c>
      <c r="K54" s="329">
        <v>-19.663640000000001</v>
      </c>
      <c r="L54" s="157"/>
      <c r="M54" s="360">
        <f t="shared" si="5"/>
        <v>642001</v>
      </c>
      <c r="N54" s="237">
        <f t="shared" si="6"/>
        <v>-19.663640000000001</v>
      </c>
      <c r="O54" s="361"/>
      <c r="P54" s="361"/>
      <c r="Q54" s="361" t="s">
        <v>698</v>
      </c>
      <c r="R54" s="362">
        <v>35</v>
      </c>
      <c r="S54" s="236"/>
      <c r="T54" s="364">
        <f t="shared" si="7"/>
        <v>642001</v>
      </c>
      <c r="U54" s="365">
        <f t="shared" si="8"/>
        <v>-19.663640000000001</v>
      </c>
      <c r="V54" s="365">
        <f>IF($Q54="ekrk",IF($R54="data",IFERROR(INDEX(data!$A:$ALL,MATCH($M54,data!$A:$A,0),MATCH(V$2,data!$1:$1,0)),"#data"),IFERROR(U54*INDEX(indexy_SDcast!$A:$ALI,MATCH($R54,indexy_SDcast!$K:$K,0),MATCH(V$2,indexy_SDcast!$2:$2,0)),"#ekrk")),"#popis")</f>
        <v>-25.174023982429407</v>
      </c>
      <c r="W54" s="365">
        <f>IF($Q54="ekrk",IF($R54="data",IFERROR(INDEX(data!$A:$ALL,MATCH($M54,data!$A:$A,0),MATCH(W$2,data!$1:$1,0)),"#data"),IFERROR(V54*INDEX(indexy_SDcast!$A:$ALI,MATCH($R54,indexy_SDcast!$K:$K,0),MATCH(W$2,indexy_SDcast!$2:$2,0)),"#ekrk")),"#popis")</f>
        <v>-25.457012881167909</v>
      </c>
      <c r="X54" s="365">
        <f>IF($Q54="ekrk",IF($R54="data",IFERROR(INDEX(data!$A:$ALL,MATCH($M54,data!$A:$A,0),MATCH(X$2,data!$1:$1,0)),"#data"),IFERROR(W54*INDEX(indexy_SDcast!$A:$ALI,MATCH($R54,indexy_SDcast!$K:$K,0),MATCH(X$2,indexy_SDcast!$2:$2,0)),"#ekrk")),"#popis")</f>
        <v>-16.351700990420742</v>
      </c>
      <c r="Y54" s="362">
        <f>IF($Q54="ekrk",IF($R54="data",IFERROR(INDEX(data!$A:$ALL,MATCH($M54,data!$A:$A,0),MATCH(Y$2,data!$1:$1,0)),"#data"),IFERROR(X54*INDEX(indexy_SDcast!$A:$ALI,MATCH($R54,indexy_SDcast!$K:$K,0),MATCH(Y$2,indexy_SDcast!$2:$2,0)),"#ekrk")),"#popis")</f>
        <v>-22.121365401684166</v>
      </c>
    </row>
    <row r="55" spans="1:44" x14ac:dyDescent="0.25">
      <c r="A55" s="330">
        <v>642002</v>
      </c>
      <c r="B55" s="329">
        <v>-25.831389999999999</v>
      </c>
      <c r="C55" s="157"/>
      <c r="D55" s="330">
        <v>642002</v>
      </c>
      <c r="E55" s="329">
        <v>-25.831389999999999</v>
      </c>
      <c r="F55" s="157"/>
      <c r="G55" s="330">
        <v>642002</v>
      </c>
      <c r="H55" s="329">
        <v>-25.831389999999999</v>
      </c>
      <c r="I55" s="157"/>
      <c r="J55" s="330">
        <v>642002</v>
      </c>
      <c r="K55" s="329">
        <v>-25.831389999999999</v>
      </c>
      <c r="L55" s="157"/>
      <c r="M55" s="360">
        <f t="shared" si="5"/>
        <v>642002</v>
      </c>
      <c r="N55" s="237">
        <f t="shared" si="6"/>
        <v>-25.831389999999999</v>
      </c>
      <c r="O55" s="361"/>
      <c r="P55" s="361"/>
      <c r="Q55" s="361" t="s">
        <v>698</v>
      </c>
      <c r="R55" s="362">
        <v>35</v>
      </c>
      <c r="S55" s="236"/>
      <c r="T55" s="364">
        <f t="shared" si="7"/>
        <v>642002</v>
      </c>
      <c r="U55" s="365">
        <f t="shared" si="8"/>
        <v>-25.831389999999999</v>
      </c>
      <c r="V55" s="365">
        <f>IF($Q55="ekrk",IF($R55="data",IFERROR(INDEX(data!$A:$ALL,MATCH($M55,data!$A:$A,0),MATCH(V$2,data!$1:$1,0)),"#data"),IFERROR(U55*INDEX(indexy_SDcast!$A:$ALI,MATCH($R55,indexy_SDcast!$K:$K,0),MATCH(V$2,indexy_SDcast!$2:$2,0)),"#ekrk")),"#popis")</f>
        <v>-33.070175784314962</v>
      </c>
      <c r="W55" s="365">
        <f>IF($Q55="ekrk",IF($R55="data",IFERROR(INDEX(data!$A:$ALL,MATCH($M55,data!$A:$A,0),MATCH(W$2,data!$1:$1,0)),"#data"),IFERROR(V55*INDEX(indexy_SDcast!$A:$ALI,MATCH($R55,indexy_SDcast!$K:$K,0),MATCH(W$2,indexy_SDcast!$2:$2,0)),"#ekrk")),"#popis")</f>
        <v>-33.441927739140453</v>
      </c>
      <c r="X55" s="365">
        <f>IF($Q55="ekrk",IF($R55="data",IFERROR(INDEX(data!$A:$ALL,MATCH($M55,data!$A:$A,0),MATCH(X$2,data!$1:$1,0)),"#data"),IFERROR(W55*INDEX(indexy_SDcast!$A:$ALI,MATCH($R55,indexy_SDcast!$K:$K,0),MATCH(X$2,indexy_SDcast!$2:$2,0)),"#ekrk")),"#popis")</f>
        <v>-21.480619328209038</v>
      </c>
      <c r="Y55" s="362">
        <f>IF($Q55="ekrk",IF($R55="data",IFERROR(INDEX(data!$A:$ALL,MATCH($M55,data!$A:$A,0),MATCH(Y$2,data!$1:$1,0)),"#data"),IFERROR(X55*INDEX(indexy_SDcast!$A:$ALI,MATCH($R55,indexy_SDcast!$K:$K,0),MATCH(Y$2,indexy_SDcast!$2:$2,0)),"#ekrk")),"#popis")</f>
        <v>-29.060012135261335</v>
      </c>
    </row>
    <row r="56" spans="1:44" x14ac:dyDescent="0.25">
      <c r="A56" s="330">
        <v>642004</v>
      </c>
      <c r="B56" s="329">
        <v>-74.802359999999993</v>
      </c>
      <c r="C56" s="157"/>
      <c r="D56" s="330">
        <v>642004</v>
      </c>
      <c r="E56" s="329">
        <v>-74.802359999999993</v>
      </c>
      <c r="F56" s="157"/>
      <c r="G56" s="330">
        <v>642004</v>
      </c>
      <c r="H56" s="329">
        <v>-74.802359999999993</v>
      </c>
      <c r="I56" s="157"/>
      <c r="J56" s="330">
        <v>642004</v>
      </c>
      <c r="K56" s="329">
        <v>-74.802359999999993</v>
      </c>
      <c r="L56" s="157"/>
      <c r="M56" s="360">
        <f t="shared" si="5"/>
        <v>642004</v>
      </c>
      <c r="N56" s="237">
        <f t="shared" si="6"/>
        <v>-74.802359999999993</v>
      </c>
      <c r="O56" s="361"/>
      <c r="P56" s="361"/>
      <c r="Q56" s="361" t="s">
        <v>698</v>
      </c>
      <c r="R56" s="362">
        <v>35</v>
      </c>
      <c r="S56" s="236"/>
      <c r="T56" s="364">
        <f t="shared" si="7"/>
        <v>642004</v>
      </c>
      <c r="U56" s="365">
        <f t="shared" si="8"/>
        <v>-74.802359999999993</v>
      </c>
      <c r="V56" s="365">
        <f>IF($Q56="ekrk",IF($R56="data",IFERROR(INDEX(data!$A:$ALL,MATCH($M56,data!$A:$A,0),MATCH(V$2,data!$1:$1,0)),"#data"),IFERROR(U56*INDEX(indexy_SDcast!$A:$ALI,MATCH($R56,indexy_SDcast!$K:$K,0),MATCH(V$2,indexy_SDcast!$2:$2,0)),"#ekrk")),"#popis")</f>
        <v>-95.764385667268016</v>
      </c>
      <c r="W56" s="365">
        <f>IF($Q56="ekrk",IF($R56="data",IFERROR(INDEX(data!$A:$ALL,MATCH($M56,data!$A:$A,0),MATCH(W$2,data!$1:$1,0)),"#data"),IFERROR(V56*INDEX(indexy_SDcast!$A:$ALI,MATCH($R56,indexy_SDcast!$K:$K,0),MATCH(W$2,indexy_SDcast!$2:$2,0)),"#ekrk")),"#popis")</f>
        <v>-96.840902399645188</v>
      </c>
      <c r="X56" s="365">
        <f>IF($Q56="ekrk",IF($R56="data",IFERROR(INDEX(data!$A:$ALL,MATCH($M56,data!$A:$A,0),MATCH(X$2,data!$1:$1,0)),"#data"),IFERROR(W56*INDEX(indexy_SDcast!$A:$ALI,MATCH($R56,indexy_SDcast!$K:$K,0),MATCH(X$2,indexy_SDcast!$2:$2,0)),"#ekrk")),"#popis")</f>
        <v>-62.203428464811644</v>
      </c>
      <c r="Y56" s="362">
        <f>IF($Q56="ekrk",IF($R56="data",IFERROR(INDEX(data!$A:$ALL,MATCH($M56,data!$A:$A,0),MATCH(Y$2,data!$1:$1,0)),"#data"),IFERROR(X56*INDEX(indexy_SDcast!$A:$ALI,MATCH($R56,indexy_SDcast!$K:$K,0),MATCH(Y$2,indexy_SDcast!$2:$2,0)),"#ekrk")),"#popis")</f>
        <v>-84.151781586131733</v>
      </c>
    </row>
    <row r="57" spans="1:44" x14ac:dyDescent="0.25">
      <c r="A57" s="330">
        <v>642005</v>
      </c>
      <c r="B57" s="329">
        <v>-241.58538000000001</v>
      </c>
      <c r="C57" s="157"/>
      <c r="D57" s="330">
        <v>642005</v>
      </c>
      <c r="E57" s="329">
        <v>-241.58538000000001</v>
      </c>
      <c r="F57" s="157"/>
      <c r="G57" s="330">
        <v>642005</v>
      </c>
      <c r="H57" s="329">
        <v>-241.58538000000001</v>
      </c>
      <c r="I57" s="157"/>
      <c r="J57" s="330">
        <v>642005</v>
      </c>
      <c r="K57" s="329">
        <v>-241.58538000000001</v>
      </c>
      <c r="L57" s="157"/>
      <c r="M57" s="360">
        <f t="shared" si="5"/>
        <v>642005</v>
      </c>
      <c r="N57" s="237">
        <f t="shared" si="6"/>
        <v>-241.58538000000001</v>
      </c>
      <c r="O57" s="361"/>
      <c r="P57" s="361"/>
      <c r="Q57" s="361" t="s">
        <v>698</v>
      </c>
      <c r="R57" s="362">
        <v>35</v>
      </c>
      <c r="S57" s="236"/>
      <c r="T57" s="364">
        <f t="shared" si="7"/>
        <v>642005</v>
      </c>
      <c r="U57" s="365">
        <f t="shared" si="8"/>
        <v>-241.58538000000001</v>
      </c>
      <c r="V57" s="365">
        <f>IF($Q57="ekrk",IF($R57="data",IFERROR(INDEX(data!$A:$ALL,MATCH($M57,data!$A:$A,0),MATCH(V$2,data!$1:$1,0)),"#data"),IFERROR(U57*INDEX(indexy_SDcast!$A:$ALI,MATCH($R57,indexy_SDcast!$K:$K,0),MATCH(V$2,indexy_SDcast!$2:$2,0)),"#ekrk")),"#popis")</f>
        <v>-309.2853688291853</v>
      </c>
      <c r="W57" s="365">
        <f>IF($Q57="ekrk",IF($R57="data",IFERROR(INDEX(data!$A:$ALL,MATCH($M57,data!$A:$A,0),MATCH(W$2,data!$1:$1,0)),"#data"),IFERROR(V57*INDEX(indexy_SDcast!$A:$ALI,MATCH($R57,indexy_SDcast!$K:$K,0),MATCH(W$2,indexy_SDcast!$2:$2,0)),"#ekrk")),"#popis")</f>
        <v>-312.76214020200956</v>
      </c>
      <c r="X57" s="365">
        <f>IF($Q57="ekrk",IF($R57="data",IFERROR(INDEX(data!$A:$ALL,MATCH($M57,data!$A:$A,0),MATCH(X$2,data!$1:$1,0)),"#data"),IFERROR(W57*INDEX(indexy_SDcast!$A:$ALI,MATCH($R57,indexy_SDcast!$K:$K,0),MATCH(X$2,indexy_SDcast!$2:$2,0)),"#ekrk")),"#popis")</f>
        <v>-200.89525120563491</v>
      </c>
      <c r="Y57" s="362">
        <f>IF($Q57="ekrk",IF($R57="data",IFERROR(INDEX(data!$A:$ALL,MATCH($M57,data!$A:$A,0),MATCH(Y$2,data!$1:$1,0)),"#data"),IFERROR(X57*INDEX(indexy_SDcast!$A:$ALI,MATCH($R57,indexy_SDcast!$K:$K,0),MATCH(Y$2,indexy_SDcast!$2:$2,0)),"#ekrk")),"#popis")</f>
        <v>-271.78073167962395</v>
      </c>
    </row>
    <row r="58" spans="1:44" x14ac:dyDescent="0.25">
      <c r="A58" s="330">
        <v>642007</v>
      </c>
      <c r="B58" s="329">
        <v>-0.35176999999999997</v>
      </c>
      <c r="C58" s="157"/>
      <c r="D58" s="330">
        <v>642007</v>
      </c>
      <c r="E58" s="329">
        <v>-0.35176999999999997</v>
      </c>
      <c r="F58" s="157"/>
      <c r="G58" s="330">
        <v>642007</v>
      </c>
      <c r="H58" s="329">
        <v>-0.35176999999999997</v>
      </c>
      <c r="I58" s="157"/>
      <c r="J58" s="330">
        <v>642007</v>
      </c>
      <c r="K58" s="329">
        <v>-0.35176999999999997</v>
      </c>
      <c r="L58" s="157"/>
      <c r="M58" s="360">
        <f t="shared" si="5"/>
        <v>642007</v>
      </c>
      <c r="N58" s="237">
        <f t="shared" si="6"/>
        <v>-0.35176999999999997</v>
      </c>
      <c r="O58" s="361"/>
      <c r="P58" s="361"/>
      <c r="Q58" s="361" t="s">
        <v>698</v>
      </c>
      <c r="R58" s="362">
        <v>35</v>
      </c>
      <c r="S58" s="236"/>
      <c r="T58" s="364">
        <f t="shared" si="7"/>
        <v>642007</v>
      </c>
      <c r="U58" s="365">
        <f t="shared" si="8"/>
        <v>-0.35176999999999997</v>
      </c>
      <c r="V58" s="365">
        <f>IF($Q58="ekrk",IF($R58="data",IFERROR(INDEX(data!$A:$ALL,MATCH($M58,data!$A:$A,0),MATCH(V$2,data!$1:$1,0)),"#data"),IFERROR(U58*INDEX(indexy_SDcast!$A:$ALI,MATCH($R58,indexy_SDcast!$K:$K,0),MATCH(V$2,indexy_SDcast!$2:$2,0)),"#ekrk")),"#popis")</f>
        <v>-0.45034726105132067</v>
      </c>
      <c r="W58" s="365">
        <f>IF($Q58="ekrk",IF($R58="data",IFERROR(INDEX(data!$A:$ALL,MATCH($M58,data!$A:$A,0),MATCH(W$2,data!$1:$1,0)),"#data"),IFERROR(V58*INDEX(indexy_SDcast!$A:$ALI,MATCH($R58,indexy_SDcast!$K:$K,0),MATCH(W$2,indexy_SDcast!$2:$2,0)),"#ekrk")),"#popis")</f>
        <v>-0.45540975227416863</v>
      </c>
      <c r="X58" s="365">
        <f>IF($Q58="ekrk",IF($R58="data",IFERROR(INDEX(data!$A:$ALL,MATCH($M58,data!$A:$A,0),MATCH(X$2,data!$1:$1,0)),"#data"),IFERROR(W58*INDEX(indexy_SDcast!$A:$ALI,MATCH($R58,indexy_SDcast!$K:$K,0),MATCH(X$2,indexy_SDcast!$2:$2,0)),"#ekrk")),"#popis")</f>
        <v>-0.2925215197898407</v>
      </c>
      <c r="Y58" s="362">
        <f>IF($Q58="ekrk",IF($R58="data",IFERROR(INDEX(data!$A:$ALL,MATCH($M58,data!$A:$A,0),MATCH(Y$2,data!$1:$1,0)),"#data"),IFERROR(X58*INDEX(indexy_SDcast!$A:$ALI,MATCH($R58,indexy_SDcast!$K:$K,0),MATCH(Y$2,indexy_SDcast!$2:$2,0)),"#ekrk")),"#popis")</f>
        <v>-0.39573714263231208</v>
      </c>
    </row>
    <row r="59" spans="1:44" x14ac:dyDescent="0.25">
      <c r="A59" s="330">
        <v>642009</v>
      </c>
      <c r="B59" s="329">
        <v>-76.009269999999987</v>
      </c>
      <c r="C59" s="157"/>
      <c r="D59" s="330">
        <v>642009</v>
      </c>
      <c r="E59" s="329">
        <v>-76.009269999999987</v>
      </c>
      <c r="F59" s="157"/>
      <c r="G59" s="330">
        <v>642009</v>
      </c>
      <c r="H59" s="329">
        <v>-76.009269999999987</v>
      </c>
      <c r="I59" s="157"/>
      <c r="J59" s="330">
        <v>642009</v>
      </c>
      <c r="K59" s="329">
        <v>-76.009269999999987</v>
      </c>
      <c r="L59" s="157"/>
      <c r="M59" s="360">
        <f t="shared" si="5"/>
        <v>642009</v>
      </c>
      <c r="N59" s="237">
        <f t="shared" si="6"/>
        <v>-76.009269999999987</v>
      </c>
      <c r="O59" s="361"/>
      <c r="P59" s="361"/>
      <c r="Q59" s="361" t="s">
        <v>698</v>
      </c>
      <c r="R59" s="362">
        <v>35</v>
      </c>
      <c r="S59" s="236"/>
      <c r="T59" s="364">
        <f t="shared" si="7"/>
        <v>642009</v>
      </c>
      <c r="U59" s="365">
        <f t="shared" si="8"/>
        <v>-76.009269999999987</v>
      </c>
      <c r="V59" s="365">
        <f>IF($Q59="ekrk",IF($R59="data",IFERROR(INDEX(data!$A:$ALL,MATCH($M59,data!$A:$A,0),MATCH(V$2,data!$1:$1,0)),"#data"),IFERROR(U59*INDEX(indexy_SDcast!$A:$ALI,MATCH($R59,indexy_SDcast!$K:$K,0),MATCH(V$2,indexy_SDcast!$2:$2,0)),"#ekrk")),"#popis")</f>
        <v>-97.309510643347394</v>
      </c>
      <c r="W59" s="365">
        <f>IF($Q59="ekrk",IF($R59="data",IFERROR(INDEX(data!$A:$ALL,MATCH($M59,data!$A:$A,0),MATCH(W$2,data!$1:$1,0)),"#data"),IFERROR(V59*INDEX(indexy_SDcast!$A:$ALI,MATCH($R59,indexy_SDcast!$K:$K,0),MATCH(W$2,indexy_SDcast!$2:$2,0)),"#ekrk")),"#popis")</f>
        <v>-98.403396597891799</v>
      </c>
      <c r="X59" s="365">
        <f>IF($Q59="ekrk",IF($R59="data",IFERROR(INDEX(data!$A:$ALL,MATCH($M59,data!$A:$A,0),MATCH(X$2,data!$1:$1,0)),"#data"),IFERROR(W59*INDEX(indexy_SDcast!$A:$ALI,MATCH($R59,indexy_SDcast!$K:$K,0),MATCH(X$2,indexy_SDcast!$2:$2,0)),"#ekrk")),"#popis")</f>
        <v>-63.207059096899521</v>
      </c>
      <c r="Y59" s="362">
        <f>IF($Q59="ekrk",IF($R59="data",IFERROR(INDEX(data!$A:$ALL,MATCH($M59,data!$A:$A,0),MATCH(Y$2,data!$1:$1,0)),"#data"),IFERROR(X59*INDEX(indexy_SDcast!$A:$ALI,MATCH($R59,indexy_SDcast!$K:$K,0),MATCH(Y$2,indexy_SDcast!$2:$2,0)),"#ekrk")),"#popis")</f>
        <v>-85.509541243903456</v>
      </c>
    </row>
    <row r="60" spans="1:44" s="18" customFormat="1" x14ac:dyDescent="0.25">
      <c r="A60" s="333" t="s">
        <v>741</v>
      </c>
      <c r="B60" s="334">
        <v>-6.1461199999999998</v>
      </c>
      <c r="C60" s="164"/>
      <c r="D60" s="333" t="s">
        <v>741</v>
      </c>
      <c r="E60" s="334">
        <v>-6.1461199999999998</v>
      </c>
      <c r="F60" s="164"/>
      <c r="G60" s="333" t="s">
        <v>741</v>
      </c>
      <c r="H60" s="334">
        <v>-6.1461199999999998</v>
      </c>
      <c r="I60" s="164"/>
      <c r="J60" s="333" t="s">
        <v>741</v>
      </c>
      <c r="K60" s="334">
        <v>-6.1461199999999998</v>
      </c>
      <c r="L60" s="164"/>
      <c r="M60" s="358" t="str">
        <f t="shared" si="5"/>
        <v>D92PAY</v>
      </c>
      <c r="N60" s="239">
        <f t="shared" si="6"/>
        <v>-6.1461199999999998</v>
      </c>
      <c r="O60" s="243"/>
      <c r="P60" s="243">
        <f>MATCH(Q60,Q61:Q$1550,0)</f>
        <v>2</v>
      </c>
      <c r="Q60" s="243" t="s">
        <v>697</v>
      </c>
      <c r="R60" s="359" t="str">
        <f>IF(Q60="ekrk",INDEX(indexy_SDcast!$A:$C,MATCH($M60,indexy_SDcast!$A:$A,0),2),"")</f>
        <v/>
      </c>
      <c r="S60" s="240"/>
      <c r="T60" s="363" t="str">
        <f t="shared" si="7"/>
        <v>D92PAY</v>
      </c>
      <c r="U60" s="244">
        <f>SUM(U61:U61)</f>
        <v>-6.1461199999999998</v>
      </c>
      <c r="V60" s="244">
        <f>SUM(V61:V61)</f>
        <v>-7.868460380625816</v>
      </c>
      <c r="W60" s="244">
        <f>SUM(W61:W61)</f>
        <v>-7.9569121489817602</v>
      </c>
      <c r="X60" s="244">
        <f>SUM(X61:X61)</f>
        <v>-5.1109314700251183</v>
      </c>
      <c r="Y60" s="359">
        <f>SUM(Y61:Y61)</f>
        <v>-6.9143132361352766</v>
      </c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</row>
    <row r="61" spans="1:44" x14ac:dyDescent="0.25">
      <c r="A61" s="330">
        <v>722003</v>
      </c>
      <c r="B61" s="329">
        <v>-6.1461199999999998</v>
      </c>
      <c r="C61" s="157"/>
      <c r="D61" s="330">
        <v>722003</v>
      </c>
      <c r="E61" s="329">
        <v>-6.1461199999999998</v>
      </c>
      <c r="F61" s="157"/>
      <c r="G61" s="330">
        <v>722003</v>
      </c>
      <c r="H61" s="329">
        <v>-6.1461199999999998</v>
      </c>
      <c r="I61" s="157"/>
      <c r="J61" s="330">
        <v>722003</v>
      </c>
      <c r="K61" s="329">
        <v>-6.1461199999999998</v>
      </c>
      <c r="L61" s="157"/>
      <c r="M61" s="360">
        <f t="shared" si="5"/>
        <v>722003</v>
      </c>
      <c r="N61" s="237">
        <f t="shared" si="6"/>
        <v>-6.1461199999999998</v>
      </c>
      <c r="O61" s="361"/>
      <c r="P61" s="361"/>
      <c r="Q61" s="361" t="s">
        <v>698</v>
      </c>
      <c r="R61" s="362">
        <v>35</v>
      </c>
      <c r="S61" s="236"/>
      <c r="T61" s="364">
        <f t="shared" si="7"/>
        <v>722003</v>
      </c>
      <c r="U61" s="365">
        <f>N61</f>
        <v>-6.1461199999999998</v>
      </c>
      <c r="V61" s="365">
        <f>IF($Q61="ekrk",IF($R61="data",IFERROR(INDEX(data!$A:$ALL,MATCH($M61,data!$A:$A,0),MATCH(V$2,data!$1:$1,0)),"#data"),IFERROR(U61*INDEX(indexy_SDcast!$A:$ALI,MATCH($R61,indexy_SDcast!$K:$K,0),MATCH(V$2,indexy_SDcast!$2:$2,0)),"#ekrk")),"#popis")</f>
        <v>-7.868460380625816</v>
      </c>
      <c r="W61" s="365">
        <f>IF($Q61="ekrk",IF($R61="data",IFERROR(INDEX(data!$A:$ALL,MATCH($M61,data!$A:$A,0),MATCH(W$2,data!$1:$1,0)),"#data"),IFERROR(V61*INDEX(indexy_SDcast!$A:$ALI,MATCH($R61,indexy_SDcast!$K:$K,0),MATCH(W$2,indexy_SDcast!$2:$2,0)),"#ekrk")),"#popis")</f>
        <v>-7.9569121489817602</v>
      </c>
      <c r="X61" s="365">
        <f>IF($Q61="ekrk",IF($R61="data",IFERROR(INDEX(data!$A:$ALL,MATCH($M61,data!$A:$A,0),MATCH(X$2,data!$1:$1,0)),"#data"),IFERROR(W61*INDEX(indexy_SDcast!$A:$ALI,MATCH($R61,indexy_SDcast!$K:$K,0),MATCH(X$2,indexy_SDcast!$2:$2,0)),"#ekrk")),"#popis")</f>
        <v>-5.1109314700251183</v>
      </c>
      <c r="Y61" s="362">
        <f>IF($Q61="ekrk",IF($R61="data",IFERROR(INDEX(data!$A:$ALL,MATCH($M61,data!$A:$A,0),MATCH(Y$2,data!$1:$1,0)),"#data"),IFERROR(X61*INDEX(indexy_SDcast!$A:$ALI,MATCH($R61,indexy_SDcast!$K:$K,0),MATCH(Y$2,indexy_SDcast!$2:$2,0)),"#ekrk")),"#popis")</f>
        <v>-6.9143132361352766</v>
      </c>
    </row>
    <row r="62" spans="1:44" s="18" customFormat="1" x14ac:dyDescent="0.25">
      <c r="A62" s="333" t="s">
        <v>747</v>
      </c>
      <c r="B62" s="334">
        <v>-6.5156000000000001</v>
      </c>
      <c r="C62" s="164"/>
      <c r="D62" s="333" t="s">
        <v>747</v>
      </c>
      <c r="E62" s="334">
        <v>-6.5156000000000001</v>
      </c>
      <c r="F62" s="164"/>
      <c r="G62" s="333" t="s">
        <v>747</v>
      </c>
      <c r="H62" s="334">
        <v>-6.5156000000000001</v>
      </c>
      <c r="I62" s="164"/>
      <c r="J62" s="333" t="s">
        <v>747</v>
      </c>
      <c r="K62" s="334">
        <v>-6.5156000000000001</v>
      </c>
      <c r="L62" s="164"/>
      <c r="M62" s="358" t="str">
        <f t="shared" si="5"/>
        <v>K22A</v>
      </c>
      <c r="N62" s="239">
        <f t="shared" si="6"/>
        <v>-6.5156000000000001</v>
      </c>
      <c r="O62" s="243"/>
      <c r="P62" s="243">
        <f>MATCH(Q62,Q63:Q$1550,0)</f>
        <v>2</v>
      </c>
      <c r="Q62" s="243" t="s">
        <v>697</v>
      </c>
      <c r="R62" s="359" t="str">
        <f>IF(Q62="ekrk",INDEX(indexy_SDcast!$A:$C,MATCH($M62,indexy_SDcast!$A:$A,0),2),"")</f>
        <v/>
      </c>
      <c r="S62" s="240"/>
      <c r="T62" s="363" t="str">
        <f t="shared" si="7"/>
        <v>K22A</v>
      </c>
      <c r="U62" s="244">
        <f>SUM(U63:U63)</f>
        <v>-6.5156000000000001</v>
      </c>
      <c r="V62" s="244">
        <f>SUM(V63:V63)</f>
        <v>-8.3414805529351153</v>
      </c>
      <c r="W62" s="244">
        <f>SUM(W63:W63)</f>
        <v>-8.4352496856399739</v>
      </c>
      <c r="X62" s="244">
        <f>SUM(X63:X63)</f>
        <v>-5.4181801016081144</v>
      </c>
      <c r="Y62" s="359">
        <f>SUM(Y63:Y63)</f>
        <v>-7.3299739219805362</v>
      </c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</row>
    <row r="63" spans="1:44" x14ac:dyDescent="0.25">
      <c r="A63" s="330">
        <v>711004</v>
      </c>
      <c r="B63" s="329">
        <v>-6.5156000000000001</v>
      </c>
      <c r="C63" s="157"/>
      <c r="D63" s="330">
        <v>711004</v>
      </c>
      <c r="E63" s="329">
        <v>-6.5156000000000001</v>
      </c>
      <c r="F63" s="157"/>
      <c r="G63" s="330">
        <v>711004</v>
      </c>
      <c r="H63" s="329">
        <v>-6.5156000000000001</v>
      </c>
      <c r="I63" s="157"/>
      <c r="J63" s="330">
        <v>711004</v>
      </c>
      <c r="K63" s="329">
        <v>-6.5156000000000001</v>
      </c>
      <c r="L63" s="157"/>
      <c r="M63" s="360">
        <f t="shared" si="5"/>
        <v>711004</v>
      </c>
      <c r="N63" s="237">
        <f t="shared" si="6"/>
        <v>-6.5156000000000001</v>
      </c>
      <c r="O63" s="361"/>
      <c r="P63" s="361"/>
      <c r="Q63" s="361" t="s">
        <v>698</v>
      </c>
      <c r="R63" s="362">
        <v>35</v>
      </c>
      <c r="S63" s="236"/>
      <c r="T63" s="364">
        <f t="shared" si="7"/>
        <v>711004</v>
      </c>
      <c r="U63" s="365">
        <f>N63</f>
        <v>-6.5156000000000001</v>
      </c>
      <c r="V63" s="365">
        <f>IF($Q63="ekrk",IF($R63="data",IFERROR(INDEX(data!$A:$ALL,MATCH($M63,data!$A:$A,0),MATCH(V$2,data!$1:$1,0)),"#data"),IFERROR(U63*INDEX(indexy_SDcast!$A:$ALI,MATCH($R63,indexy_SDcast!$K:$K,0),MATCH(V$2,indexy_SDcast!$2:$2,0)),"#ekrk")),"#popis")</f>
        <v>-8.3414805529351153</v>
      </c>
      <c r="W63" s="365">
        <f>IF($Q63="ekrk",IF($R63="data",IFERROR(INDEX(data!$A:$ALL,MATCH($M63,data!$A:$A,0),MATCH(W$2,data!$1:$1,0)),"#data"),IFERROR(V63*INDEX(indexy_SDcast!$A:$ALI,MATCH($R63,indexy_SDcast!$K:$K,0),MATCH(W$2,indexy_SDcast!$2:$2,0)),"#ekrk")),"#popis")</f>
        <v>-8.4352496856399739</v>
      </c>
      <c r="X63" s="365">
        <f>IF($Q63="ekrk",IF($R63="data",IFERROR(INDEX(data!$A:$ALL,MATCH($M63,data!$A:$A,0),MATCH(X$2,data!$1:$1,0)),"#data"),IFERROR(W63*INDEX(indexy_SDcast!$A:$ALI,MATCH($R63,indexy_SDcast!$K:$K,0),MATCH(X$2,indexy_SDcast!$2:$2,0)),"#ekrk")),"#popis")</f>
        <v>-5.4181801016081144</v>
      </c>
      <c r="Y63" s="362">
        <f>IF($Q63="ekrk",IF($R63="data",IFERROR(INDEX(data!$A:$ALL,MATCH($M63,data!$A:$A,0),MATCH(Y$2,data!$1:$1,0)),"#data"),IFERROR(X63*INDEX(indexy_SDcast!$A:$ALI,MATCH($R63,indexy_SDcast!$K:$K,0),MATCH(Y$2,indexy_SDcast!$2:$2,0)),"#ekrk")),"#popis")</f>
        <v>-7.3299739219805362</v>
      </c>
    </row>
    <row r="64" spans="1:44" s="18" customFormat="1" x14ac:dyDescent="0.25">
      <c r="A64" s="333" t="s">
        <v>753</v>
      </c>
      <c r="B64" s="334">
        <v>-7245.3217499999946</v>
      </c>
      <c r="C64" s="164"/>
      <c r="D64" s="333" t="s">
        <v>753</v>
      </c>
      <c r="E64" s="334">
        <v>-7245.3217499999946</v>
      </c>
      <c r="F64" s="164"/>
      <c r="G64" s="333" t="s">
        <v>753</v>
      </c>
      <c r="H64" s="334">
        <v>-7245.3217499999946</v>
      </c>
      <c r="I64" s="164"/>
      <c r="J64" s="333" t="s">
        <v>753</v>
      </c>
      <c r="K64" s="334">
        <v>-7245.3217499999946</v>
      </c>
      <c r="L64" s="164"/>
      <c r="M64" s="358" t="str">
        <f t="shared" si="5"/>
        <v>P2</v>
      </c>
      <c r="N64" s="239">
        <f t="shared" si="6"/>
        <v>-7245.3217499999946</v>
      </c>
      <c r="O64" s="243"/>
      <c r="P64" s="243">
        <f>MATCH(Q64,Q65:Q$1550,0)</f>
        <v>47</v>
      </c>
      <c r="Q64" s="243" t="s">
        <v>697</v>
      </c>
      <c r="R64" s="359" t="str">
        <f>IF(Q64="ekrk",INDEX(indexy_SDcast!$A:$C,MATCH($M64,indexy_SDcast!$A:$A,0),2),"")</f>
        <v/>
      </c>
      <c r="S64" s="240"/>
      <c r="T64" s="363" t="str">
        <f t="shared" si="7"/>
        <v>P2</v>
      </c>
      <c r="U64" s="244">
        <f>SUM(U65:U110)</f>
        <v>-7245.3217499999946</v>
      </c>
      <c r="V64" s="244">
        <f>SUM(V65:V110)</f>
        <v>-9275.6937929557989</v>
      </c>
      <c r="W64" s="244">
        <f>SUM(W65:W110)</f>
        <v>-9379.9647022604149</v>
      </c>
      <c r="X64" s="244">
        <f>SUM(X65:X110)</f>
        <v>-6024.9951095215292</v>
      </c>
      <c r="Y64" s="359">
        <f>SUM(Y65:Y110)</f>
        <v>-8150.9023702895174</v>
      </c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</row>
    <row r="65" spans="1:25" x14ac:dyDescent="0.25">
      <c r="A65" s="330">
        <v>631001</v>
      </c>
      <c r="B65" s="329">
        <v>-55.491909999999983</v>
      </c>
      <c r="C65" s="157"/>
      <c r="D65" s="330">
        <v>631001</v>
      </c>
      <c r="E65" s="329">
        <v>-55.491909999999983</v>
      </c>
      <c r="F65" s="157"/>
      <c r="G65" s="330">
        <v>631001</v>
      </c>
      <c r="H65" s="329">
        <v>-55.491909999999983</v>
      </c>
      <c r="I65" s="157"/>
      <c r="J65" s="330">
        <v>631001</v>
      </c>
      <c r="K65" s="329">
        <v>-55.491909999999983</v>
      </c>
      <c r="L65" s="157"/>
      <c r="M65" s="360">
        <f t="shared" si="5"/>
        <v>631001</v>
      </c>
      <c r="N65" s="237">
        <f t="shared" si="6"/>
        <v>-55.491909999999983</v>
      </c>
      <c r="O65" s="361"/>
      <c r="P65" s="361"/>
      <c r="Q65" s="361" t="s">
        <v>698</v>
      </c>
      <c r="R65" s="362">
        <v>35</v>
      </c>
      <c r="S65" s="236"/>
      <c r="T65" s="364">
        <f t="shared" si="7"/>
        <v>631001</v>
      </c>
      <c r="U65" s="365">
        <f t="shared" ref="U65:U110" si="9">N65</f>
        <v>-55.491909999999983</v>
      </c>
      <c r="V65" s="365">
        <f>IF($Q65="ekrk",IF($R65="data",IFERROR(INDEX(data!$A:$ALL,MATCH($M65,data!$A:$A,0),MATCH(V$2,data!$1:$1,0)),"#data"),IFERROR(U65*INDEX(indexy_SDcast!$A:$ALI,MATCH($R65,indexy_SDcast!$K:$K,0),MATCH(V$2,indexy_SDcast!$2:$2,0)),"#ekrk")),"#popis")</f>
        <v>-71.042526875533412</v>
      </c>
      <c r="W65" s="365">
        <f>IF($Q65="ekrk",IF($R65="data",IFERROR(INDEX(data!$A:$ALL,MATCH($M65,data!$A:$A,0),MATCH(W$2,data!$1:$1,0)),"#data"),IFERROR(V65*INDEX(indexy_SDcast!$A:$ALI,MATCH($R65,indexy_SDcast!$K:$K,0),MATCH(W$2,indexy_SDcast!$2:$2,0)),"#ekrk")),"#popis")</f>
        <v>-71.841137636297745</v>
      </c>
      <c r="X65" s="365">
        <f>IF($Q65="ekrk",IF($R65="data",IFERROR(INDEX(data!$A:$ALL,MATCH($M65,data!$A:$A,0),MATCH(X$2,data!$1:$1,0)),"#data"),IFERROR(W65*INDEX(indexy_SDcast!$A:$ALI,MATCH($R65,indexy_SDcast!$K:$K,0),MATCH(X$2,indexy_SDcast!$2:$2,0)),"#ekrk")),"#popis")</f>
        <v>-46.14542982414946</v>
      </c>
      <c r="Y65" s="362">
        <f>IF($Q65="ekrk",IF($R65="data",IFERROR(INDEX(data!$A:$ALL,MATCH($M65,data!$A:$A,0),MATCH(Y$2,data!$1:$1,0)),"#data"),IFERROR(X65*INDEX(indexy_SDcast!$A:$ALI,MATCH($R65,indexy_SDcast!$K:$K,0),MATCH(Y$2,indexy_SDcast!$2:$2,0)),"#ekrk")),"#popis")</f>
        <v>-62.427750810499532</v>
      </c>
    </row>
    <row r="66" spans="1:25" x14ac:dyDescent="0.25">
      <c r="A66" s="330">
        <v>631002</v>
      </c>
      <c r="B66" s="329">
        <v>-66.457090000000008</v>
      </c>
      <c r="C66" s="157"/>
      <c r="D66" s="330">
        <v>631002</v>
      </c>
      <c r="E66" s="329">
        <v>-66.457090000000008</v>
      </c>
      <c r="F66" s="157"/>
      <c r="G66" s="330">
        <v>631002</v>
      </c>
      <c r="H66" s="329">
        <v>-66.457090000000008</v>
      </c>
      <c r="I66" s="157"/>
      <c r="J66" s="330">
        <v>631002</v>
      </c>
      <c r="K66" s="329">
        <v>-66.457090000000008</v>
      </c>
      <c r="L66" s="157"/>
      <c r="M66" s="360">
        <f t="shared" ref="M66:M97" si="10">J66</f>
        <v>631002</v>
      </c>
      <c r="N66" s="237">
        <f t="shared" ref="N66:N97" si="11">K66</f>
        <v>-66.457090000000008</v>
      </c>
      <c r="O66" s="361"/>
      <c r="P66" s="361"/>
      <c r="Q66" s="361" t="s">
        <v>698</v>
      </c>
      <c r="R66" s="362">
        <v>35</v>
      </c>
      <c r="S66" s="236"/>
      <c r="T66" s="364">
        <f t="shared" si="7"/>
        <v>631002</v>
      </c>
      <c r="U66" s="365">
        <f t="shared" si="9"/>
        <v>-66.457090000000008</v>
      </c>
      <c r="V66" s="365">
        <f>IF($Q66="ekrk",IF($R66="data",IFERROR(INDEX(data!$A:$ALL,MATCH($M66,data!$A:$A,0),MATCH(V$2,data!$1:$1,0)),"#data"),IFERROR(U66*INDEX(indexy_SDcast!$A:$ALI,MATCH($R66,indexy_SDcast!$K:$K,0),MATCH(V$2,indexy_SDcast!$2:$2,0)),"#ekrk")),"#popis")</f>
        <v>-85.080502768687268</v>
      </c>
      <c r="W66" s="365">
        <f>IF($Q66="ekrk",IF($R66="data",IFERROR(INDEX(data!$A:$ALL,MATCH($M66,data!$A:$A,0),MATCH(W$2,data!$1:$1,0)),"#data"),IFERROR(V66*INDEX(indexy_SDcast!$A:$ALI,MATCH($R66,indexy_SDcast!$K:$K,0),MATCH(W$2,indexy_SDcast!$2:$2,0)),"#ekrk")),"#popis")</f>
        <v>-86.036918707570678</v>
      </c>
      <c r="X66" s="365">
        <f>IF($Q66="ekrk",IF($R66="data",IFERROR(INDEX(data!$A:$ALL,MATCH($M66,data!$A:$A,0),MATCH(X$2,data!$1:$1,0)),"#data"),IFERROR(W66*INDEX(indexy_SDcast!$A:$ALI,MATCH($R66,indexy_SDcast!$K:$K,0),MATCH(X$2,indexy_SDcast!$2:$2,0)),"#ekrk")),"#popis")</f>
        <v>-55.26374894848972</v>
      </c>
      <c r="Y66" s="362">
        <f>IF($Q66="ekrk",IF($R66="data",IFERROR(INDEX(data!$A:$ALL,MATCH($M66,data!$A:$A,0),MATCH(Y$2,data!$1:$1,0)),"#data"),IFERROR(X66*INDEX(indexy_SDcast!$A:$ALI,MATCH($R66,indexy_SDcast!$K:$K,0),MATCH(Y$2,indexy_SDcast!$2:$2,0)),"#ekrk")),"#popis")</f>
        <v>-74.76345027790434</v>
      </c>
    </row>
    <row r="67" spans="1:25" x14ac:dyDescent="0.25">
      <c r="A67" s="330">
        <v>631004</v>
      </c>
      <c r="B67" s="329">
        <v>-2.7E-4</v>
      </c>
      <c r="C67" s="157"/>
      <c r="D67" s="330">
        <v>631004</v>
      </c>
      <c r="E67" s="329">
        <v>-2.7E-4</v>
      </c>
      <c r="F67" s="157"/>
      <c r="G67" s="330">
        <v>631004</v>
      </c>
      <c r="H67" s="329">
        <v>-2.7E-4</v>
      </c>
      <c r="I67" s="157"/>
      <c r="J67" s="330">
        <v>631004</v>
      </c>
      <c r="K67" s="329">
        <v>-2.7E-4</v>
      </c>
      <c r="L67" s="157"/>
      <c r="M67" s="360">
        <f t="shared" si="10"/>
        <v>631004</v>
      </c>
      <c r="N67" s="237">
        <f t="shared" si="11"/>
        <v>-2.7E-4</v>
      </c>
      <c r="O67" s="361"/>
      <c r="P67" s="361"/>
      <c r="Q67" s="361" t="s">
        <v>698</v>
      </c>
      <c r="R67" s="362">
        <v>35</v>
      </c>
      <c r="S67" s="236"/>
      <c r="T67" s="364">
        <f t="shared" si="7"/>
        <v>631004</v>
      </c>
      <c r="U67" s="365">
        <f t="shared" si="9"/>
        <v>-2.7E-4</v>
      </c>
      <c r="V67" s="365">
        <f>IF($Q67="ekrk",IF($R67="data",IFERROR(INDEX(data!$A:$ALL,MATCH($M67,data!$A:$A,0),MATCH(V$2,data!$1:$1,0)),"#data"),IFERROR(U67*INDEX(indexy_SDcast!$A:$ALI,MATCH($R67,indexy_SDcast!$K:$K,0),MATCH(V$2,indexy_SDcast!$2:$2,0)),"#ekrk")),"#popis")</f>
        <v>-3.4566267869305683E-4</v>
      </c>
      <c r="W67" s="365">
        <f>IF($Q67="ekrk",IF($R67="data",IFERROR(INDEX(data!$A:$ALL,MATCH($M67,data!$A:$A,0),MATCH(W$2,data!$1:$1,0)),"#data"),IFERROR(V67*INDEX(indexy_SDcast!$A:$ALI,MATCH($R67,indexy_SDcast!$K:$K,0),MATCH(W$2,indexy_SDcast!$2:$2,0)),"#ekrk")),"#popis")</f>
        <v>-3.4954837852581392E-4</v>
      </c>
      <c r="X67" s="365">
        <f>IF($Q67="ekrk",IF($R67="data",IFERROR(INDEX(data!$A:$ALL,MATCH($M67,data!$A:$A,0),MATCH(X$2,data!$1:$1,0)),"#data"),IFERROR(W67*INDEX(indexy_SDcast!$A:$ALI,MATCH($R67,indexy_SDcast!$K:$K,0),MATCH(X$2,indexy_SDcast!$2:$2,0)),"#ekrk")),"#popis")</f>
        <v>-2.2452400813957133E-4</v>
      </c>
      <c r="Y67" s="362">
        <f>IF($Q67="ekrk",IF($R67="data",IFERROR(INDEX(data!$A:$ALL,MATCH($M67,data!$A:$A,0),MATCH(Y$2,data!$1:$1,0)),"#data"),IFERROR(X67*INDEX(indexy_SDcast!$A:$ALI,MATCH($R67,indexy_SDcast!$K:$K,0),MATCH(Y$2,indexy_SDcast!$2:$2,0)),"#ekrk")),"#popis")</f>
        <v>-3.0374684740234895E-4</v>
      </c>
    </row>
    <row r="68" spans="1:25" x14ac:dyDescent="0.25">
      <c r="A68" s="330">
        <v>632001</v>
      </c>
      <c r="B68" s="329">
        <v>-26.134829999999994</v>
      </c>
      <c r="C68" s="157"/>
      <c r="D68" s="330">
        <v>632001</v>
      </c>
      <c r="E68" s="329">
        <v>-26.134829999999994</v>
      </c>
      <c r="F68" s="157"/>
      <c r="G68" s="330">
        <v>632001</v>
      </c>
      <c r="H68" s="329">
        <v>-26.134829999999994</v>
      </c>
      <c r="I68" s="157"/>
      <c r="J68" s="330">
        <v>632001</v>
      </c>
      <c r="K68" s="329">
        <v>-26.134829999999994</v>
      </c>
      <c r="L68" s="157"/>
      <c r="M68" s="360">
        <f t="shared" si="10"/>
        <v>632001</v>
      </c>
      <c r="N68" s="237">
        <f t="shared" si="11"/>
        <v>-26.134829999999994</v>
      </c>
      <c r="O68" s="361"/>
      <c r="P68" s="361"/>
      <c r="Q68" s="361" t="s">
        <v>698</v>
      </c>
      <c r="R68" s="362">
        <v>35</v>
      </c>
      <c r="S68" s="236"/>
      <c r="T68" s="364">
        <f t="shared" ref="T68:T99" si="12">M68</f>
        <v>632001</v>
      </c>
      <c r="U68" s="365">
        <f t="shared" si="9"/>
        <v>-26.134829999999994</v>
      </c>
      <c r="V68" s="365">
        <f>IF($Q68="ekrk",IF($R68="data",IFERROR(INDEX(data!$A:$ALL,MATCH($M68,data!$A:$A,0),MATCH(V$2,data!$1:$1,0)),"#data"),IFERROR(U68*INDEX(indexy_SDcast!$A:$ALI,MATCH($R68,indexy_SDcast!$K:$K,0),MATCH(V$2,indexy_SDcast!$2:$2,0)),"#ekrk")),"#popis")</f>
        <v>-33.458649425880225</v>
      </c>
      <c r="W68" s="365">
        <f>IF($Q68="ekrk",IF($R68="data",IFERROR(INDEX(data!$A:$ALL,MATCH($M68,data!$A:$A,0),MATCH(W$2,data!$1:$1,0)),"#data"),IFERROR(V68*INDEX(indexy_SDcast!$A:$ALI,MATCH($R68,indexy_SDcast!$K:$K,0),MATCH(W$2,indexy_SDcast!$2:$2,0)),"#ekrk")),"#popis")</f>
        <v>-33.834768331658502</v>
      </c>
      <c r="X68" s="365">
        <f>IF($Q68="ekrk",IF($R68="data",IFERROR(INDEX(data!$A:$ALL,MATCH($M68,data!$A:$A,0),MATCH(X$2,data!$1:$1,0)),"#data"),IFERROR(W68*INDEX(indexy_SDcast!$A:$ALI,MATCH($R68,indexy_SDcast!$K:$K,0),MATCH(X$2,indexy_SDcast!$2:$2,0)),"#ekrk")),"#popis")</f>
        <v>-21.732951050541896</v>
      </c>
      <c r="Y68" s="362">
        <f>IF($Q68="ekrk",IF($R68="data",IFERROR(INDEX(data!$A:$ALL,MATCH($M68,data!$A:$A,0),MATCH(Y$2,data!$1:$1,0)),"#data"),IFERROR(X68*INDEX(indexy_SDcast!$A:$ALI,MATCH($R68,indexy_SDcast!$K:$K,0),MATCH(Y$2,indexy_SDcast!$2:$2,0)),"#ekrk")),"#popis")</f>
        <v>-29.40137859220863</v>
      </c>
    </row>
    <row r="69" spans="1:25" x14ac:dyDescent="0.25">
      <c r="A69" s="330">
        <v>632002</v>
      </c>
      <c r="B69" s="329">
        <v>-1.2882799999999999</v>
      </c>
      <c r="C69" s="157"/>
      <c r="D69" s="330">
        <v>632002</v>
      </c>
      <c r="E69" s="329">
        <v>-1.2882799999999999</v>
      </c>
      <c r="F69" s="157"/>
      <c r="G69" s="330">
        <v>632002</v>
      </c>
      <c r="H69" s="329">
        <v>-1.2882799999999999</v>
      </c>
      <c r="I69" s="157"/>
      <c r="J69" s="330">
        <v>632002</v>
      </c>
      <c r="K69" s="329">
        <v>-1.2882799999999999</v>
      </c>
      <c r="L69" s="157"/>
      <c r="M69" s="360">
        <f t="shared" si="10"/>
        <v>632002</v>
      </c>
      <c r="N69" s="237">
        <f t="shared" si="11"/>
        <v>-1.2882799999999999</v>
      </c>
      <c r="O69" s="361"/>
      <c r="P69" s="361"/>
      <c r="Q69" s="361" t="s">
        <v>698</v>
      </c>
      <c r="R69" s="362">
        <v>35</v>
      </c>
      <c r="S69" s="236"/>
      <c r="T69" s="364">
        <f t="shared" si="12"/>
        <v>632002</v>
      </c>
      <c r="U69" s="365">
        <f t="shared" si="9"/>
        <v>-1.2882799999999999</v>
      </c>
      <c r="V69" s="365">
        <f>IF($Q69="ekrk",IF($R69="data",IFERROR(INDEX(data!$A:$ALL,MATCH($M69,data!$A:$A,0),MATCH(V$2,data!$1:$1,0)),"#data"),IFERROR(U69*INDEX(indexy_SDcast!$A:$ALI,MATCH($R69,indexy_SDcast!$K:$K,0),MATCH(V$2,indexy_SDcast!$2:$2,0)),"#ekrk")),"#popis")</f>
        <v>-1.6492974655803376</v>
      </c>
      <c r="W69" s="365">
        <f>IF($Q69="ekrk",IF($R69="data",IFERROR(INDEX(data!$A:$ALL,MATCH($M69,data!$A:$A,0),MATCH(W$2,data!$1:$1,0)),"#data"),IFERROR(V69*INDEX(indexy_SDcast!$A:$ALI,MATCH($R69,indexy_SDcast!$K:$K,0),MATCH(W$2,indexy_SDcast!$2:$2,0)),"#ekrk")),"#popis")</f>
        <v>-1.6678377225453165</v>
      </c>
      <c r="X69" s="365">
        <f>IF($Q69="ekrk",IF($R69="data",IFERROR(INDEX(data!$A:$ALL,MATCH($M69,data!$A:$A,0),MATCH(X$2,data!$1:$1,0)),"#data"),IFERROR(W69*INDEX(indexy_SDcast!$A:$ALI,MATCH($R69,indexy_SDcast!$K:$K,0),MATCH(X$2,indexy_SDcast!$2:$2,0)),"#ekrk")),"#popis")</f>
        <v>-1.0712955155779513</v>
      </c>
      <c r="Y69" s="362">
        <f>IF($Q69="ekrk",IF($R69="data",IFERROR(INDEX(data!$A:$ALL,MATCH($M69,data!$A:$A,0),MATCH(Y$2,data!$1:$1,0)),"#data"),IFERROR(X69*INDEX(indexy_SDcast!$A:$ALI,MATCH($R69,indexy_SDcast!$K:$K,0),MATCH(Y$2,indexy_SDcast!$2:$2,0)),"#ekrk")),"#popis")</f>
        <v>-1.4492999576722148</v>
      </c>
    </row>
    <row r="70" spans="1:25" x14ac:dyDescent="0.25">
      <c r="A70" s="330">
        <v>632003</v>
      </c>
      <c r="B70" s="329">
        <v>-42.981870000000008</v>
      </c>
      <c r="C70" s="157"/>
      <c r="D70" s="330">
        <v>632003</v>
      </c>
      <c r="E70" s="329">
        <v>-42.981870000000008</v>
      </c>
      <c r="F70" s="157"/>
      <c r="G70" s="330">
        <v>632003</v>
      </c>
      <c r="H70" s="329">
        <v>-42.981870000000008</v>
      </c>
      <c r="I70" s="157"/>
      <c r="J70" s="330">
        <v>632003</v>
      </c>
      <c r="K70" s="329">
        <v>-42.981870000000008</v>
      </c>
      <c r="L70" s="157"/>
      <c r="M70" s="360">
        <f t="shared" si="10"/>
        <v>632003</v>
      </c>
      <c r="N70" s="237">
        <f t="shared" si="11"/>
        <v>-42.981870000000008</v>
      </c>
      <c r="O70" s="361"/>
      <c r="P70" s="361"/>
      <c r="Q70" s="361" t="s">
        <v>698</v>
      </c>
      <c r="R70" s="362">
        <v>35</v>
      </c>
      <c r="S70" s="236"/>
      <c r="T70" s="364">
        <f t="shared" si="12"/>
        <v>632003</v>
      </c>
      <c r="U70" s="365">
        <f t="shared" si="9"/>
        <v>-42.981870000000008</v>
      </c>
      <c r="V70" s="365">
        <f>IF($Q70="ekrk",IF($R70="data",IFERROR(INDEX(data!$A:$ALL,MATCH($M70,data!$A:$A,0),MATCH(V$2,data!$1:$1,0)),"#data"),IFERROR(U70*INDEX(indexy_SDcast!$A:$ALI,MATCH($R70,indexy_SDcast!$K:$K,0),MATCH(V$2,indexy_SDcast!$2:$2,0)),"#ekrk")),"#popis")</f>
        <v>-55.026771553469409</v>
      </c>
      <c r="W70" s="365">
        <f>IF($Q70="ekrk",IF($R70="data",IFERROR(INDEX(data!$A:$ALL,MATCH($M70,data!$A:$A,0),MATCH(W$2,data!$1:$1,0)),"#data"),IFERROR(V70*INDEX(indexy_SDcast!$A:$ALI,MATCH($R70,indexy_SDcast!$K:$K,0),MATCH(W$2,indexy_SDcast!$2:$2,0)),"#ekrk")),"#popis")</f>
        <v>-55.645344312990098</v>
      </c>
      <c r="X70" s="365">
        <f>IF($Q70="ekrk",IF($R70="data",IFERROR(INDEX(data!$A:$ALL,MATCH($M70,data!$A:$A,0),MATCH(X$2,data!$1:$1,0)),"#data"),IFERROR(W70*INDEX(indexy_SDcast!$A:$ALI,MATCH($R70,indexy_SDcast!$K:$K,0),MATCH(X$2,indexy_SDcast!$2:$2,0)),"#ekrk")),"#popis")</f>
        <v>-35.742450850866653</v>
      </c>
      <c r="Y70" s="362">
        <f>IF($Q70="ekrk",IF($R70="data",IFERROR(INDEX(data!$A:$ALL,MATCH($M70,data!$A:$A,0),MATCH(Y$2,data!$1:$1,0)),"#data"),IFERROR(X70*INDEX(indexy_SDcast!$A:$ALI,MATCH($R70,indexy_SDcast!$K:$K,0),MATCH(Y$2,indexy_SDcast!$2:$2,0)),"#ekrk")),"#popis")</f>
        <v>-48.354101881324439</v>
      </c>
    </row>
    <row r="71" spans="1:25" x14ac:dyDescent="0.25">
      <c r="A71" s="330">
        <v>632004</v>
      </c>
      <c r="B71" s="329">
        <v>-1.0733300000000001</v>
      </c>
      <c r="C71" s="157"/>
      <c r="D71" s="330">
        <v>632004</v>
      </c>
      <c r="E71" s="329">
        <v>-1.0733300000000001</v>
      </c>
      <c r="F71" s="157"/>
      <c r="G71" s="330">
        <v>632004</v>
      </c>
      <c r="H71" s="329">
        <v>-1.0733300000000001</v>
      </c>
      <c r="I71" s="157"/>
      <c r="J71" s="330">
        <v>632004</v>
      </c>
      <c r="K71" s="329">
        <v>-1.0733300000000001</v>
      </c>
      <c r="L71" s="157"/>
      <c r="M71" s="360">
        <f t="shared" si="10"/>
        <v>632004</v>
      </c>
      <c r="N71" s="237">
        <f t="shared" si="11"/>
        <v>-1.0733300000000001</v>
      </c>
      <c r="O71" s="361"/>
      <c r="P71" s="361"/>
      <c r="Q71" s="361" t="s">
        <v>698</v>
      </c>
      <c r="R71" s="362">
        <v>35</v>
      </c>
      <c r="S71" s="236"/>
      <c r="T71" s="364">
        <f t="shared" si="12"/>
        <v>632004</v>
      </c>
      <c r="U71" s="365">
        <f t="shared" si="9"/>
        <v>-1.0733300000000001</v>
      </c>
      <c r="V71" s="365">
        <f>IF($Q71="ekrk",IF($R71="data",IFERROR(INDEX(data!$A:$ALL,MATCH($M71,data!$A:$A,0),MATCH(V$2,data!$1:$1,0)),"#data"),IFERROR(U71*INDEX(indexy_SDcast!$A:$ALI,MATCH($R71,indexy_SDcast!$K:$K,0),MATCH(V$2,indexy_SDcast!$2:$2,0)),"#ekrk")),"#popis")</f>
        <v>-1.3741115663763657</v>
      </c>
      <c r="W71" s="365">
        <f>IF($Q71="ekrk",IF($R71="data",IFERROR(INDEX(data!$A:$ALL,MATCH($M71,data!$A:$A,0),MATCH(W$2,data!$1:$1,0)),"#data"),IFERROR(V71*INDEX(indexy_SDcast!$A:$ALI,MATCH($R71,indexy_SDcast!$K:$K,0),MATCH(W$2,indexy_SDcast!$2:$2,0)),"#ekrk")),"#popis")</f>
        <v>-1.3895583745300439</v>
      </c>
      <c r="X71" s="365">
        <f>IF($Q71="ekrk",IF($R71="data",IFERROR(INDEX(data!$A:$ALL,MATCH($M71,data!$A:$A,0),MATCH(X$2,data!$1:$1,0)),"#data"),IFERROR(W71*INDEX(indexy_SDcast!$A:$ALI,MATCH($R71,indexy_SDcast!$K:$K,0),MATCH(X$2,indexy_SDcast!$2:$2,0)),"#ekrk")),"#popis")</f>
        <v>-0.89254945798683738</v>
      </c>
      <c r="Y71" s="362">
        <f>IF($Q71="ekrk",IF($R71="data",IFERROR(INDEX(data!$A:$ALL,MATCH($M71,data!$A:$A,0),MATCH(Y$2,data!$1:$1,0)),"#data"),IFERROR(X71*INDEX(indexy_SDcast!$A:$ALI,MATCH($R71,indexy_SDcast!$K:$K,0),MATCH(Y$2,indexy_SDcast!$2:$2,0)),"#ekrk")),"#popis")</f>
        <v>-1.207483717490234</v>
      </c>
    </row>
    <row r="72" spans="1:25" x14ac:dyDescent="0.25">
      <c r="A72" s="330">
        <v>633001</v>
      </c>
      <c r="B72" s="329">
        <v>-152.69703000000001</v>
      </c>
      <c r="C72" s="157"/>
      <c r="D72" s="330">
        <v>633001</v>
      </c>
      <c r="E72" s="329">
        <v>-152.69703000000001</v>
      </c>
      <c r="F72" s="157"/>
      <c r="G72" s="330">
        <v>633001</v>
      </c>
      <c r="H72" s="329">
        <v>-152.69703000000001</v>
      </c>
      <c r="I72" s="157"/>
      <c r="J72" s="330">
        <v>633001</v>
      </c>
      <c r="K72" s="329">
        <v>-152.69703000000001</v>
      </c>
      <c r="L72" s="157"/>
      <c r="M72" s="360">
        <f t="shared" si="10"/>
        <v>633001</v>
      </c>
      <c r="N72" s="237">
        <f t="shared" si="11"/>
        <v>-152.69703000000001</v>
      </c>
      <c r="O72" s="361"/>
      <c r="P72" s="361"/>
      <c r="Q72" s="361" t="s">
        <v>698</v>
      </c>
      <c r="R72" s="362">
        <v>35</v>
      </c>
      <c r="S72" s="236"/>
      <c r="T72" s="364">
        <f t="shared" si="12"/>
        <v>633001</v>
      </c>
      <c r="U72" s="365">
        <f t="shared" si="9"/>
        <v>-152.69703000000001</v>
      </c>
      <c r="V72" s="365">
        <f>IF($Q72="ekrk",IF($R72="data",IFERROR(INDEX(data!$A:$ALL,MATCH($M72,data!$A:$A,0),MATCH(V$2,data!$1:$1,0)),"#data"),IFERROR(U72*INDEX(indexy_SDcast!$A:$ALI,MATCH($R72,indexy_SDcast!$K:$K,0),MATCH(V$2,indexy_SDcast!$2:$2,0)),"#ekrk")),"#popis")</f>
        <v>-195.48764599360763</v>
      </c>
      <c r="W72" s="365">
        <f>IF($Q72="ekrk",IF($R72="data",IFERROR(INDEX(data!$A:$ALL,MATCH($M72,data!$A:$A,0),MATCH(W$2,data!$1:$1,0)),"#data"),IFERROR(V72*INDEX(indexy_SDcast!$A:$ALI,MATCH($R72,indexy_SDcast!$K:$K,0),MATCH(W$2,indexy_SDcast!$2:$2,0)),"#ekrk")),"#popis")</f>
        <v>-197.68518237854653</v>
      </c>
      <c r="X72" s="365">
        <f>IF($Q72="ekrk",IF($R72="data",IFERROR(INDEX(data!$A:$ALL,MATCH($M72,data!$A:$A,0),MATCH(X$2,data!$1:$1,0)),"#data"),IFERROR(W72*INDEX(indexy_SDcast!$A:$ALI,MATCH($R72,indexy_SDcast!$K:$K,0),MATCH(X$2,indexy_SDcast!$2:$2,0)),"#ekrk")),"#popis")</f>
        <v>-126.9783303948458</v>
      </c>
      <c r="Y72" s="362">
        <f>IF($Q72="ekrk",IF($R72="data",IFERROR(INDEX(data!$A:$ALL,MATCH($M72,data!$A:$A,0),MATCH(Y$2,data!$1:$1,0)),"#data"),IFERROR(X72*INDEX(indexy_SDcast!$A:$ALI,MATCH($R72,indexy_SDcast!$K:$K,0),MATCH(Y$2,indexy_SDcast!$2:$2,0)),"#ekrk")),"#popis")</f>
        <v>-171.78237581556257</v>
      </c>
    </row>
    <row r="73" spans="1:25" x14ac:dyDescent="0.25">
      <c r="A73" s="330">
        <v>633002</v>
      </c>
      <c r="B73" s="329">
        <v>-507.20264999999995</v>
      </c>
      <c r="C73" s="157"/>
      <c r="D73" s="330">
        <v>633002</v>
      </c>
      <c r="E73" s="329">
        <v>-507.20264999999995</v>
      </c>
      <c r="F73" s="157"/>
      <c r="G73" s="330">
        <v>633002</v>
      </c>
      <c r="H73" s="329">
        <v>-507.20264999999995</v>
      </c>
      <c r="I73" s="157"/>
      <c r="J73" s="330">
        <v>633002</v>
      </c>
      <c r="K73" s="329">
        <v>-507.20264999999995</v>
      </c>
      <c r="L73" s="157"/>
      <c r="M73" s="360">
        <f t="shared" si="10"/>
        <v>633002</v>
      </c>
      <c r="N73" s="237">
        <f t="shared" si="11"/>
        <v>-507.20264999999995</v>
      </c>
      <c r="O73" s="361"/>
      <c r="P73" s="361"/>
      <c r="Q73" s="361" t="s">
        <v>698</v>
      </c>
      <c r="R73" s="362">
        <v>35</v>
      </c>
      <c r="S73" s="236"/>
      <c r="T73" s="364">
        <f t="shared" si="12"/>
        <v>633002</v>
      </c>
      <c r="U73" s="365">
        <f t="shared" si="9"/>
        <v>-507.20264999999995</v>
      </c>
      <c r="V73" s="365">
        <f>IF($Q73="ekrk",IF($R73="data",IFERROR(INDEX(data!$A:$ALL,MATCH($M73,data!$A:$A,0),MATCH(V$2,data!$1:$1,0)),"#data"),IFERROR(U73*INDEX(indexy_SDcast!$A:$ALI,MATCH($R73,indexy_SDcast!$K:$K,0),MATCH(V$2,indexy_SDcast!$2:$2,0)),"#ekrk")),"#popis")</f>
        <v>-649.3371357008034</v>
      </c>
      <c r="W73" s="365">
        <f>IF($Q73="ekrk",IF($R73="data",IFERROR(INDEX(data!$A:$ALL,MATCH($M73,data!$A:$A,0),MATCH(W$2,data!$1:$1,0)),"#data"),IFERROR(V73*INDEX(indexy_SDcast!$A:$ALI,MATCH($R73,indexy_SDcast!$K:$K,0),MATCH(W$2,indexy_SDcast!$2:$2,0)),"#ekrk")),"#popis")</f>
        <v>-656.63653293146615</v>
      </c>
      <c r="X73" s="365">
        <f>IF($Q73="ekrk",IF($R73="data",IFERROR(INDEX(data!$A:$ALL,MATCH($M73,data!$A:$A,0),MATCH(X$2,data!$1:$1,0)),"#data"),IFERROR(W73*INDEX(indexy_SDcast!$A:$ALI,MATCH($R73,indexy_SDcast!$K:$K,0),MATCH(X$2,indexy_SDcast!$2:$2,0)),"#ekrk")),"#popis")</f>
        <v>-421.77471080374858</v>
      </c>
      <c r="Y73" s="362">
        <f>IF($Q73="ekrk",IF($R73="data",IFERROR(INDEX(data!$A:$ALL,MATCH($M73,data!$A:$A,0),MATCH(Y$2,data!$1:$1,0)),"#data"),IFERROR(X73*INDEX(indexy_SDcast!$A:$ALI,MATCH($R73,indexy_SDcast!$K:$K,0),MATCH(Y$2,indexy_SDcast!$2:$2,0)),"#ekrk")),"#popis")</f>
        <v>-570.59705900598874</v>
      </c>
    </row>
    <row r="74" spans="1:25" x14ac:dyDescent="0.25">
      <c r="A74" s="330">
        <v>633003</v>
      </c>
      <c r="B74" s="329">
        <v>-6.3793699999999998</v>
      </c>
      <c r="C74" s="157"/>
      <c r="D74" s="330">
        <v>633003</v>
      </c>
      <c r="E74" s="329">
        <v>-6.3793699999999998</v>
      </c>
      <c r="F74" s="157"/>
      <c r="G74" s="330">
        <v>633003</v>
      </c>
      <c r="H74" s="329">
        <v>-6.3793699999999998</v>
      </c>
      <c r="I74" s="157"/>
      <c r="J74" s="330">
        <v>633003</v>
      </c>
      <c r="K74" s="329">
        <v>-6.3793699999999998</v>
      </c>
      <c r="L74" s="157"/>
      <c r="M74" s="360">
        <f t="shared" si="10"/>
        <v>633003</v>
      </c>
      <c r="N74" s="237">
        <f t="shared" si="11"/>
        <v>-6.3793699999999998</v>
      </c>
      <c r="O74" s="361"/>
      <c r="P74" s="361"/>
      <c r="Q74" s="361" t="s">
        <v>698</v>
      </c>
      <c r="R74" s="362">
        <v>35</v>
      </c>
      <c r="S74" s="236"/>
      <c r="T74" s="364">
        <f t="shared" si="12"/>
        <v>633003</v>
      </c>
      <c r="U74" s="365">
        <f t="shared" si="9"/>
        <v>-6.3793699999999998</v>
      </c>
      <c r="V74" s="365">
        <f>IF($Q74="ekrk",IF($R74="data",IFERROR(INDEX(data!$A:$ALL,MATCH($M74,data!$A:$A,0),MATCH(V$2,data!$1:$1,0)),"#data"),IFERROR(U74*INDEX(indexy_SDcast!$A:$ALI,MATCH($R74,indexy_SDcast!$K:$K,0),MATCH(V$2,indexy_SDcast!$2:$2,0)),"#ekrk")),"#popis")</f>
        <v>-8.1670745280523178</v>
      </c>
      <c r="W74" s="365">
        <f>IF($Q74="ekrk",IF($R74="data",IFERROR(INDEX(data!$A:$ALL,MATCH($M74,data!$A:$A,0),MATCH(W$2,data!$1:$1,0)),"#data"),IFERROR(V74*INDEX(indexy_SDcast!$A:$ALI,MATCH($R74,indexy_SDcast!$K:$K,0),MATCH(W$2,indexy_SDcast!$2:$2,0)),"#ekrk")),"#popis")</f>
        <v>-8.2588831093193384</v>
      </c>
      <c r="X74" s="365">
        <f>IF($Q74="ekrk",IF($R74="data",IFERROR(INDEX(data!$A:$ALL,MATCH($M74,data!$A:$A,0),MATCH(X$2,data!$1:$1,0)),"#data"),IFERROR(W74*INDEX(indexy_SDcast!$A:$ALI,MATCH($R74,indexy_SDcast!$K:$K,0),MATCH(X$2,indexy_SDcast!$2:$2,0)),"#ekrk")),"#popis")</f>
        <v>-5.3048952659456923</v>
      </c>
      <c r="Y74" s="362">
        <f>IF($Q74="ekrk",IF($R74="data",IFERROR(INDEX(data!$A:$ALL,MATCH($M74,data!$A:$A,0),MATCH(Y$2,data!$1:$1,0)),"#data"),IFERROR(X74*INDEX(indexy_SDcast!$A:$ALI,MATCH($R74,indexy_SDcast!$K:$K,0),MATCH(Y$2,indexy_SDcast!$2:$2,0)),"#ekrk")),"#popis")</f>
        <v>-7.1767167626411945</v>
      </c>
    </row>
    <row r="75" spans="1:25" x14ac:dyDescent="0.25">
      <c r="A75" s="330">
        <v>633004</v>
      </c>
      <c r="B75" s="329">
        <v>-757.36419999999998</v>
      </c>
      <c r="C75" s="157"/>
      <c r="D75" s="330">
        <v>633004</v>
      </c>
      <c r="E75" s="329">
        <v>-757.36419999999998</v>
      </c>
      <c r="F75" s="157"/>
      <c r="G75" s="330">
        <v>633004</v>
      </c>
      <c r="H75" s="329">
        <v>-757.36419999999998</v>
      </c>
      <c r="I75" s="157"/>
      <c r="J75" s="330">
        <v>633004</v>
      </c>
      <c r="K75" s="329">
        <v>-757.36419999999998</v>
      </c>
      <c r="L75" s="157"/>
      <c r="M75" s="360">
        <f t="shared" si="10"/>
        <v>633004</v>
      </c>
      <c r="N75" s="237">
        <f t="shared" si="11"/>
        <v>-757.36419999999998</v>
      </c>
      <c r="O75" s="361"/>
      <c r="P75" s="361"/>
      <c r="Q75" s="361" t="s">
        <v>698</v>
      </c>
      <c r="R75" s="362">
        <v>35</v>
      </c>
      <c r="S75" s="236"/>
      <c r="T75" s="364">
        <f t="shared" si="12"/>
        <v>633004</v>
      </c>
      <c r="U75" s="365">
        <f t="shared" si="9"/>
        <v>-757.36419999999998</v>
      </c>
      <c r="V75" s="365">
        <f>IF($Q75="ekrk",IF($R75="data",IFERROR(INDEX(data!$A:$ALL,MATCH($M75,data!$A:$A,0),MATCH(V$2,data!$1:$1,0)),"#data"),IFERROR(U75*INDEX(indexy_SDcast!$A:$ALI,MATCH($R75,indexy_SDcast!$K:$K,0),MATCH(V$2,indexy_SDcast!$2:$2,0)),"#ekrk")),"#popis")</f>
        <v>-969.60199303045931</v>
      </c>
      <c r="W75" s="365">
        <f>IF($Q75="ekrk",IF($R75="data",IFERROR(INDEX(data!$A:$ALL,MATCH($M75,data!$A:$A,0),MATCH(W$2,data!$1:$1,0)),"#data"),IFERROR(V75*INDEX(indexy_SDcast!$A:$ALI,MATCH($R75,indexy_SDcast!$K:$K,0),MATCH(W$2,indexy_SDcast!$2:$2,0)),"#ekrk")),"#popis")</f>
        <v>-980.50158542037116</v>
      </c>
      <c r="X75" s="365">
        <f>IF($Q75="ekrk",IF($R75="data",IFERROR(INDEX(data!$A:$ALL,MATCH($M75,data!$A:$A,0),MATCH(X$2,data!$1:$1,0)),"#data"),IFERROR(W75*INDEX(indexy_SDcast!$A:$ALI,MATCH($R75,indexy_SDcast!$K:$K,0),MATCH(X$2,indexy_SDcast!$2:$2,0)),"#ekrk")),"#popis")</f>
        <v>-629.80165113118483</v>
      </c>
      <c r="Y75" s="362">
        <f>IF($Q75="ekrk",IF($R75="data",IFERROR(INDEX(data!$A:$ALL,MATCH($M75,data!$A:$A,0),MATCH(Y$2,data!$1:$1,0)),"#data"),IFERROR(X75*INDEX(indexy_SDcast!$A:$ALI,MATCH($R75,indexy_SDcast!$K:$K,0),MATCH(Y$2,indexy_SDcast!$2:$2,0)),"#ekrk")),"#popis")</f>
        <v>-852.02588179778536</v>
      </c>
    </row>
    <row r="76" spans="1:25" x14ac:dyDescent="0.25">
      <c r="A76" s="330">
        <v>633005</v>
      </c>
      <c r="B76" s="329">
        <v>-9.2040600000000001</v>
      </c>
      <c r="C76" s="157"/>
      <c r="D76" s="330">
        <v>633005</v>
      </c>
      <c r="E76" s="329">
        <v>-9.2040600000000001</v>
      </c>
      <c r="F76" s="157"/>
      <c r="G76" s="330">
        <v>633005</v>
      </c>
      <c r="H76" s="329">
        <v>-9.2040600000000001</v>
      </c>
      <c r="I76" s="157"/>
      <c r="J76" s="330">
        <v>633005</v>
      </c>
      <c r="K76" s="329">
        <v>-9.2040600000000001</v>
      </c>
      <c r="L76" s="157"/>
      <c r="M76" s="360">
        <f t="shared" si="10"/>
        <v>633005</v>
      </c>
      <c r="N76" s="237">
        <f t="shared" si="11"/>
        <v>-9.2040600000000001</v>
      </c>
      <c r="O76" s="361"/>
      <c r="P76" s="361"/>
      <c r="Q76" s="361" t="s">
        <v>698</v>
      </c>
      <c r="R76" s="362">
        <v>35</v>
      </c>
      <c r="S76" s="236"/>
      <c r="T76" s="364">
        <f t="shared" si="12"/>
        <v>633005</v>
      </c>
      <c r="U76" s="365">
        <f t="shared" si="9"/>
        <v>-9.2040600000000001</v>
      </c>
      <c r="V76" s="365">
        <f>IF($Q76="ekrk",IF($R76="data",IFERROR(INDEX(data!$A:$ALL,MATCH($M76,data!$A:$A,0),MATCH(V$2,data!$1:$1,0)),"#data"),IFERROR(U76*INDEX(indexy_SDcast!$A:$ALI,MATCH($R76,indexy_SDcast!$K:$K,0),MATCH(V$2,indexy_SDcast!$2:$2,0)),"#ekrk")),"#popis")</f>
        <v>-11.783333460931914</v>
      </c>
      <c r="W76" s="365">
        <f>IF($Q76="ekrk",IF($R76="data",IFERROR(INDEX(data!$A:$ALL,MATCH($M76,data!$A:$A,0),MATCH(W$2,data!$1:$1,0)),"#data"),IFERROR(V76*INDEX(indexy_SDcast!$A:$ALI,MATCH($R76,indexy_SDcast!$K:$K,0),MATCH(W$2,indexy_SDcast!$2:$2,0)),"#ekrk")),"#popis")</f>
        <v>-11.915793514275196</v>
      </c>
      <c r="X76" s="365">
        <f>IF($Q76="ekrk",IF($R76="data",IFERROR(INDEX(data!$A:$ALL,MATCH($M76,data!$A:$A,0),MATCH(X$2,data!$1:$1,0)),"#data"),IFERROR(W76*INDEX(indexy_SDcast!$A:$ALI,MATCH($R76,indexy_SDcast!$K:$K,0),MATCH(X$2,indexy_SDcast!$2:$2,0)),"#ekrk")),"#popis")</f>
        <v>-7.6538238605818627</v>
      </c>
      <c r="Y76" s="362">
        <f>IF($Q76="ekrk",IF($R76="data",IFERROR(INDEX(data!$A:$ALL,MATCH($M76,data!$A:$A,0),MATCH(Y$2,data!$1:$1,0)),"#data"),IFERROR(X76*INDEX(indexy_SDcast!$A:$ALI,MATCH($R76,indexy_SDcast!$K:$K,0),MATCH(Y$2,indexy_SDcast!$2:$2,0)),"#ekrk")),"#popis")</f>
        <v>-10.354460030748385</v>
      </c>
    </row>
    <row r="77" spans="1:25" x14ac:dyDescent="0.25">
      <c r="A77" s="330">
        <v>633006</v>
      </c>
      <c r="B77" s="329">
        <v>-485.38401999999979</v>
      </c>
      <c r="C77" s="157"/>
      <c r="D77" s="330">
        <v>633006</v>
      </c>
      <c r="E77" s="329">
        <v>-485.38401999999979</v>
      </c>
      <c r="F77" s="157"/>
      <c r="G77" s="330">
        <v>633006</v>
      </c>
      <c r="H77" s="329">
        <v>-485.38401999999979</v>
      </c>
      <c r="I77" s="157"/>
      <c r="J77" s="330">
        <v>633006</v>
      </c>
      <c r="K77" s="329">
        <v>-485.38401999999979</v>
      </c>
      <c r="L77" s="157"/>
      <c r="M77" s="360">
        <f t="shared" si="10"/>
        <v>633006</v>
      </c>
      <c r="N77" s="237">
        <f t="shared" si="11"/>
        <v>-485.38401999999979</v>
      </c>
      <c r="O77" s="361"/>
      <c r="P77" s="361"/>
      <c r="Q77" s="361" t="s">
        <v>698</v>
      </c>
      <c r="R77" s="362">
        <v>35</v>
      </c>
      <c r="S77" s="236"/>
      <c r="T77" s="364">
        <f t="shared" si="12"/>
        <v>633006</v>
      </c>
      <c r="U77" s="365">
        <f t="shared" si="9"/>
        <v>-485.38401999999979</v>
      </c>
      <c r="V77" s="365">
        <f>IF($Q77="ekrk",IF($R77="data",IFERROR(INDEX(data!$A:$ALL,MATCH($M77,data!$A:$A,0),MATCH(V$2,data!$1:$1,0)),"#data"),IFERROR(U77*INDEX(indexy_SDcast!$A:$ALI,MATCH($R77,indexy_SDcast!$K:$K,0),MATCH(V$2,indexy_SDcast!$2:$2,0)),"#ekrk")),"#popis")</f>
        <v>-621.40422425186739</v>
      </c>
      <c r="W77" s="365">
        <f>IF($Q77="ekrk",IF($R77="data",IFERROR(INDEX(data!$A:$ALL,MATCH($M77,data!$A:$A,0),MATCH(W$2,data!$1:$1,0)),"#data"),IFERROR(V77*INDEX(indexy_SDcast!$A:$ALI,MATCH($R77,indexy_SDcast!$K:$K,0),MATCH(W$2,indexy_SDcast!$2:$2,0)),"#ekrk")),"#popis")</f>
        <v>-628.38961908644876</v>
      </c>
      <c r="X77" s="365">
        <f>IF($Q77="ekrk",IF($R77="data",IFERROR(INDEX(data!$A:$ALL,MATCH($M77,data!$A:$A,0),MATCH(X$2,data!$1:$1,0)),"#data"),IFERROR(W77*INDEX(indexy_SDcast!$A:$ALI,MATCH($R77,indexy_SDcast!$K:$K,0),MATCH(X$2,indexy_SDcast!$2:$2,0)),"#ekrk")),"#popis")</f>
        <v>-403.6309839159178</v>
      </c>
      <c r="Y77" s="362">
        <f>IF($Q77="ekrk",IF($R77="data",IFERROR(INDEX(data!$A:$ALL,MATCH($M77,data!$A:$A,0),MATCH(Y$2,data!$1:$1,0)),"#data"),IFERROR(X77*INDEX(indexy_SDcast!$A:$ALI,MATCH($R77,indexy_SDcast!$K:$K,0),MATCH(Y$2,indexy_SDcast!$2:$2,0)),"#ekrk")),"#popis")</f>
        <v>-546.05135501658754</v>
      </c>
    </row>
    <row r="78" spans="1:25" x14ac:dyDescent="0.25">
      <c r="A78" s="330">
        <v>633007</v>
      </c>
      <c r="B78" s="329">
        <v>-6.0562399999999998</v>
      </c>
      <c r="C78" s="157"/>
      <c r="D78" s="330">
        <v>633007</v>
      </c>
      <c r="E78" s="329">
        <v>-6.0562399999999998</v>
      </c>
      <c r="F78" s="157"/>
      <c r="G78" s="330">
        <v>633007</v>
      </c>
      <c r="H78" s="329">
        <v>-6.0562399999999998</v>
      </c>
      <c r="I78" s="157"/>
      <c r="J78" s="330">
        <v>633007</v>
      </c>
      <c r="K78" s="329">
        <v>-6.0562399999999998</v>
      </c>
      <c r="L78" s="157"/>
      <c r="M78" s="360">
        <f t="shared" si="10"/>
        <v>633007</v>
      </c>
      <c r="N78" s="237">
        <f t="shared" si="11"/>
        <v>-6.0562399999999998</v>
      </c>
      <c r="O78" s="361"/>
      <c r="P78" s="361"/>
      <c r="Q78" s="361" t="s">
        <v>698</v>
      </c>
      <c r="R78" s="362">
        <v>35</v>
      </c>
      <c r="S78" s="236"/>
      <c r="T78" s="364">
        <f t="shared" si="12"/>
        <v>633007</v>
      </c>
      <c r="U78" s="365">
        <f t="shared" si="9"/>
        <v>-6.0562399999999998</v>
      </c>
      <c r="V78" s="365">
        <f>IF($Q78="ekrk",IF($R78="data",IFERROR(INDEX(data!$A:$ALL,MATCH($M78,data!$A:$A,0),MATCH(V$2,data!$1:$1,0)),"#data"),IFERROR(U78*INDEX(indexy_SDcast!$A:$ALI,MATCH($R78,indexy_SDcast!$K:$K,0),MATCH(V$2,indexy_SDcast!$2:$2,0)),"#ekrk")),"#popis")</f>
        <v>-7.7533931155853271</v>
      </c>
      <c r="W78" s="365">
        <f>IF($Q78="ekrk",IF($R78="data",IFERROR(INDEX(data!$A:$ALL,MATCH($M78,data!$A:$A,0),MATCH(W$2,data!$1:$1,0)),"#data"),IFERROR(V78*INDEX(indexy_SDcast!$A:$ALI,MATCH($R78,indexy_SDcast!$K:$K,0),MATCH(W$2,indexy_SDcast!$2:$2,0)),"#ekrk")),"#popis")</f>
        <v>-7.8405513776413889</v>
      </c>
      <c r="X78" s="365">
        <f>IF($Q78="ekrk",IF($R78="data",IFERROR(INDEX(data!$A:$ALL,MATCH($M78,data!$A:$A,0),MATCH(X$2,data!$1:$1,0)),"#data"),IFERROR(W78*INDEX(indexy_SDcast!$A:$ALI,MATCH($R78,indexy_SDcast!$K:$K,0),MATCH(X$2,indexy_SDcast!$2:$2,0)),"#ekrk")),"#popis")</f>
        <v>-5.0361899224266562</v>
      </c>
      <c r="Y78" s="362">
        <f>IF($Q78="ekrk",IF($R78="data",IFERROR(INDEX(data!$A:$ALL,MATCH($M78,data!$A:$A,0),MATCH(Y$2,data!$1:$1,0)),"#data"),IFERROR(X78*INDEX(indexy_SDcast!$A:$ALI,MATCH($R78,indexy_SDcast!$K:$K,0),MATCH(Y$2,indexy_SDcast!$2:$2,0)),"#ekrk")),"#popis")</f>
        <v>-6.813199285600005</v>
      </c>
    </row>
    <row r="79" spans="1:25" x14ac:dyDescent="0.25">
      <c r="A79" s="330">
        <v>633009</v>
      </c>
      <c r="B79" s="329">
        <v>-432.48035999999991</v>
      </c>
      <c r="C79" s="157"/>
      <c r="D79" s="330">
        <v>633009</v>
      </c>
      <c r="E79" s="329">
        <v>-432.48035999999991</v>
      </c>
      <c r="F79" s="157"/>
      <c r="G79" s="330">
        <v>633009</v>
      </c>
      <c r="H79" s="329">
        <v>-432.48035999999991</v>
      </c>
      <c r="I79" s="157"/>
      <c r="J79" s="330">
        <v>633009</v>
      </c>
      <c r="K79" s="329">
        <v>-432.48035999999991</v>
      </c>
      <c r="L79" s="157"/>
      <c r="M79" s="360">
        <f t="shared" si="10"/>
        <v>633009</v>
      </c>
      <c r="N79" s="237">
        <f t="shared" si="11"/>
        <v>-432.48035999999991</v>
      </c>
      <c r="O79" s="361"/>
      <c r="P79" s="361"/>
      <c r="Q79" s="361" t="s">
        <v>698</v>
      </c>
      <c r="R79" s="362">
        <v>35</v>
      </c>
      <c r="S79" s="236"/>
      <c r="T79" s="364">
        <f t="shared" si="12"/>
        <v>633009</v>
      </c>
      <c r="U79" s="365">
        <f t="shared" si="9"/>
        <v>-432.48035999999991</v>
      </c>
      <c r="V79" s="365">
        <f>IF($Q79="ekrk",IF($R79="data",IFERROR(INDEX(data!$A:$ALL,MATCH($M79,data!$A:$A,0),MATCH(V$2,data!$1:$1,0)),"#data"),IFERROR(U79*INDEX(indexy_SDcast!$A:$ALI,MATCH($R79,indexy_SDcast!$K:$K,0),MATCH(V$2,indexy_SDcast!$2:$2,0)),"#ekrk")),"#popis")</f>
        <v>-553.67525822125003</v>
      </c>
      <c r="W79" s="365">
        <f>IF($Q79="ekrk",IF($R79="data",IFERROR(INDEX(data!$A:$ALL,MATCH($M79,data!$A:$A,0),MATCH(W$2,data!$1:$1,0)),"#data"),IFERROR(V79*INDEX(indexy_SDcast!$A:$ALI,MATCH($R79,indexy_SDcast!$K:$K,0),MATCH(W$2,indexy_SDcast!$2:$2,0)),"#ekrk")),"#popis")</f>
        <v>-559.89929104540829</v>
      </c>
      <c r="X79" s="365">
        <f>IF($Q79="ekrk",IF($R79="data",IFERROR(INDEX(data!$A:$ALL,MATCH($M79,data!$A:$A,0),MATCH(X$2,data!$1:$1,0)),"#data"),IFERROR(W79*INDEX(indexy_SDcast!$A:$ALI,MATCH($R79,indexy_SDcast!$K:$K,0),MATCH(X$2,indexy_SDcast!$2:$2,0)),"#ekrk")),"#popis")</f>
        <v>-359.63786618090637</v>
      </c>
      <c r="Y79" s="362">
        <f>IF($Q79="ekrk",IF($R79="data",IFERROR(INDEX(data!$A:$ALL,MATCH($M79,data!$A:$A,0),MATCH(Y$2,data!$1:$1,0)),"#data"),IFERROR(X79*INDEX(indexy_SDcast!$A:$ALI,MATCH($R79,indexy_SDcast!$K:$K,0),MATCH(Y$2,indexy_SDcast!$2:$2,0)),"#ekrk")),"#popis")</f>
        <v>-486.53535523493673</v>
      </c>
    </row>
    <row r="80" spans="1:25" x14ac:dyDescent="0.25">
      <c r="A80" s="330">
        <v>633010</v>
      </c>
      <c r="B80" s="329">
        <v>-5.4518699999999995</v>
      </c>
      <c r="C80" s="157"/>
      <c r="D80" s="330">
        <v>633010</v>
      </c>
      <c r="E80" s="329">
        <v>-5.4518699999999995</v>
      </c>
      <c r="F80" s="157"/>
      <c r="G80" s="330">
        <v>633010</v>
      </c>
      <c r="H80" s="329">
        <v>-5.4518699999999995</v>
      </c>
      <c r="I80" s="157"/>
      <c r="J80" s="330">
        <v>633010</v>
      </c>
      <c r="K80" s="329">
        <v>-5.4518699999999995</v>
      </c>
      <c r="L80" s="157"/>
      <c r="M80" s="360">
        <f t="shared" si="10"/>
        <v>633010</v>
      </c>
      <c r="N80" s="237">
        <f t="shared" si="11"/>
        <v>-5.4518699999999995</v>
      </c>
      <c r="O80" s="361"/>
      <c r="P80" s="361"/>
      <c r="Q80" s="361" t="s">
        <v>698</v>
      </c>
      <c r="R80" s="362">
        <v>35</v>
      </c>
      <c r="S80" s="236"/>
      <c r="T80" s="364">
        <f t="shared" si="12"/>
        <v>633010</v>
      </c>
      <c r="U80" s="365">
        <f t="shared" si="9"/>
        <v>-5.4518699999999995</v>
      </c>
      <c r="V80" s="365">
        <f>IF($Q80="ekrk",IF($R80="data",IFERROR(INDEX(data!$A:$ALL,MATCH($M80,data!$A:$A,0),MATCH(V$2,data!$1:$1,0)),"#data"),IFERROR(U80*INDEX(indexy_SDcast!$A:$ALI,MATCH($R80,indexy_SDcast!$K:$K,0),MATCH(V$2,indexy_SDcast!$2:$2,0)),"#ekrk")),"#popis")</f>
        <v>-6.979659215134502</v>
      </c>
      <c r="W80" s="365">
        <f>IF($Q80="ekrk",IF($R80="data",IFERROR(INDEX(data!$A:$ALL,MATCH($M80,data!$A:$A,0),MATCH(W$2,data!$1:$1,0)),"#data"),IFERROR(V80*INDEX(indexy_SDcast!$A:$ALI,MATCH($R80,indexy_SDcast!$K:$K,0),MATCH(W$2,indexy_SDcast!$2:$2,0)),"#ekrk")),"#popis")</f>
        <v>-7.0581196979019589</v>
      </c>
      <c r="X80" s="365">
        <f>IF($Q80="ekrk",IF($R80="data",IFERROR(INDEX(data!$A:$ALL,MATCH($M80,data!$A:$A,0),MATCH(X$2,data!$1:$1,0)),"#data"),IFERROR(W80*INDEX(indexy_SDcast!$A:$ALI,MATCH($R80,indexy_SDcast!$K:$K,0),MATCH(X$2,indexy_SDcast!$2:$2,0)),"#ekrk")),"#popis")</f>
        <v>-4.5336137194662394</v>
      </c>
      <c r="Y80" s="362">
        <f>IF($Q80="ekrk",IF($R80="data",IFERROR(INDEX(data!$A:$ALL,MATCH($M80,data!$A:$A,0),MATCH(Y$2,data!$1:$1,0)),"#data"),IFERROR(X80*INDEX(indexy_SDcast!$A:$ALI,MATCH($R80,indexy_SDcast!$K:$K,0),MATCH(Y$2,indexy_SDcast!$2:$2,0)),"#ekrk")),"#popis")</f>
        <v>-6.1332900923979405</v>
      </c>
    </row>
    <row r="81" spans="1:25" x14ac:dyDescent="0.25">
      <c r="A81" s="330">
        <v>633011</v>
      </c>
      <c r="B81" s="329">
        <v>-2.9823299999999997</v>
      </c>
      <c r="C81" s="157"/>
      <c r="D81" s="330">
        <v>633011</v>
      </c>
      <c r="E81" s="329">
        <v>-2.9823299999999997</v>
      </c>
      <c r="F81" s="157"/>
      <c r="G81" s="330">
        <v>633011</v>
      </c>
      <c r="H81" s="329">
        <v>-2.9823299999999997</v>
      </c>
      <c r="I81" s="157"/>
      <c r="J81" s="330">
        <v>633011</v>
      </c>
      <c r="K81" s="329">
        <v>-2.9823299999999997</v>
      </c>
      <c r="L81" s="157"/>
      <c r="M81" s="360">
        <f t="shared" si="10"/>
        <v>633011</v>
      </c>
      <c r="N81" s="237">
        <f t="shared" si="11"/>
        <v>-2.9823299999999997</v>
      </c>
      <c r="O81" s="361"/>
      <c r="P81" s="361"/>
      <c r="Q81" s="361" t="s">
        <v>698</v>
      </c>
      <c r="R81" s="362">
        <v>35</v>
      </c>
      <c r="S81" s="236"/>
      <c r="T81" s="364">
        <f t="shared" si="12"/>
        <v>633011</v>
      </c>
      <c r="U81" s="365">
        <f t="shared" si="9"/>
        <v>-2.9823299999999997</v>
      </c>
      <c r="V81" s="365">
        <f>IF($Q81="ekrk",IF($R81="data",IFERROR(INDEX(data!$A:$ALL,MATCH($M81,data!$A:$A,0),MATCH(V$2,data!$1:$1,0)),"#data"),IFERROR(U81*INDEX(indexy_SDcast!$A:$ALI,MATCH($R81,indexy_SDcast!$K:$K,0),MATCH(V$2,indexy_SDcast!$2:$2,0)),"#ekrk")),"#popis")</f>
        <v>-3.8180747279506075</v>
      </c>
      <c r="W81" s="365">
        <f>IF($Q81="ekrk",IF($R81="data",IFERROR(INDEX(data!$A:$ALL,MATCH($M81,data!$A:$A,0),MATCH(W$2,data!$1:$1,0)),"#data"),IFERROR(V81*INDEX(indexy_SDcast!$A:$ALI,MATCH($R81,indexy_SDcast!$K:$K,0),MATCH(W$2,indexy_SDcast!$2:$2,0)),"#ekrk")),"#popis")</f>
        <v>-3.8609948730699646</v>
      </c>
      <c r="X81" s="365">
        <f>IF($Q81="ekrk",IF($R81="data",IFERROR(INDEX(data!$A:$ALL,MATCH($M81,data!$A:$A,0),MATCH(X$2,data!$1:$1,0)),"#data"),IFERROR(W81*INDEX(indexy_SDcast!$A:$ALI,MATCH($R81,indexy_SDcast!$K:$K,0),MATCH(X$2,indexy_SDcast!$2:$2,0)),"#ekrk")),"#popis")</f>
        <v>-2.480017352573658</v>
      </c>
      <c r="Y81" s="362">
        <f>IF($Q81="ekrk",IF($R81="data",IFERROR(INDEX(data!$A:$ALL,MATCH($M81,data!$A:$A,0),MATCH(Y$2,data!$1:$1,0)),"#data"),IFERROR(X81*INDEX(indexy_SDcast!$A:$ALI,MATCH($R81,indexy_SDcast!$K:$K,0),MATCH(Y$2,indexy_SDcast!$2:$2,0)),"#ekrk")),"#popis")</f>
        <v>-3.3550864274572119</v>
      </c>
    </row>
    <row r="82" spans="1:25" x14ac:dyDescent="0.25">
      <c r="A82" s="330">
        <v>633013</v>
      </c>
      <c r="B82" s="329">
        <v>-216.65174999999999</v>
      </c>
      <c r="C82" s="157"/>
      <c r="D82" s="330">
        <v>633013</v>
      </c>
      <c r="E82" s="329">
        <v>-216.65174999999999</v>
      </c>
      <c r="F82" s="157"/>
      <c r="G82" s="330">
        <v>633013</v>
      </c>
      <c r="H82" s="329">
        <v>-216.65174999999999</v>
      </c>
      <c r="I82" s="157"/>
      <c r="J82" s="330">
        <v>633013</v>
      </c>
      <c r="K82" s="329">
        <v>-216.65174999999999</v>
      </c>
      <c r="L82" s="157"/>
      <c r="M82" s="360">
        <f t="shared" si="10"/>
        <v>633013</v>
      </c>
      <c r="N82" s="237">
        <f t="shared" si="11"/>
        <v>-216.65174999999999</v>
      </c>
      <c r="O82" s="361"/>
      <c r="P82" s="361"/>
      <c r="Q82" s="361" t="s">
        <v>698</v>
      </c>
      <c r="R82" s="362">
        <v>35</v>
      </c>
      <c r="S82" s="236"/>
      <c r="T82" s="364">
        <f t="shared" si="12"/>
        <v>633013</v>
      </c>
      <c r="U82" s="365">
        <f t="shared" si="9"/>
        <v>-216.65174999999999</v>
      </c>
      <c r="V82" s="365">
        <f>IF($Q82="ekrk",IF($R82="data",IFERROR(INDEX(data!$A:$ALL,MATCH($M82,data!$A:$A,0),MATCH(V$2,data!$1:$1,0)),"#data"),IFERROR(U82*INDEX(indexy_SDcast!$A:$ALI,MATCH($R82,indexy_SDcast!$K:$K,0),MATCH(V$2,indexy_SDcast!$2:$2,0)),"#ekrk")),"#popis")</f>
        <v>-277.36453425384616</v>
      </c>
      <c r="W82" s="365">
        <f>IF($Q82="ekrk",IF($R82="data",IFERROR(INDEX(data!$A:$ALL,MATCH($M82,data!$A:$A,0),MATCH(W$2,data!$1:$1,0)),"#data"),IFERROR(V82*INDEX(indexy_SDcast!$A:$ALI,MATCH($R82,indexy_SDcast!$K:$K,0),MATCH(W$2,indexy_SDcast!$2:$2,0)),"#ekrk")),"#popis")</f>
        <v>-280.48247376770365</v>
      </c>
      <c r="X82" s="365">
        <f>IF($Q82="ekrk",IF($R82="data",IFERROR(INDEX(data!$A:$ALL,MATCH($M82,data!$A:$A,0),MATCH(X$2,data!$1:$1,0)),"#data"),IFERROR(W82*INDEX(indexy_SDcast!$A:$ALI,MATCH($R82,indexy_SDcast!$K:$K,0),MATCH(X$2,indexy_SDcast!$2:$2,0)),"#ekrk")),"#popis")</f>
        <v>-180.16118252019393</v>
      </c>
      <c r="Y82" s="362">
        <f>IF($Q82="ekrk",IF($R82="data",IFERROR(INDEX(data!$A:$ALL,MATCH($M82,data!$A:$A,0),MATCH(Y$2,data!$1:$1,0)),"#data"),IFERROR(X82*INDEX(indexy_SDcast!$A:$ALI,MATCH($R82,indexy_SDcast!$K:$K,0),MATCH(Y$2,indexy_SDcast!$2:$2,0)),"#ekrk")),"#popis")</f>
        <v>-243.73068906185867</v>
      </c>
    </row>
    <row r="83" spans="1:25" x14ac:dyDescent="0.25">
      <c r="A83" s="330">
        <v>633016</v>
      </c>
      <c r="B83" s="329">
        <v>-0.66580000000000006</v>
      </c>
      <c r="C83" s="157"/>
      <c r="D83" s="330">
        <v>633016</v>
      </c>
      <c r="E83" s="329">
        <v>-0.66580000000000006</v>
      </c>
      <c r="F83" s="157"/>
      <c r="G83" s="330">
        <v>633016</v>
      </c>
      <c r="H83" s="329">
        <v>-0.66580000000000006</v>
      </c>
      <c r="I83" s="157"/>
      <c r="J83" s="330">
        <v>633016</v>
      </c>
      <c r="K83" s="329">
        <v>-0.66580000000000006</v>
      </c>
      <c r="L83" s="157"/>
      <c r="M83" s="360">
        <f t="shared" si="10"/>
        <v>633016</v>
      </c>
      <c r="N83" s="237">
        <f t="shared" si="11"/>
        <v>-0.66580000000000006</v>
      </c>
      <c r="O83" s="361"/>
      <c r="P83" s="361"/>
      <c r="Q83" s="361" t="s">
        <v>698</v>
      </c>
      <c r="R83" s="362">
        <v>35</v>
      </c>
      <c r="S83" s="236"/>
      <c r="T83" s="364">
        <f t="shared" si="12"/>
        <v>633016</v>
      </c>
      <c r="U83" s="365">
        <f t="shared" si="9"/>
        <v>-0.66580000000000006</v>
      </c>
      <c r="V83" s="365">
        <f>IF($Q83="ekrk",IF($R83="data",IFERROR(INDEX(data!$A:$ALL,MATCH($M83,data!$A:$A,0),MATCH(V$2,data!$1:$1,0)),"#data"),IFERROR(U83*INDEX(indexy_SDcast!$A:$ALI,MATCH($R83,indexy_SDcast!$K:$K,0),MATCH(V$2,indexy_SDcast!$2:$2,0)),"#ekrk")),"#popis")</f>
        <v>-0.85237856101421206</v>
      </c>
      <c r="W83" s="365">
        <f>IF($Q83="ekrk",IF($R83="data",IFERROR(INDEX(data!$A:$ALL,MATCH($M83,data!$A:$A,0),MATCH(W$2,data!$1:$1,0)),"#data"),IFERROR(V83*INDEX(indexy_SDcast!$A:$ALI,MATCH($R83,indexy_SDcast!$K:$K,0),MATCH(W$2,indexy_SDcast!$2:$2,0)),"#ekrk")),"#popis")</f>
        <v>-0.86196040897217374</v>
      </c>
      <c r="X83" s="365">
        <f>IF($Q83="ekrk",IF($R83="data",IFERROR(INDEX(data!$A:$ALL,MATCH($M83,data!$A:$A,0),MATCH(X$2,data!$1:$1,0)),"#data"),IFERROR(W83*INDEX(indexy_SDcast!$A:$ALI,MATCH($R83,indexy_SDcast!$K:$K,0),MATCH(X$2,indexy_SDcast!$2:$2,0)),"#ekrk")),"#popis")</f>
        <v>-0.55365957266417254</v>
      </c>
      <c r="Y83" s="362">
        <f>IF($Q83="ekrk",IF($R83="data",IFERROR(INDEX(data!$A:$ALL,MATCH($M83,data!$A:$A,0),MATCH(Y$2,data!$1:$1,0)),"#data"),IFERROR(X83*INDEX(indexy_SDcast!$A:$ALI,MATCH($R83,indexy_SDcast!$K:$K,0),MATCH(Y$2,indexy_SDcast!$2:$2,0)),"#ekrk")),"#popis")</f>
        <v>-0.74901722592771824</v>
      </c>
    </row>
    <row r="84" spans="1:25" x14ac:dyDescent="0.25">
      <c r="A84" s="330">
        <v>633018</v>
      </c>
      <c r="B84" s="329">
        <v>-1769.0596400000002</v>
      </c>
      <c r="C84" s="157"/>
      <c r="D84" s="330">
        <v>633018</v>
      </c>
      <c r="E84" s="329">
        <v>-1769.0596400000002</v>
      </c>
      <c r="F84" s="157"/>
      <c r="G84" s="330">
        <v>633018</v>
      </c>
      <c r="H84" s="329">
        <v>-1769.0596400000002</v>
      </c>
      <c r="I84" s="157"/>
      <c r="J84" s="330">
        <v>633018</v>
      </c>
      <c r="K84" s="329">
        <v>-1769.0596400000002</v>
      </c>
      <c r="L84" s="157"/>
      <c r="M84" s="360">
        <f t="shared" si="10"/>
        <v>633018</v>
      </c>
      <c r="N84" s="237">
        <f t="shared" si="11"/>
        <v>-1769.0596400000002</v>
      </c>
      <c r="O84" s="361"/>
      <c r="P84" s="361"/>
      <c r="Q84" s="361" t="s">
        <v>698</v>
      </c>
      <c r="R84" s="362">
        <v>35</v>
      </c>
      <c r="S84" s="236"/>
      <c r="T84" s="364">
        <f t="shared" si="12"/>
        <v>633018</v>
      </c>
      <c r="U84" s="365">
        <f t="shared" si="9"/>
        <v>-1769.0596400000002</v>
      </c>
      <c r="V84" s="365">
        <f>IF($Q84="ekrk",IF($R84="data",IFERROR(INDEX(data!$A:$ALL,MATCH($M84,data!$A:$A,0),MATCH(V$2,data!$1:$1,0)),"#data"),IFERROR(U84*INDEX(indexy_SDcast!$A:$ALI,MATCH($R84,indexy_SDcast!$K:$K,0),MATCH(V$2,indexy_SDcast!$2:$2,0)),"#ekrk")),"#popis")</f>
        <v>-2264.8070145562028</v>
      </c>
      <c r="W84" s="365">
        <f>IF($Q84="ekrk",IF($R84="data",IFERROR(INDEX(data!$A:$ALL,MATCH($M84,data!$A:$A,0),MATCH(W$2,data!$1:$1,0)),"#data"),IFERROR(V84*INDEX(indexy_SDcast!$A:$ALI,MATCH($R84,indexy_SDcast!$K:$K,0),MATCH(W$2,indexy_SDcast!$2:$2,0)),"#ekrk")),"#popis")</f>
        <v>-2290.2664025091112</v>
      </c>
      <c r="X84" s="365">
        <f>IF($Q84="ekrk",IF($R84="data",IFERROR(INDEX(data!$A:$ALL,MATCH($M84,data!$A:$A,0),MATCH(X$2,data!$1:$1,0)),"#data"),IFERROR(W84*INDEX(indexy_SDcast!$A:$ALI,MATCH($R84,indexy_SDcast!$K:$K,0),MATCH(X$2,indexy_SDcast!$2:$2,0)),"#ekrk")),"#popis")</f>
        <v>-1471.0976333731373</v>
      </c>
      <c r="Y84" s="362">
        <f>IF($Q84="ekrk",IF($R84="data",IFERROR(INDEX(data!$A:$ALL,MATCH($M84,data!$A:$A,0),MATCH(Y$2,data!$1:$1,0)),"#data"),IFERROR(X84*INDEX(indexy_SDcast!$A:$ALI,MATCH($R84,indexy_SDcast!$K:$K,0),MATCH(Y$2,indexy_SDcast!$2:$2,0)),"#ekrk")),"#popis")</f>
        <v>-1990.1714389508677</v>
      </c>
    </row>
    <row r="85" spans="1:25" x14ac:dyDescent="0.25">
      <c r="A85" s="330">
        <v>634001</v>
      </c>
      <c r="B85" s="329">
        <v>-1.6886700000000001</v>
      </c>
      <c r="C85" s="157"/>
      <c r="D85" s="330">
        <v>634001</v>
      </c>
      <c r="E85" s="329">
        <v>-1.6886700000000001</v>
      </c>
      <c r="F85" s="157"/>
      <c r="G85" s="330">
        <v>634001</v>
      </c>
      <c r="H85" s="329">
        <v>-1.6886700000000001</v>
      </c>
      <c r="I85" s="157"/>
      <c r="J85" s="330">
        <v>634001</v>
      </c>
      <c r="K85" s="329">
        <v>-1.6886700000000001</v>
      </c>
      <c r="L85" s="157"/>
      <c r="M85" s="360">
        <f t="shared" si="10"/>
        <v>634001</v>
      </c>
      <c r="N85" s="237">
        <f t="shared" si="11"/>
        <v>-1.6886700000000001</v>
      </c>
      <c r="O85" s="361"/>
      <c r="P85" s="361"/>
      <c r="Q85" s="361" t="s">
        <v>698</v>
      </c>
      <c r="R85" s="362">
        <v>35</v>
      </c>
      <c r="S85" s="236"/>
      <c r="T85" s="364">
        <f t="shared" si="12"/>
        <v>634001</v>
      </c>
      <c r="U85" s="365">
        <f t="shared" si="9"/>
        <v>-1.6886700000000001</v>
      </c>
      <c r="V85" s="365">
        <f>IF($Q85="ekrk",IF($R85="data",IFERROR(INDEX(data!$A:$ALL,MATCH($M85,data!$A:$A,0),MATCH(V$2,data!$1:$1,0)),"#data"),IFERROR(U85*INDEX(indexy_SDcast!$A:$ALI,MATCH($R85,indexy_SDcast!$K:$K,0),MATCH(V$2,indexy_SDcast!$2:$2,0)),"#ekrk")),"#popis")</f>
        <v>-2.1618896134392753</v>
      </c>
      <c r="W85" s="365">
        <f>IF($Q85="ekrk",IF($R85="data",IFERROR(INDEX(data!$A:$ALL,MATCH($M85,data!$A:$A,0),MATCH(W$2,data!$1:$1,0)),"#data"),IFERROR(V85*INDEX(indexy_SDcast!$A:$ALI,MATCH($R85,indexy_SDcast!$K:$K,0),MATCH(W$2,indexy_SDcast!$2:$2,0)),"#ekrk")),"#popis")</f>
        <v>-2.1861920754266158</v>
      </c>
      <c r="X85" s="365">
        <f>IF($Q85="ekrk",IF($R85="data",IFERROR(INDEX(data!$A:$ALL,MATCH($M85,data!$A:$A,0),MATCH(X$2,data!$1:$1,0)),"#data"),IFERROR(W85*INDEX(indexy_SDcast!$A:$ALI,MATCH($R85,indexy_SDcast!$K:$K,0),MATCH(X$2,indexy_SDcast!$2:$2,0)),"#ekrk")),"#popis")</f>
        <v>-1.4042479882409258</v>
      </c>
      <c r="Y85" s="362">
        <f>IF($Q85="ekrk",IF($R85="data",IFERROR(INDEX(data!$A:$ALL,MATCH($M85,data!$A:$A,0),MATCH(Y$2,data!$1:$1,0)),"#data"),IFERROR(X85*INDEX(indexy_SDcast!$A:$ALI,MATCH($R85,indexy_SDcast!$K:$K,0),MATCH(Y$2,indexy_SDcast!$2:$2,0)),"#ekrk")),"#popis")</f>
        <v>-1.8997340326034247</v>
      </c>
    </row>
    <row r="86" spans="1:25" x14ac:dyDescent="0.25">
      <c r="A86" s="330">
        <v>634002</v>
      </c>
      <c r="B86" s="329">
        <v>-7.0790000000000006E-2</v>
      </c>
      <c r="C86" s="157"/>
      <c r="D86" s="330">
        <v>634002</v>
      </c>
      <c r="E86" s="329">
        <v>-7.0790000000000006E-2</v>
      </c>
      <c r="F86" s="157"/>
      <c r="G86" s="330">
        <v>634002</v>
      </c>
      <c r="H86" s="329">
        <v>-7.0790000000000006E-2</v>
      </c>
      <c r="I86" s="157"/>
      <c r="J86" s="330">
        <v>634002</v>
      </c>
      <c r="K86" s="329">
        <v>-7.0790000000000006E-2</v>
      </c>
      <c r="L86" s="157"/>
      <c r="M86" s="360">
        <f t="shared" si="10"/>
        <v>634002</v>
      </c>
      <c r="N86" s="237">
        <f t="shared" si="11"/>
        <v>-7.0790000000000006E-2</v>
      </c>
      <c r="O86" s="361"/>
      <c r="P86" s="361"/>
      <c r="Q86" s="361" t="s">
        <v>698</v>
      </c>
      <c r="R86" s="362">
        <v>35</v>
      </c>
      <c r="S86" s="236"/>
      <c r="T86" s="364">
        <f t="shared" si="12"/>
        <v>634002</v>
      </c>
      <c r="U86" s="365">
        <f t="shared" si="9"/>
        <v>-7.0790000000000006E-2</v>
      </c>
      <c r="V86" s="365">
        <f>IF($Q86="ekrk",IF($R86="data",IFERROR(INDEX(data!$A:$ALL,MATCH($M86,data!$A:$A,0),MATCH(V$2,data!$1:$1,0)),"#data"),IFERROR(U86*INDEX(indexy_SDcast!$A:$ALI,MATCH($R86,indexy_SDcast!$K:$K,0),MATCH(V$2,indexy_SDcast!$2:$2,0)),"#ekrk")),"#popis")</f>
        <v>-9.0627633424746279E-2</v>
      </c>
      <c r="W86" s="365">
        <f>IF($Q86="ekrk",IF($R86="data",IFERROR(INDEX(data!$A:$ALL,MATCH($M86,data!$A:$A,0),MATCH(W$2,data!$1:$1,0)),"#data"),IFERROR(V86*INDEX(indexy_SDcast!$A:$ALI,MATCH($R86,indexy_SDcast!$K:$K,0),MATCH(W$2,indexy_SDcast!$2:$2,0)),"#ekrk")),"#popis")</f>
        <v>-9.1646406354971732E-2</v>
      </c>
      <c r="X86" s="365">
        <f>IF($Q86="ekrk",IF($R86="data",IFERROR(INDEX(data!$A:$ALL,MATCH($M86,data!$A:$A,0),MATCH(X$2,data!$1:$1,0)),"#data"),IFERROR(W86*INDEX(indexy_SDcast!$A:$ALI,MATCH($R86,indexy_SDcast!$K:$K,0),MATCH(X$2,indexy_SDcast!$2:$2,0)),"#ekrk")),"#popis")</f>
        <v>-5.8866868652593538E-2</v>
      </c>
      <c r="Y86" s="362">
        <f>IF($Q86="ekrk",IF($R86="data",IFERROR(INDEX(data!$A:$ALL,MATCH($M86,data!$A:$A,0),MATCH(Y$2,data!$1:$1,0)),"#data"),IFERROR(X86*INDEX(indexy_SDcast!$A:$ALI,MATCH($R86,indexy_SDcast!$K:$K,0),MATCH(Y$2,indexy_SDcast!$2:$2,0)),"#ekrk")),"#popis")</f>
        <v>-7.9637923435601041E-2</v>
      </c>
    </row>
    <row r="87" spans="1:25" x14ac:dyDescent="0.25">
      <c r="A87" s="330">
        <v>634004</v>
      </c>
      <c r="B87" s="329">
        <v>-2.4576399999999996</v>
      </c>
      <c r="C87" s="157"/>
      <c r="D87" s="330">
        <v>634004</v>
      </c>
      <c r="E87" s="329">
        <v>-2.4576399999999996</v>
      </c>
      <c r="F87" s="157"/>
      <c r="G87" s="330">
        <v>634004</v>
      </c>
      <c r="H87" s="329">
        <v>-2.4576399999999996</v>
      </c>
      <c r="I87" s="157"/>
      <c r="J87" s="330">
        <v>634004</v>
      </c>
      <c r="K87" s="329">
        <v>-2.4576399999999996</v>
      </c>
      <c r="L87" s="157"/>
      <c r="M87" s="360">
        <f t="shared" si="10"/>
        <v>634004</v>
      </c>
      <c r="N87" s="237">
        <f t="shared" si="11"/>
        <v>-2.4576399999999996</v>
      </c>
      <c r="O87" s="361"/>
      <c r="P87" s="361"/>
      <c r="Q87" s="361" t="s">
        <v>698</v>
      </c>
      <c r="R87" s="362">
        <v>35</v>
      </c>
      <c r="S87" s="236"/>
      <c r="T87" s="364">
        <f t="shared" si="12"/>
        <v>634004</v>
      </c>
      <c r="U87" s="365">
        <f t="shared" si="9"/>
        <v>-2.4576399999999996</v>
      </c>
      <c r="V87" s="365">
        <f>IF($Q87="ekrk",IF($R87="data",IFERROR(INDEX(data!$A:$ALL,MATCH($M87,data!$A:$A,0),MATCH(V$2,data!$1:$1,0)),"#data"),IFERROR(U87*INDEX(indexy_SDcast!$A:$ALI,MATCH($R87,indexy_SDcast!$K:$K,0),MATCH(V$2,indexy_SDcast!$2:$2,0)),"#ekrk")),"#popis")</f>
        <v>-3.1463497246785335</v>
      </c>
      <c r="W87" s="365">
        <f>IF($Q87="ekrk",IF($R87="data",IFERROR(INDEX(data!$A:$ALL,MATCH($M87,data!$A:$A,0),MATCH(W$2,data!$1:$1,0)),"#data"),IFERROR(V87*INDEX(indexy_SDcast!$A:$ALI,MATCH($R87,indexy_SDcast!$K:$K,0),MATCH(W$2,indexy_SDcast!$2:$2,0)),"#ekrk")),"#popis")</f>
        <v>-3.1817188037043747</v>
      </c>
      <c r="X87" s="365">
        <f>IF($Q87="ekrk",IF($R87="data",IFERROR(INDEX(data!$A:$ALL,MATCH($M87,data!$A:$A,0),MATCH(X$2,data!$1:$1,0)),"#data"),IFERROR(W87*INDEX(indexy_SDcast!$A:$ALI,MATCH($R87,indexy_SDcast!$K:$K,0),MATCH(X$2,indexy_SDcast!$2:$2,0)),"#ekrk")),"#popis")</f>
        <v>-2.0437006791264296</v>
      </c>
      <c r="Y87" s="362">
        <f>IF($Q87="ekrk",IF($R87="data",IFERROR(INDEX(data!$A:$ALL,MATCH($M87,data!$A:$A,0),MATCH(Y$2,data!$1:$1,0)),"#data"),IFERROR(X87*INDEX(indexy_SDcast!$A:$ALI,MATCH($R87,indexy_SDcast!$K:$K,0),MATCH(Y$2,indexy_SDcast!$2:$2,0)),"#ekrk")),"#popis")</f>
        <v>-2.7648163038885509</v>
      </c>
    </row>
    <row r="88" spans="1:25" x14ac:dyDescent="0.25">
      <c r="A88" s="330">
        <v>635001</v>
      </c>
      <c r="B88" s="329">
        <v>0</v>
      </c>
      <c r="C88" s="157"/>
      <c r="D88" s="330">
        <v>635001</v>
      </c>
      <c r="E88" s="329">
        <v>0</v>
      </c>
      <c r="F88" s="157"/>
      <c r="G88" s="330">
        <v>635001</v>
      </c>
      <c r="H88" s="329">
        <v>0</v>
      </c>
      <c r="I88" s="157"/>
      <c r="J88" s="330">
        <v>635001</v>
      </c>
      <c r="K88" s="329">
        <v>0</v>
      </c>
      <c r="L88" s="157"/>
      <c r="M88" s="360">
        <f t="shared" si="10"/>
        <v>635001</v>
      </c>
      <c r="N88" s="237">
        <f t="shared" si="11"/>
        <v>0</v>
      </c>
      <c r="O88" s="361"/>
      <c r="P88" s="361"/>
      <c r="Q88" s="361" t="s">
        <v>698</v>
      </c>
      <c r="R88" s="362">
        <v>35</v>
      </c>
      <c r="S88" s="236"/>
      <c r="T88" s="364">
        <f t="shared" si="12"/>
        <v>635001</v>
      </c>
      <c r="U88" s="365">
        <f t="shared" si="9"/>
        <v>0</v>
      </c>
      <c r="V88" s="365">
        <f>IF($Q88="ekrk",IF($R88="data",IFERROR(INDEX(data!$A:$ALL,MATCH($M88,data!$A:$A,0),MATCH(V$2,data!$1:$1,0)),"#data"),IFERROR(U88*INDEX(indexy_SDcast!$A:$ALI,MATCH($R88,indexy_SDcast!$K:$K,0),MATCH(V$2,indexy_SDcast!$2:$2,0)),"#ekrk")),"#popis")</f>
        <v>0</v>
      </c>
      <c r="W88" s="365">
        <f>IF($Q88="ekrk",IF($R88="data",IFERROR(INDEX(data!$A:$ALL,MATCH($M88,data!$A:$A,0),MATCH(W$2,data!$1:$1,0)),"#data"),IFERROR(V88*INDEX(indexy_SDcast!$A:$ALI,MATCH($R88,indexy_SDcast!$K:$K,0),MATCH(W$2,indexy_SDcast!$2:$2,0)),"#ekrk")),"#popis")</f>
        <v>0</v>
      </c>
      <c r="X88" s="365">
        <f>IF($Q88="ekrk",IF($R88="data",IFERROR(INDEX(data!$A:$ALL,MATCH($M88,data!$A:$A,0),MATCH(X$2,data!$1:$1,0)),"#data"),IFERROR(W88*INDEX(indexy_SDcast!$A:$ALI,MATCH($R88,indexy_SDcast!$K:$K,0),MATCH(X$2,indexy_SDcast!$2:$2,0)),"#ekrk")),"#popis")</f>
        <v>0</v>
      </c>
      <c r="Y88" s="362">
        <f>IF($Q88="ekrk",IF($R88="data",IFERROR(INDEX(data!$A:$ALL,MATCH($M88,data!$A:$A,0),MATCH(Y$2,data!$1:$1,0)),"#data"),IFERROR(X88*INDEX(indexy_SDcast!$A:$ALI,MATCH($R88,indexy_SDcast!$K:$K,0),MATCH(Y$2,indexy_SDcast!$2:$2,0)),"#ekrk")),"#popis")</f>
        <v>0</v>
      </c>
    </row>
    <row r="89" spans="1:25" x14ac:dyDescent="0.25">
      <c r="A89" s="330">
        <v>635004</v>
      </c>
      <c r="B89" s="329">
        <v>-2.2901100000000003</v>
      </c>
      <c r="C89" s="157"/>
      <c r="D89" s="330">
        <v>635004</v>
      </c>
      <c r="E89" s="329">
        <v>-2.2901100000000003</v>
      </c>
      <c r="F89" s="157"/>
      <c r="G89" s="330">
        <v>635004</v>
      </c>
      <c r="H89" s="329">
        <v>-2.2901100000000003</v>
      </c>
      <c r="I89" s="157"/>
      <c r="J89" s="330">
        <v>635004</v>
      </c>
      <c r="K89" s="329">
        <v>-2.2901100000000003</v>
      </c>
      <c r="L89" s="157"/>
      <c r="M89" s="360">
        <f t="shared" si="10"/>
        <v>635004</v>
      </c>
      <c r="N89" s="237">
        <f t="shared" si="11"/>
        <v>-2.2901100000000003</v>
      </c>
      <c r="O89" s="361"/>
      <c r="P89" s="361"/>
      <c r="Q89" s="361" t="s">
        <v>698</v>
      </c>
      <c r="R89" s="362">
        <v>35</v>
      </c>
      <c r="S89" s="236"/>
      <c r="T89" s="364">
        <f t="shared" si="12"/>
        <v>635004</v>
      </c>
      <c r="U89" s="365">
        <f t="shared" si="9"/>
        <v>-2.2901100000000003</v>
      </c>
      <c r="V89" s="365">
        <f>IF($Q89="ekrk",IF($R89="data",IFERROR(INDEX(data!$A:$ALL,MATCH($M89,data!$A:$A,0),MATCH(V$2,data!$1:$1,0)),"#data"),IFERROR(U89*INDEX(indexy_SDcast!$A:$ALI,MATCH($R89,indexy_SDcast!$K:$K,0),MATCH(V$2,indexy_SDcast!$2:$2,0)),"#ekrk")),"#popis")</f>
        <v>-2.9318724337102089</v>
      </c>
      <c r="W89" s="365">
        <f>IF($Q89="ekrk",IF($R89="data",IFERROR(INDEX(data!$A:$ALL,MATCH($M89,data!$A:$A,0),MATCH(W$2,data!$1:$1,0)),"#data"),IFERROR(V89*INDEX(indexy_SDcast!$A:$ALI,MATCH($R89,indexy_SDcast!$K:$K,0),MATCH(W$2,indexy_SDcast!$2:$2,0)),"#ekrk")),"#popis")</f>
        <v>-2.9648305079472288</v>
      </c>
      <c r="X89" s="365">
        <f>IF($Q89="ekrk",IF($R89="data",IFERROR(INDEX(data!$A:$ALL,MATCH($M89,data!$A:$A,0),MATCH(X$2,data!$1:$1,0)),"#data"),IFERROR(W89*INDEX(indexy_SDcast!$A:$ALI,MATCH($R89,indexy_SDcast!$K:$K,0),MATCH(X$2,indexy_SDcast!$2:$2,0)),"#ekrk")),"#popis")</f>
        <v>-1.9043876899278287</v>
      </c>
      <c r="Y89" s="362">
        <f>IF($Q89="ekrk",IF($R89="data",IFERROR(INDEX(data!$A:$ALL,MATCH($M89,data!$A:$A,0),MATCH(Y$2,data!$1:$1,0)),"#data"),IFERROR(X89*INDEX(indexy_SDcast!$A:$ALI,MATCH($R89,indexy_SDcast!$K:$K,0),MATCH(Y$2,indexy_SDcast!$2:$2,0)),"#ekrk")),"#popis")</f>
        <v>-2.5763470100170127</v>
      </c>
    </row>
    <row r="90" spans="1:25" x14ac:dyDescent="0.25">
      <c r="A90" s="330">
        <v>635006</v>
      </c>
      <c r="B90" s="329">
        <v>-230.98827</v>
      </c>
      <c r="C90" s="157"/>
      <c r="D90" s="330">
        <v>635006</v>
      </c>
      <c r="E90" s="329">
        <v>-230.98827</v>
      </c>
      <c r="F90" s="157"/>
      <c r="G90" s="330">
        <v>635006</v>
      </c>
      <c r="H90" s="329">
        <v>-230.98827</v>
      </c>
      <c r="I90" s="157"/>
      <c r="J90" s="330">
        <v>635006</v>
      </c>
      <c r="K90" s="329">
        <v>-230.98827</v>
      </c>
      <c r="L90" s="157"/>
      <c r="M90" s="360">
        <f t="shared" si="10"/>
        <v>635006</v>
      </c>
      <c r="N90" s="237">
        <f t="shared" si="11"/>
        <v>-230.98827</v>
      </c>
      <c r="O90" s="361"/>
      <c r="P90" s="361"/>
      <c r="Q90" s="361" t="s">
        <v>698</v>
      </c>
      <c r="R90" s="362">
        <v>35</v>
      </c>
      <c r="S90" s="236"/>
      <c r="T90" s="364">
        <f t="shared" si="12"/>
        <v>635006</v>
      </c>
      <c r="U90" s="365">
        <f t="shared" si="9"/>
        <v>-230.98827</v>
      </c>
      <c r="V90" s="365">
        <f>IF($Q90="ekrk",IF($R90="data",IFERROR(INDEX(data!$A:$ALL,MATCH($M90,data!$A:$A,0),MATCH(V$2,data!$1:$1,0)),"#data"),IFERROR(U90*INDEX(indexy_SDcast!$A:$ALI,MATCH($R90,indexy_SDcast!$K:$K,0),MATCH(V$2,indexy_SDcast!$2:$2,0)),"#ekrk")),"#popis")</f>
        <v>-295.71860798101869</v>
      </c>
      <c r="W90" s="365">
        <f>IF($Q90="ekrk",IF($R90="data",IFERROR(INDEX(data!$A:$ALL,MATCH($M90,data!$A:$A,0),MATCH(W$2,data!$1:$1,0)),"#data"),IFERROR(V90*INDEX(indexy_SDcast!$A:$ALI,MATCH($R90,indexy_SDcast!$K:$K,0),MATCH(W$2,indexy_SDcast!$2:$2,0)),"#ekrk")),"#popis")</f>
        <v>-299.04287124808479</v>
      </c>
      <c r="X90" s="365">
        <f>IF($Q90="ekrk",IF($R90="data",IFERROR(INDEX(data!$A:$ALL,MATCH($M90,data!$A:$A,0),MATCH(X$2,data!$1:$1,0)),"#data"),IFERROR(W90*INDEX(indexy_SDcast!$A:$ALI,MATCH($R90,indexy_SDcast!$K:$K,0),MATCH(X$2,indexy_SDcast!$2:$2,0)),"#ekrk")),"#popis")</f>
        <v>-192.08300819861293</v>
      </c>
      <c r="Y90" s="362">
        <f>IF($Q90="ekrk",IF($R90="data",IFERROR(INDEX(data!$A:$ALL,MATCH($M90,data!$A:$A,0),MATCH(Y$2,data!$1:$1,0)),"#data"),IFERROR(X90*INDEX(indexy_SDcast!$A:$ALI,MATCH($R90,indexy_SDcast!$K:$K,0),MATCH(Y$2,indexy_SDcast!$2:$2,0)),"#ekrk")),"#popis")</f>
        <v>-259.85910666452804</v>
      </c>
    </row>
    <row r="91" spans="1:25" x14ac:dyDescent="0.25">
      <c r="A91" s="330">
        <v>636001</v>
      </c>
      <c r="B91" s="329">
        <v>-305.88245000000006</v>
      </c>
      <c r="C91" s="157"/>
      <c r="D91" s="330">
        <v>636001</v>
      </c>
      <c r="E91" s="329">
        <v>-305.88245000000006</v>
      </c>
      <c r="F91" s="157"/>
      <c r="G91" s="330">
        <v>636001</v>
      </c>
      <c r="H91" s="329">
        <v>-305.88245000000006</v>
      </c>
      <c r="I91" s="157"/>
      <c r="J91" s="330">
        <v>636001</v>
      </c>
      <c r="K91" s="329">
        <v>-305.88245000000006</v>
      </c>
      <c r="L91" s="157"/>
      <c r="M91" s="360">
        <f t="shared" si="10"/>
        <v>636001</v>
      </c>
      <c r="N91" s="237">
        <f t="shared" si="11"/>
        <v>-305.88245000000006</v>
      </c>
      <c r="O91" s="361"/>
      <c r="P91" s="361"/>
      <c r="Q91" s="361" t="s">
        <v>698</v>
      </c>
      <c r="R91" s="362">
        <v>35</v>
      </c>
      <c r="S91" s="236"/>
      <c r="T91" s="364">
        <f t="shared" si="12"/>
        <v>636001</v>
      </c>
      <c r="U91" s="365">
        <f t="shared" si="9"/>
        <v>-305.88245000000006</v>
      </c>
      <c r="V91" s="365">
        <f>IF($Q91="ekrk",IF($R91="data",IFERROR(INDEX(data!$A:$ALL,MATCH($M91,data!$A:$A,0),MATCH(V$2,data!$1:$1,0)),"#data"),IFERROR(U91*INDEX(indexy_SDcast!$A:$ALI,MATCH($R91,indexy_SDcast!$K:$K,0),MATCH(V$2,indexy_SDcast!$2:$2,0)),"#ekrk")),"#popis")</f>
        <v>-391.60054456368533</v>
      </c>
      <c r="W91" s="365">
        <f>IF($Q91="ekrk",IF($R91="data",IFERROR(INDEX(data!$A:$ALL,MATCH($M91,data!$A:$A,0),MATCH(W$2,data!$1:$1,0)),"#data"),IFERROR(V91*INDEX(indexy_SDcast!$A:$ALI,MATCH($R91,indexy_SDcast!$K:$K,0),MATCH(W$2,indexy_SDcast!$2:$2,0)),"#ekrk")),"#popis")</f>
        <v>-396.00264598890135</v>
      </c>
      <c r="X91" s="365">
        <f>IF($Q91="ekrk",IF($R91="data",IFERROR(INDEX(data!$A:$ALL,MATCH($M91,data!$A:$A,0),MATCH(X$2,data!$1:$1,0)),"#data"),IFERROR(W91*INDEX(indexy_SDcast!$A:$ALI,MATCH($R91,indexy_SDcast!$K:$K,0),MATCH(X$2,indexy_SDcast!$2:$2,0)),"#ekrk")),"#popis")</f>
        <v>-254.36279145760011</v>
      </c>
      <c r="Y91" s="362">
        <f>IF($Q91="ekrk",IF($R91="data",IFERROR(INDEX(data!$A:$ALL,MATCH($M91,data!$A:$A,0),MATCH(Y$2,data!$1:$1,0)),"#data"),IFERROR(X91*INDEX(indexy_SDcast!$A:$ALI,MATCH($R91,indexy_SDcast!$K:$K,0),MATCH(Y$2,indexy_SDcast!$2:$2,0)),"#ekrk")),"#popis")</f>
        <v>-344.1141846785431</v>
      </c>
    </row>
    <row r="92" spans="1:25" x14ac:dyDescent="0.25">
      <c r="A92" s="330">
        <v>636002</v>
      </c>
      <c r="B92" s="329">
        <v>-12.190650000000002</v>
      </c>
      <c r="C92" s="157"/>
      <c r="D92" s="330">
        <v>636002</v>
      </c>
      <c r="E92" s="329">
        <v>-12.190650000000002</v>
      </c>
      <c r="F92" s="157"/>
      <c r="G92" s="330">
        <v>636002</v>
      </c>
      <c r="H92" s="329">
        <v>-12.190650000000002</v>
      </c>
      <c r="I92" s="157"/>
      <c r="J92" s="330">
        <v>636002</v>
      </c>
      <c r="K92" s="329">
        <v>-12.190650000000002</v>
      </c>
      <c r="L92" s="157"/>
      <c r="M92" s="360">
        <f t="shared" si="10"/>
        <v>636002</v>
      </c>
      <c r="N92" s="237">
        <f t="shared" si="11"/>
        <v>-12.190650000000002</v>
      </c>
      <c r="O92" s="361"/>
      <c r="P92" s="361"/>
      <c r="Q92" s="361" t="s">
        <v>698</v>
      </c>
      <c r="R92" s="362">
        <v>35</v>
      </c>
      <c r="S92" s="236"/>
      <c r="T92" s="364">
        <f t="shared" si="12"/>
        <v>636002</v>
      </c>
      <c r="U92" s="365">
        <f t="shared" si="9"/>
        <v>-12.190650000000002</v>
      </c>
      <c r="V92" s="365">
        <f>IF($Q92="ekrk",IF($R92="data",IFERROR(INDEX(data!$A:$ALL,MATCH($M92,data!$A:$A,0),MATCH(V$2,data!$1:$1,0)),"#data"),IFERROR(U92*INDEX(indexy_SDcast!$A:$ALI,MATCH($R92,indexy_SDcast!$K:$K,0),MATCH(V$2,indexy_SDcast!$2:$2,0)),"#ekrk")),"#popis")</f>
        <v>-15.606861977813013</v>
      </c>
      <c r="W92" s="365">
        <f>IF($Q92="ekrk",IF($R92="data",IFERROR(INDEX(data!$A:$ALL,MATCH($M92,data!$A:$A,0),MATCH(W$2,data!$1:$1,0)),"#data"),IFERROR(V92*INDEX(indexy_SDcast!$A:$ALI,MATCH($R92,indexy_SDcast!$K:$K,0),MATCH(W$2,indexy_SDcast!$2:$2,0)),"#ekrk")),"#popis")</f>
        <v>-15.782303483984125</v>
      </c>
      <c r="X92" s="365">
        <f>IF($Q92="ekrk",IF($R92="data",IFERROR(INDEX(data!$A:$ALL,MATCH($M92,data!$A:$A,0),MATCH(X$2,data!$1:$1,0)),"#data"),IFERROR(W92*INDEX(indexy_SDcast!$A:$ALI,MATCH($R92,indexy_SDcast!$K:$K,0),MATCH(X$2,indexy_SDcast!$2:$2,0)),"#ekrk")),"#popis")</f>
        <v>-10.137383703061722</v>
      </c>
      <c r="Y92" s="362">
        <f>IF($Q92="ekrk",IF($R92="data",IFERROR(INDEX(data!$A:$ALL,MATCH($M92,data!$A:$A,0),MATCH(Y$2,data!$1:$1,0)),"#data"),IFERROR(X92*INDEX(indexy_SDcast!$A:$ALI,MATCH($R92,indexy_SDcast!$K:$K,0),MATCH(Y$2,indexy_SDcast!$2:$2,0)),"#ekrk")),"#popis")</f>
        <v>-13.71433890846461</v>
      </c>
    </row>
    <row r="93" spans="1:25" x14ac:dyDescent="0.25">
      <c r="A93" s="330">
        <v>636003</v>
      </c>
      <c r="B93" s="329">
        <v>-2.0724899999999997</v>
      </c>
      <c r="C93" s="157"/>
      <c r="D93" s="330">
        <v>636003</v>
      </c>
      <c r="E93" s="329">
        <v>-2.0724899999999997</v>
      </c>
      <c r="F93" s="157"/>
      <c r="G93" s="330">
        <v>636003</v>
      </c>
      <c r="H93" s="329">
        <v>-2.0724899999999997</v>
      </c>
      <c r="I93" s="157"/>
      <c r="J93" s="330">
        <v>636003</v>
      </c>
      <c r="K93" s="329">
        <v>-2.0724899999999997</v>
      </c>
      <c r="L93" s="157"/>
      <c r="M93" s="360">
        <f t="shared" si="10"/>
        <v>636003</v>
      </c>
      <c r="N93" s="237">
        <f t="shared" si="11"/>
        <v>-2.0724899999999997</v>
      </c>
      <c r="O93" s="361"/>
      <c r="P93" s="361"/>
      <c r="Q93" s="361" t="s">
        <v>698</v>
      </c>
      <c r="R93" s="362">
        <v>35</v>
      </c>
      <c r="S93" s="236"/>
      <c r="T93" s="364">
        <f t="shared" si="12"/>
        <v>636003</v>
      </c>
      <c r="U93" s="365">
        <f t="shared" si="9"/>
        <v>-2.0724899999999997</v>
      </c>
      <c r="V93" s="365">
        <f>IF($Q93="ekrk",IF($R93="data",IFERROR(INDEX(data!$A:$ALL,MATCH($M93,data!$A:$A,0),MATCH(V$2,data!$1:$1,0)),"#data"),IFERROR(U93*INDEX(indexy_SDcast!$A:$ALI,MATCH($R93,indexy_SDcast!$K:$K,0),MATCH(V$2,indexy_SDcast!$2:$2,0)),"#ekrk")),"#popis")</f>
        <v>-2.6532683146836047</v>
      </c>
      <c r="W93" s="365">
        <f>IF($Q93="ekrk",IF($R93="data",IFERROR(INDEX(data!$A:$ALL,MATCH($M93,data!$A:$A,0),MATCH(W$2,data!$1:$1,0)),"#data"),IFERROR(V93*INDEX(indexy_SDcast!$A:$ALI,MATCH($R93,indexy_SDcast!$K:$K,0),MATCH(W$2,indexy_SDcast!$2:$2,0)),"#ekrk")),"#popis")</f>
        <v>-2.6830945148554224</v>
      </c>
      <c r="X93" s="365">
        <f>IF($Q93="ekrk",IF($R93="data",IFERROR(INDEX(data!$A:$ALL,MATCH($M93,data!$A:$A,0),MATCH(X$2,data!$1:$1,0)),"#data"),IFERROR(W93*INDEX(indexy_SDcast!$A:$ALI,MATCH($R93,indexy_SDcast!$K:$K,0),MATCH(X$2,indexy_SDcast!$2:$2,0)),"#ekrk")),"#popis")</f>
        <v>-1.7234213393673339</v>
      </c>
      <c r="Y93" s="362">
        <f>IF($Q93="ekrk",IF($R93="data",IFERROR(INDEX(data!$A:$ALL,MATCH($M93,data!$A:$A,0),MATCH(Y$2,data!$1:$1,0)),"#data"),IFERROR(X93*INDEX(indexy_SDcast!$A:$ALI,MATCH($R93,indexy_SDcast!$K:$K,0),MATCH(Y$2,indexy_SDcast!$2:$2,0)),"#ekrk")),"#popis")</f>
        <v>-2.3315270510107191</v>
      </c>
    </row>
    <row r="94" spans="1:25" x14ac:dyDescent="0.25">
      <c r="A94" s="330">
        <v>636004</v>
      </c>
      <c r="B94" s="329">
        <v>-1.3093400000000002</v>
      </c>
      <c r="C94" s="157"/>
      <c r="D94" s="330">
        <v>636004</v>
      </c>
      <c r="E94" s="329">
        <v>-1.3093400000000002</v>
      </c>
      <c r="F94" s="157"/>
      <c r="G94" s="330">
        <v>636004</v>
      </c>
      <c r="H94" s="329">
        <v>-1.3093400000000002</v>
      </c>
      <c r="I94" s="157"/>
      <c r="J94" s="330">
        <v>636004</v>
      </c>
      <c r="K94" s="329">
        <v>-1.3093400000000002</v>
      </c>
      <c r="L94" s="157"/>
      <c r="M94" s="360">
        <f t="shared" si="10"/>
        <v>636004</v>
      </c>
      <c r="N94" s="237">
        <f t="shared" si="11"/>
        <v>-1.3093400000000002</v>
      </c>
      <c r="O94" s="361"/>
      <c r="P94" s="361"/>
      <c r="Q94" s="361" t="s">
        <v>698</v>
      </c>
      <c r="R94" s="362">
        <v>35</v>
      </c>
      <c r="S94" s="236"/>
      <c r="T94" s="364">
        <f t="shared" si="12"/>
        <v>636004</v>
      </c>
      <c r="U94" s="365">
        <f t="shared" si="9"/>
        <v>-1.3093400000000002</v>
      </c>
      <c r="V94" s="365">
        <f>IF($Q94="ekrk",IF($R94="data",IFERROR(INDEX(data!$A:$ALL,MATCH($M94,data!$A:$A,0),MATCH(V$2,data!$1:$1,0)),"#data"),IFERROR(U94*INDEX(indexy_SDcast!$A:$ALI,MATCH($R94,indexy_SDcast!$K:$K,0),MATCH(V$2,indexy_SDcast!$2:$2,0)),"#ekrk")),"#popis")</f>
        <v>-1.6762591545183965</v>
      </c>
      <c r="W94" s="365">
        <f>IF($Q94="ekrk",IF($R94="data",IFERROR(INDEX(data!$A:$ALL,MATCH($M94,data!$A:$A,0),MATCH(W$2,data!$1:$1,0)),"#data"),IFERROR(V94*INDEX(indexy_SDcast!$A:$ALI,MATCH($R94,indexy_SDcast!$K:$K,0),MATCH(W$2,indexy_SDcast!$2:$2,0)),"#ekrk")),"#popis")</f>
        <v>-1.6951024960703305</v>
      </c>
      <c r="X94" s="365">
        <f>IF($Q94="ekrk",IF($R94="data",IFERROR(INDEX(data!$A:$ALL,MATCH($M94,data!$A:$A,0),MATCH(X$2,data!$1:$1,0)),"#data"),IFERROR(W94*INDEX(indexy_SDcast!$A:$ALI,MATCH($R94,indexy_SDcast!$K:$K,0),MATCH(X$2,indexy_SDcast!$2:$2,0)),"#ekrk")),"#popis")</f>
        <v>-1.0888083882128383</v>
      </c>
      <c r="Y94" s="362">
        <f>IF($Q94="ekrk",IF($R94="data",IFERROR(INDEX(data!$A:$ALL,MATCH($M94,data!$A:$A,0),MATCH(Y$2,data!$1:$1,0)),"#data"),IFERROR(X94*INDEX(indexy_SDcast!$A:$ALI,MATCH($R94,indexy_SDcast!$K:$K,0),MATCH(Y$2,indexy_SDcast!$2:$2,0)),"#ekrk")),"#popis")</f>
        <v>-1.4729922117695986</v>
      </c>
    </row>
    <row r="95" spans="1:25" x14ac:dyDescent="0.25">
      <c r="A95" s="330">
        <v>636005</v>
      </c>
      <c r="B95" s="329">
        <v>-9.9959999999999993E-2</v>
      </c>
      <c r="C95" s="157"/>
      <c r="D95" s="330">
        <v>636005</v>
      </c>
      <c r="E95" s="329">
        <v>-9.9959999999999993E-2</v>
      </c>
      <c r="F95" s="157"/>
      <c r="G95" s="330">
        <v>636005</v>
      </c>
      <c r="H95" s="329">
        <v>-9.9959999999999993E-2</v>
      </c>
      <c r="I95" s="157"/>
      <c r="J95" s="330">
        <v>636005</v>
      </c>
      <c r="K95" s="329">
        <v>-9.9959999999999993E-2</v>
      </c>
      <c r="L95" s="157"/>
      <c r="M95" s="360">
        <f t="shared" si="10"/>
        <v>636005</v>
      </c>
      <c r="N95" s="237">
        <f t="shared" si="11"/>
        <v>-9.9959999999999993E-2</v>
      </c>
      <c r="O95" s="361"/>
      <c r="P95" s="361"/>
      <c r="Q95" s="361" t="s">
        <v>698</v>
      </c>
      <c r="R95" s="362">
        <v>35</v>
      </c>
      <c r="S95" s="236"/>
      <c r="T95" s="364">
        <f t="shared" si="12"/>
        <v>636005</v>
      </c>
      <c r="U95" s="365">
        <f t="shared" si="9"/>
        <v>-9.9959999999999993E-2</v>
      </c>
      <c r="V95" s="365">
        <f>IF($Q95="ekrk",IF($R95="data",IFERROR(INDEX(data!$A:$ALL,MATCH($M95,data!$A:$A,0),MATCH(V$2,data!$1:$1,0)),"#data"),IFERROR(U95*INDEX(indexy_SDcast!$A:$ALI,MATCH($R95,indexy_SDcast!$K:$K,0),MATCH(V$2,indexy_SDcast!$2:$2,0)),"#ekrk")),"#popis")</f>
        <v>-0.12797200504502948</v>
      </c>
      <c r="W95" s="365">
        <f>IF($Q95="ekrk",IF($R95="data",IFERROR(INDEX(data!$A:$ALL,MATCH($M95,data!$A:$A,0),MATCH(W$2,data!$1:$1,0)),"#data"),IFERROR(V95*INDEX(indexy_SDcast!$A:$ALI,MATCH($R95,indexy_SDcast!$K:$K,0),MATCH(W$2,indexy_SDcast!$2:$2,0)),"#ekrk")),"#popis")</f>
        <v>-0.12941057747200133</v>
      </c>
      <c r="X95" s="365">
        <f>IF($Q95="ekrk",IF($R95="data",IFERROR(INDEX(data!$A:$ALL,MATCH($M95,data!$A:$A,0),MATCH(X$2,data!$1:$1,0)),"#data"),IFERROR(W95*INDEX(indexy_SDcast!$A:$ALI,MATCH($R95,indexy_SDcast!$K:$K,0),MATCH(X$2,indexy_SDcast!$2:$2,0)),"#ekrk")),"#popis")</f>
        <v>-8.3123777235672408E-2</v>
      </c>
      <c r="Y95" s="362">
        <f>IF($Q95="ekrk",IF($R95="data",IFERROR(INDEX(data!$A:$ALL,MATCH($M95,data!$A:$A,0),MATCH(Y$2,data!$1:$1,0)),"#data"),IFERROR(X95*INDEX(indexy_SDcast!$A:$ALI,MATCH($R95,indexy_SDcast!$K:$K,0),MATCH(Y$2,indexy_SDcast!$2:$2,0)),"#ekrk")),"#popis")</f>
        <v>-0.11245383283829186</v>
      </c>
    </row>
    <row r="96" spans="1:25" x14ac:dyDescent="0.25">
      <c r="A96" s="330">
        <v>637001</v>
      </c>
      <c r="B96" s="329">
        <v>-608.17217999999991</v>
      </c>
      <c r="C96" s="157"/>
      <c r="D96" s="330">
        <v>637001</v>
      </c>
      <c r="E96" s="329">
        <v>-608.17217999999991</v>
      </c>
      <c r="F96" s="157"/>
      <c r="G96" s="330">
        <v>637001</v>
      </c>
      <c r="H96" s="329">
        <v>-608.17217999999991</v>
      </c>
      <c r="I96" s="157"/>
      <c r="J96" s="330">
        <v>637001</v>
      </c>
      <c r="K96" s="329">
        <v>-608.17217999999991</v>
      </c>
      <c r="L96" s="157"/>
      <c r="M96" s="360">
        <f t="shared" si="10"/>
        <v>637001</v>
      </c>
      <c r="N96" s="237">
        <f t="shared" si="11"/>
        <v>-608.17217999999991</v>
      </c>
      <c r="O96" s="361"/>
      <c r="P96" s="361"/>
      <c r="Q96" s="361" t="s">
        <v>698</v>
      </c>
      <c r="R96" s="362">
        <v>35</v>
      </c>
      <c r="S96" s="236"/>
      <c r="T96" s="364">
        <f t="shared" si="12"/>
        <v>637001</v>
      </c>
      <c r="U96" s="365">
        <f t="shared" si="9"/>
        <v>-608.17217999999991</v>
      </c>
      <c r="V96" s="365">
        <f>IF($Q96="ekrk",IF($R96="data",IFERROR(INDEX(data!$A:$ALL,MATCH($M96,data!$A:$A,0),MATCH(V$2,data!$1:$1,0)),"#data"),IFERROR(U96*INDEX(indexy_SDcast!$A:$ALI,MATCH($R96,indexy_SDcast!$K:$K,0),MATCH(V$2,indexy_SDcast!$2:$2,0)),"#ekrk")),"#popis")</f>
        <v>-778.60157350146619</v>
      </c>
      <c r="W96" s="365">
        <f>IF($Q96="ekrk",IF($R96="data",IFERROR(INDEX(data!$A:$ALL,MATCH($M96,data!$A:$A,0),MATCH(W$2,data!$1:$1,0)),"#data"),IFERROR(V96*INDEX(indexy_SDcast!$A:$ALI,MATCH($R96,indexy_SDcast!$K:$K,0),MATCH(W$2,indexy_SDcast!$2:$2,0)),"#ekrk")),"#popis")</f>
        <v>-787.35407179077549</v>
      </c>
      <c r="X96" s="365">
        <f>IF($Q96="ekrk",IF($R96="data",IFERROR(INDEX(data!$A:$ALL,MATCH($M96,data!$A:$A,0),MATCH(X$2,data!$1:$1,0)),"#data"),IFERROR(W96*INDEX(indexy_SDcast!$A:$ALI,MATCH($R96,indexy_SDcast!$K:$K,0),MATCH(X$2,indexy_SDcast!$2:$2,0)),"#ekrk")),"#popis")</f>
        <v>-505.73798330585481</v>
      </c>
      <c r="Y96" s="362">
        <f>IF($Q96="ekrk",IF($R96="data",IFERROR(INDEX(data!$A:$ALL,MATCH($M96,data!$A:$A,0),MATCH(Y$2,data!$1:$1,0)),"#data"),IFERROR(X96*INDEX(indexy_SDcast!$A:$ALI,MATCH($R96,indexy_SDcast!$K:$K,0),MATCH(Y$2,indexy_SDcast!$2:$2,0)),"#ekrk")),"#popis")</f>
        <v>-684.18660130671788</v>
      </c>
    </row>
    <row r="97" spans="1:44" x14ac:dyDescent="0.25">
      <c r="A97" s="330">
        <v>637002</v>
      </c>
      <c r="B97" s="329">
        <v>-0.95421000000000011</v>
      </c>
      <c r="C97" s="157"/>
      <c r="D97" s="330">
        <v>637002</v>
      </c>
      <c r="E97" s="329">
        <v>-0.95421000000000011</v>
      </c>
      <c r="F97" s="157"/>
      <c r="G97" s="330">
        <v>637002</v>
      </c>
      <c r="H97" s="329">
        <v>-0.95421000000000011</v>
      </c>
      <c r="I97" s="157"/>
      <c r="J97" s="330">
        <v>637002</v>
      </c>
      <c r="K97" s="329">
        <v>-0.95421000000000011</v>
      </c>
      <c r="L97" s="157"/>
      <c r="M97" s="360">
        <f t="shared" si="10"/>
        <v>637002</v>
      </c>
      <c r="N97" s="237">
        <f t="shared" si="11"/>
        <v>-0.95421000000000011</v>
      </c>
      <c r="O97" s="361"/>
      <c r="P97" s="361"/>
      <c r="Q97" s="361" t="s">
        <v>698</v>
      </c>
      <c r="R97" s="362">
        <v>35</v>
      </c>
      <c r="S97" s="236"/>
      <c r="T97" s="364">
        <f t="shared" si="12"/>
        <v>637002</v>
      </c>
      <c r="U97" s="365">
        <f t="shared" si="9"/>
        <v>-0.95421000000000011</v>
      </c>
      <c r="V97" s="365">
        <f>IF($Q97="ekrk",IF($R97="data",IFERROR(INDEX(data!$A:$ALL,MATCH($M97,data!$A:$A,0),MATCH(V$2,data!$1:$1,0)),"#data"),IFERROR(U97*INDEX(indexy_SDcast!$A:$ALI,MATCH($R97,indexy_SDcast!$K:$K,0),MATCH(V$2,indexy_SDcast!$2:$2,0)),"#ekrk")),"#popis")</f>
        <v>-1.221610313465562</v>
      </c>
      <c r="W97" s="365">
        <f>IF($Q97="ekrk",IF($R97="data",IFERROR(INDEX(data!$A:$ALL,MATCH($M97,data!$A:$A,0),MATCH(W$2,data!$1:$1,0)),"#data"),IFERROR(V97*INDEX(indexy_SDcast!$A:$ALI,MATCH($R97,indexy_SDcast!$K:$K,0),MATCH(W$2,indexy_SDcast!$2:$2,0)),"#ekrk")),"#popis")</f>
        <v>-1.2353428084189515</v>
      </c>
      <c r="X97" s="365">
        <f>IF($Q97="ekrk",IF($R97="data",IFERROR(INDEX(data!$A:$ALL,MATCH($M97,data!$A:$A,0),MATCH(X$2,data!$1:$1,0)),"#data"),IFERROR(W97*INDEX(indexy_SDcast!$A:$ALI,MATCH($R97,indexy_SDcast!$K:$K,0),MATCH(X$2,indexy_SDcast!$2:$2,0)),"#ekrk")),"#popis")</f>
        <v>-0.79349279187726063</v>
      </c>
      <c r="Y97" s="362">
        <f>IF($Q97="ekrk",IF($R97="data",IFERROR(INDEX(data!$A:$ALL,MATCH($M97,data!$A:$A,0),MATCH(Y$2,data!$1:$1,0)),"#data"),IFERROR(X97*INDEX(indexy_SDcast!$A:$ALI,MATCH($R97,indexy_SDcast!$K:$K,0),MATCH(Y$2,indexy_SDcast!$2:$2,0)),"#ekrk")),"#popis")</f>
        <v>-1.0734751083696126</v>
      </c>
    </row>
    <row r="98" spans="1:44" x14ac:dyDescent="0.25">
      <c r="A98" s="330">
        <v>637003</v>
      </c>
      <c r="B98" s="329">
        <v>-37.518089999999987</v>
      </c>
      <c r="C98" s="157"/>
      <c r="D98" s="330">
        <v>637003</v>
      </c>
      <c r="E98" s="329">
        <v>-37.518089999999987</v>
      </c>
      <c r="F98" s="157"/>
      <c r="G98" s="330">
        <v>637003</v>
      </c>
      <c r="H98" s="329">
        <v>-37.518089999999987</v>
      </c>
      <c r="I98" s="157"/>
      <c r="J98" s="330">
        <v>637003</v>
      </c>
      <c r="K98" s="329">
        <v>-37.518089999999987</v>
      </c>
      <c r="L98" s="157"/>
      <c r="M98" s="360">
        <f t="shared" ref="M98:M122" si="13">J98</f>
        <v>637003</v>
      </c>
      <c r="N98" s="237">
        <f t="shared" ref="N98:N122" si="14">K98</f>
        <v>-37.518089999999987</v>
      </c>
      <c r="O98" s="361"/>
      <c r="P98" s="361"/>
      <c r="Q98" s="361" t="s">
        <v>698</v>
      </c>
      <c r="R98" s="362">
        <v>35</v>
      </c>
      <c r="S98" s="236"/>
      <c r="T98" s="364">
        <f t="shared" si="12"/>
        <v>637003</v>
      </c>
      <c r="U98" s="365">
        <f t="shared" si="9"/>
        <v>-37.518089999999987</v>
      </c>
      <c r="V98" s="365">
        <f>IF($Q98="ekrk",IF($R98="data",IFERROR(INDEX(data!$A:$ALL,MATCH($M98,data!$A:$A,0),MATCH(V$2,data!$1:$1,0)),"#data"),IFERROR(U98*INDEX(indexy_SDcast!$A:$ALI,MATCH($R98,indexy_SDcast!$K:$K,0),MATCH(V$2,indexy_SDcast!$2:$2,0)),"#ekrk")),"#popis")</f>
        <v>-48.031864773508083</v>
      </c>
      <c r="W98" s="365">
        <f>IF($Q98="ekrk",IF($R98="data",IFERROR(INDEX(data!$A:$ALL,MATCH($M98,data!$A:$A,0),MATCH(W$2,data!$1:$1,0)),"#data"),IFERROR(V98*INDEX(indexy_SDcast!$A:$ALI,MATCH($R98,indexy_SDcast!$K:$K,0),MATCH(W$2,indexy_SDcast!$2:$2,0)),"#ekrk")),"#popis")</f>
        <v>-48.571805647724247</v>
      </c>
      <c r="X98" s="365">
        <f>IF($Q98="ekrk",IF($R98="data",IFERROR(INDEX(data!$A:$ALL,MATCH($M98,data!$A:$A,0),MATCH(X$2,data!$1:$1,0)),"#data"),IFERROR(W98*INDEX(indexy_SDcast!$A:$ALI,MATCH($R98,indexy_SDcast!$K:$K,0),MATCH(X$2,indexy_SDcast!$2:$2,0)),"#ekrk")),"#popis")</f>
        <v>-31.198933127930239</v>
      </c>
      <c r="Y98" s="362">
        <f>IF($Q98="ekrk",IF($R98="data",IFERROR(INDEX(data!$A:$ALL,MATCH($M98,data!$A:$A,0),MATCH(Y$2,data!$1:$1,0)),"#data"),IFERROR(X98*INDEX(indexy_SDcast!$A:$ALI,MATCH($R98,indexy_SDcast!$K:$K,0),MATCH(Y$2,indexy_SDcast!$2:$2,0)),"#ekrk")),"#popis")</f>
        <v>-42.207413177991064</v>
      </c>
    </row>
    <row r="99" spans="1:44" x14ac:dyDescent="0.25">
      <c r="A99" s="330">
        <v>637004</v>
      </c>
      <c r="B99" s="329">
        <v>-602.67062999999996</v>
      </c>
      <c r="C99" s="157"/>
      <c r="D99" s="330">
        <v>637004</v>
      </c>
      <c r="E99" s="329">
        <v>-602.67062999999996</v>
      </c>
      <c r="F99" s="157"/>
      <c r="G99" s="330">
        <v>637004</v>
      </c>
      <c r="H99" s="329">
        <v>-602.67062999999996</v>
      </c>
      <c r="I99" s="157"/>
      <c r="J99" s="330">
        <v>637004</v>
      </c>
      <c r="K99" s="329">
        <v>-602.67062999999996</v>
      </c>
      <c r="L99" s="157"/>
      <c r="M99" s="360">
        <f t="shared" si="13"/>
        <v>637004</v>
      </c>
      <c r="N99" s="237">
        <f t="shared" si="14"/>
        <v>-602.67062999999996</v>
      </c>
      <c r="O99" s="361"/>
      <c r="P99" s="361"/>
      <c r="Q99" s="361" t="s">
        <v>698</v>
      </c>
      <c r="R99" s="362">
        <v>35</v>
      </c>
      <c r="S99" s="236"/>
      <c r="T99" s="364">
        <f t="shared" si="12"/>
        <v>637004</v>
      </c>
      <c r="U99" s="365">
        <f t="shared" si="9"/>
        <v>-602.67062999999996</v>
      </c>
      <c r="V99" s="365">
        <f>IF($Q99="ekrk",IF($R99="data",IFERROR(INDEX(data!$A:$ALL,MATCH($M99,data!$A:$A,0),MATCH(V$2,data!$1:$1,0)),"#data"),IFERROR(U99*INDEX(indexy_SDcast!$A:$ALI,MATCH($R99,indexy_SDcast!$K:$K,0),MATCH(V$2,indexy_SDcast!$2:$2,0)),"#ekrk")),"#popis")</f>
        <v>-771.55831235345227</v>
      </c>
      <c r="W99" s="365">
        <f>IF($Q99="ekrk",IF($R99="data",IFERROR(INDEX(data!$A:$ALL,MATCH($M99,data!$A:$A,0),MATCH(W$2,data!$1:$1,0)),"#data"),IFERROR(V99*INDEX(indexy_SDcast!$A:$ALI,MATCH($R99,indexy_SDcast!$K:$K,0),MATCH(W$2,indexy_SDcast!$2:$2,0)),"#ekrk")),"#popis")</f>
        <v>-780.23163519122488</v>
      </c>
      <c r="X99" s="365">
        <f>IF($Q99="ekrk",IF($R99="data",IFERROR(INDEX(data!$A:$ALL,MATCH($M99,data!$A:$A,0),MATCH(X$2,data!$1:$1,0)),"#data"),IFERROR(W99*INDEX(indexy_SDcast!$A:$ALI,MATCH($R99,indexy_SDcast!$K:$K,0),MATCH(X$2,indexy_SDcast!$2:$2,0)),"#ekrk")),"#popis")</f>
        <v>-501.16305716889099</v>
      </c>
      <c r="Y99" s="362">
        <f>IF($Q99="ekrk",IF($R99="data",IFERROR(INDEX(data!$A:$ALL,MATCH($M99,data!$A:$A,0),MATCH(Y$2,data!$1:$1,0)),"#data"),IFERROR(X99*INDEX(indexy_SDcast!$A:$ALI,MATCH($R99,indexy_SDcast!$K:$K,0),MATCH(Y$2,indexy_SDcast!$2:$2,0)),"#ekrk")),"#popis")</f>
        <v>-677.99742179439806</v>
      </c>
    </row>
    <row r="100" spans="1:44" x14ac:dyDescent="0.25">
      <c r="A100" s="330">
        <v>637005</v>
      </c>
      <c r="B100" s="329">
        <v>-116.85383000000002</v>
      </c>
      <c r="C100" s="157"/>
      <c r="D100" s="330">
        <v>637005</v>
      </c>
      <c r="E100" s="329">
        <v>-116.85383000000002</v>
      </c>
      <c r="F100" s="157"/>
      <c r="G100" s="330">
        <v>637005</v>
      </c>
      <c r="H100" s="329">
        <v>-116.85383000000002</v>
      </c>
      <c r="I100" s="157"/>
      <c r="J100" s="330">
        <v>637005</v>
      </c>
      <c r="K100" s="329">
        <v>-116.85383000000002</v>
      </c>
      <c r="L100" s="157"/>
      <c r="M100" s="360">
        <f t="shared" si="13"/>
        <v>637005</v>
      </c>
      <c r="N100" s="237">
        <f t="shared" si="14"/>
        <v>-116.85383000000002</v>
      </c>
      <c r="O100" s="361"/>
      <c r="P100" s="361"/>
      <c r="Q100" s="361" t="s">
        <v>698</v>
      </c>
      <c r="R100" s="362">
        <v>35</v>
      </c>
      <c r="S100" s="236"/>
      <c r="T100" s="364">
        <f t="shared" ref="T100:T122" si="15">M100</f>
        <v>637005</v>
      </c>
      <c r="U100" s="365">
        <f t="shared" si="9"/>
        <v>-116.85383000000002</v>
      </c>
      <c r="V100" s="365">
        <f>IF($Q100="ekrk",IF($R100="data",IFERROR(INDEX(data!$A:$ALL,MATCH($M100,data!$A:$A,0),MATCH(V$2,data!$1:$1,0)),"#data"),IFERROR(U100*INDEX(indexy_SDcast!$A:$ALI,MATCH($R100,indexy_SDcast!$K:$K,0),MATCH(V$2,indexy_SDcast!$2:$2,0)),"#ekrk")),"#popis")</f>
        <v>-149.60002923460402</v>
      </c>
      <c r="W100" s="365">
        <f>IF($Q100="ekrk",IF($R100="data",IFERROR(INDEX(data!$A:$ALL,MATCH($M100,data!$A:$A,0),MATCH(W$2,data!$1:$1,0)),"#data"),IFERROR(V100*INDEX(indexy_SDcast!$A:$ALI,MATCH($R100,indexy_SDcast!$K:$K,0),MATCH(W$2,indexy_SDcast!$2:$2,0)),"#ekrk")),"#popis")</f>
        <v>-151.2817288927078</v>
      </c>
      <c r="X100" s="365">
        <f>IF($Q100="ekrk",IF($R100="data",IFERROR(INDEX(data!$A:$ALL,MATCH($M100,data!$A:$A,0),MATCH(X$2,data!$1:$1,0)),"#data"),IFERROR(W100*INDEX(indexy_SDcast!$A:$ALI,MATCH($R100,indexy_SDcast!$K:$K,0),MATCH(X$2,indexy_SDcast!$2:$2,0)),"#ekrk")),"#popis")</f>
        <v>-97.172186215037343</v>
      </c>
      <c r="Y100" s="362">
        <f>IF($Q100="ekrk",IF($R100="data",IFERROR(INDEX(data!$A:$ALL,MATCH($M100,data!$A:$A,0),MATCH(Y$2,data!$1:$1,0)),"#data"),IFERROR(X100*INDEX(indexy_SDcast!$A:$ALI,MATCH($R100,indexy_SDcast!$K:$K,0),MATCH(Y$2,indexy_SDcast!$2:$2,0)),"#ekrk")),"#popis")</f>
        <v>-131.45919433107414</v>
      </c>
    </row>
    <row r="101" spans="1:44" x14ac:dyDescent="0.25">
      <c r="A101" s="330">
        <v>637010</v>
      </c>
      <c r="B101" s="329">
        <v>-5.3999999999999999E-2</v>
      </c>
      <c r="C101" s="157"/>
      <c r="D101" s="330">
        <v>637010</v>
      </c>
      <c r="E101" s="329">
        <v>-5.3999999999999999E-2</v>
      </c>
      <c r="F101" s="157"/>
      <c r="G101" s="330">
        <v>637010</v>
      </c>
      <c r="H101" s="329">
        <v>-5.3999999999999999E-2</v>
      </c>
      <c r="I101" s="157"/>
      <c r="J101" s="330">
        <v>637010</v>
      </c>
      <c r="K101" s="329">
        <v>-5.3999999999999999E-2</v>
      </c>
      <c r="L101" s="157"/>
      <c r="M101" s="360">
        <f t="shared" si="13"/>
        <v>637010</v>
      </c>
      <c r="N101" s="237">
        <f t="shared" si="14"/>
        <v>-5.3999999999999999E-2</v>
      </c>
      <c r="O101" s="361"/>
      <c r="P101" s="361"/>
      <c r="Q101" s="361" t="s">
        <v>698</v>
      </c>
      <c r="R101" s="362">
        <v>35</v>
      </c>
      <c r="S101" s="236"/>
      <c r="T101" s="364">
        <f t="shared" si="15"/>
        <v>637010</v>
      </c>
      <c r="U101" s="365">
        <f t="shared" si="9"/>
        <v>-5.3999999999999999E-2</v>
      </c>
      <c r="V101" s="365">
        <f>IF($Q101="ekrk",IF($R101="data",IFERROR(INDEX(data!$A:$ALL,MATCH($M101,data!$A:$A,0),MATCH(V$2,data!$1:$1,0)),"#data"),IFERROR(U101*INDEX(indexy_SDcast!$A:$ALI,MATCH($R101,indexy_SDcast!$K:$K,0),MATCH(V$2,indexy_SDcast!$2:$2,0)),"#ekrk")),"#popis")</f>
        <v>-6.9132535738611361E-2</v>
      </c>
      <c r="W101" s="365">
        <f>IF($Q101="ekrk",IF($R101="data",IFERROR(INDEX(data!$A:$ALL,MATCH($M101,data!$A:$A,0),MATCH(W$2,data!$1:$1,0)),"#data"),IFERROR(V101*INDEX(indexy_SDcast!$A:$ALI,MATCH($R101,indexy_SDcast!$K:$K,0),MATCH(W$2,indexy_SDcast!$2:$2,0)),"#ekrk")),"#popis")</f>
        <v>-6.990967570516278E-2</v>
      </c>
      <c r="X101" s="365">
        <f>IF($Q101="ekrk",IF($R101="data",IFERROR(INDEX(data!$A:$ALL,MATCH($M101,data!$A:$A,0),MATCH(X$2,data!$1:$1,0)),"#data"),IFERROR(W101*INDEX(indexy_SDcast!$A:$ALI,MATCH($R101,indexy_SDcast!$K:$K,0),MATCH(X$2,indexy_SDcast!$2:$2,0)),"#ekrk")),"#popis")</f>
        <v>-4.4904801627914263E-2</v>
      </c>
      <c r="Y101" s="362">
        <f>IF($Q101="ekrk",IF($R101="data",IFERROR(INDEX(data!$A:$ALL,MATCH($M101,data!$A:$A,0),MATCH(Y$2,data!$1:$1,0)),"#data"),IFERROR(X101*INDEX(indexy_SDcast!$A:$ALI,MATCH($R101,indexy_SDcast!$K:$K,0),MATCH(Y$2,indexy_SDcast!$2:$2,0)),"#ekrk")),"#popis")</f>
        <v>-6.0749369480469786E-2</v>
      </c>
    </row>
    <row r="102" spans="1:44" x14ac:dyDescent="0.25">
      <c r="A102" s="330">
        <v>637011</v>
      </c>
      <c r="B102" s="329">
        <v>-12.378289999999998</v>
      </c>
      <c r="C102" s="157"/>
      <c r="D102" s="330">
        <v>637011</v>
      </c>
      <c r="E102" s="329">
        <v>-12.378289999999998</v>
      </c>
      <c r="F102" s="157"/>
      <c r="G102" s="330">
        <v>637011</v>
      </c>
      <c r="H102" s="329">
        <v>-12.378289999999998</v>
      </c>
      <c r="I102" s="157"/>
      <c r="J102" s="330">
        <v>637011</v>
      </c>
      <c r="K102" s="329">
        <v>-12.378289999999998</v>
      </c>
      <c r="L102" s="157"/>
      <c r="M102" s="360">
        <f t="shared" si="13"/>
        <v>637011</v>
      </c>
      <c r="N102" s="237">
        <f t="shared" si="14"/>
        <v>-12.378289999999998</v>
      </c>
      <c r="O102" s="361"/>
      <c r="P102" s="361"/>
      <c r="Q102" s="361" t="s">
        <v>698</v>
      </c>
      <c r="R102" s="362">
        <v>35</v>
      </c>
      <c r="S102" s="236"/>
      <c r="T102" s="364">
        <f t="shared" si="15"/>
        <v>637011</v>
      </c>
      <c r="U102" s="365">
        <f t="shared" si="9"/>
        <v>-12.378289999999998</v>
      </c>
      <c r="V102" s="365">
        <f>IF($Q102="ekrk",IF($R102="data",IFERROR(INDEX(data!$A:$ALL,MATCH($M102,data!$A:$A,0),MATCH(V$2,data!$1:$1,0)),"#data"),IFERROR(U102*INDEX(indexy_SDcast!$A:$ALI,MATCH($R102,indexy_SDcast!$K:$K,0),MATCH(V$2,indexy_SDcast!$2:$2,0)),"#ekrk")),"#popis")</f>
        <v>-15.84708473718325</v>
      </c>
      <c r="W102" s="365">
        <f>IF($Q102="ekrk",IF($R102="data",IFERROR(INDEX(data!$A:$ALL,MATCH($M102,data!$A:$A,0),MATCH(W$2,data!$1:$1,0)),"#data"),IFERROR(V102*INDEX(indexy_SDcast!$A:$ALI,MATCH($R102,indexy_SDcast!$K:$K,0),MATCH(W$2,indexy_SDcast!$2:$2,0)),"#ekrk")),"#popis")</f>
        <v>-16.025226660823318</v>
      </c>
      <c r="X102" s="365">
        <f>IF($Q102="ekrk",IF($R102="data",IFERROR(INDEX(data!$A:$ALL,MATCH($M102,data!$A:$A,0),MATCH(X$2,data!$1:$1,0)),"#data"),IFERROR(W102*INDEX(indexy_SDcast!$A:$ALI,MATCH($R102,indexy_SDcast!$K:$K,0),MATCH(X$2,indexy_SDcast!$2:$2,0)),"#ekrk")),"#popis")</f>
        <v>-10.293419573014717</v>
      </c>
      <c r="Y102" s="362">
        <f>IF($Q102="ekrk",IF($R102="data",IFERROR(INDEX(data!$A:$ALL,MATCH($M102,data!$A:$A,0),MATCH(Y$2,data!$1:$1,0)),"#data"),IFERROR(X102*INDEX(indexy_SDcast!$A:$ALI,MATCH($R102,indexy_SDcast!$K:$K,0),MATCH(Y$2,indexy_SDcast!$2:$2,0)),"#ekrk")),"#popis")</f>
        <v>-13.925431717526003</v>
      </c>
    </row>
    <row r="103" spans="1:44" x14ac:dyDescent="0.25">
      <c r="A103" s="330">
        <v>637012</v>
      </c>
      <c r="B103" s="329">
        <v>-642.43382999999994</v>
      </c>
      <c r="C103" s="157"/>
      <c r="D103" s="330">
        <v>637012</v>
      </c>
      <c r="E103" s="329">
        <v>-642.43382999999994</v>
      </c>
      <c r="F103" s="157"/>
      <c r="G103" s="330">
        <v>637012</v>
      </c>
      <c r="H103" s="329">
        <v>-642.43382999999994</v>
      </c>
      <c r="I103" s="157"/>
      <c r="J103" s="330">
        <v>637012</v>
      </c>
      <c r="K103" s="329">
        <v>-642.43382999999994</v>
      </c>
      <c r="L103" s="157"/>
      <c r="M103" s="360">
        <f t="shared" si="13"/>
        <v>637012</v>
      </c>
      <c r="N103" s="237">
        <f t="shared" si="14"/>
        <v>-642.43382999999994</v>
      </c>
      <c r="O103" s="361"/>
      <c r="P103" s="361"/>
      <c r="Q103" s="361" t="s">
        <v>698</v>
      </c>
      <c r="R103" s="362">
        <v>35</v>
      </c>
      <c r="S103" s="236"/>
      <c r="T103" s="364">
        <f t="shared" si="15"/>
        <v>637012</v>
      </c>
      <c r="U103" s="365">
        <f t="shared" si="9"/>
        <v>-642.43382999999994</v>
      </c>
      <c r="V103" s="365">
        <f>IF($Q103="ekrk",IF($R103="data",IFERROR(INDEX(data!$A:$ALL,MATCH($M103,data!$A:$A,0),MATCH(V$2,data!$1:$1,0)),"#data"),IFERROR(U103*INDEX(indexy_SDcast!$A:$ALI,MATCH($R103,indexy_SDcast!$K:$K,0),MATCH(V$2,indexy_SDcast!$2:$2,0)),"#ekrk")),"#popis")</f>
        <v>-822.4644391142217</v>
      </c>
      <c r="W103" s="365">
        <f>IF($Q103="ekrk",IF($R103="data",IFERROR(INDEX(data!$A:$ALL,MATCH($M103,data!$A:$A,0),MATCH(W$2,data!$1:$1,0)),"#data"),IFERROR(V103*INDEX(indexy_SDcast!$A:$ALI,MATCH($R103,indexy_SDcast!$K:$K,0),MATCH(W$2,indexy_SDcast!$2:$2,0)),"#ekrk")),"#popis")</f>
        <v>-831.71001328380873</v>
      </c>
      <c r="X103" s="365">
        <f>IF($Q103="ekrk",IF($R103="data",IFERROR(INDEX(data!$A:$ALL,MATCH($M103,data!$A:$A,0),MATCH(X$2,data!$1:$1,0)),"#data"),IFERROR(W103*INDEX(indexy_SDcast!$A:$ALI,MATCH($R103,indexy_SDcast!$K:$K,0),MATCH(X$2,indexy_SDcast!$2:$2,0)),"#ekrk")),"#popis")</f>
        <v>-534.22895731872575</v>
      </c>
      <c r="Y103" s="362">
        <f>IF($Q103="ekrk",IF($R103="data",IFERROR(INDEX(data!$A:$ALL,MATCH($M103,data!$A:$A,0),MATCH(Y$2,data!$1:$1,0)),"#data"),IFERROR(X103*INDEX(indexy_SDcast!$A:$ALI,MATCH($R103,indexy_SDcast!$K:$K,0),MATCH(Y$2,indexy_SDcast!$2:$2,0)),"#ekrk")),"#popis")</f>
        <v>-722.73055750783908</v>
      </c>
    </row>
    <row r="104" spans="1:44" x14ac:dyDescent="0.25">
      <c r="A104" s="330">
        <v>637020</v>
      </c>
      <c r="B104" s="329">
        <v>-5.2215400000000001</v>
      </c>
      <c r="C104" s="157"/>
      <c r="D104" s="330">
        <v>637020</v>
      </c>
      <c r="E104" s="329">
        <v>-5.2215400000000001</v>
      </c>
      <c r="F104" s="157"/>
      <c r="G104" s="330">
        <v>637020</v>
      </c>
      <c r="H104" s="329">
        <v>-5.2215400000000001</v>
      </c>
      <c r="I104" s="157"/>
      <c r="J104" s="330">
        <v>637020</v>
      </c>
      <c r="K104" s="329">
        <v>-5.2215400000000001</v>
      </c>
      <c r="L104" s="157"/>
      <c r="M104" s="360">
        <f t="shared" si="13"/>
        <v>637020</v>
      </c>
      <c r="N104" s="237">
        <f t="shared" si="14"/>
        <v>-5.2215400000000001</v>
      </c>
      <c r="O104" s="361"/>
      <c r="P104" s="361"/>
      <c r="Q104" s="361" t="s">
        <v>698</v>
      </c>
      <c r="R104" s="362">
        <v>35</v>
      </c>
      <c r="S104" s="236"/>
      <c r="T104" s="364">
        <f t="shared" si="15"/>
        <v>637020</v>
      </c>
      <c r="U104" s="365">
        <f t="shared" si="9"/>
        <v>-5.2215400000000001</v>
      </c>
      <c r="V104" s="365">
        <f>IF($Q104="ekrk",IF($R104="data",IFERROR(INDEX(data!$A:$ALL,MATCH($M104,data!$A:$A,0),MATCH(V$2,data!$1:$1,0)),"#data"),IFERROR(U104*INDEX(indexy_SDcast!$A:$ALI,MATCH($R104,indexy_SDcast!$K:$K,0),MATCH(V$2,indexy_SDcast!$2:$2,0)),"#ekrk")),"#popis")</f>
        <v>-6.6847833455664585</v>
      </c>
      <c r="W104" s="365">
        <f>IF($Q104="ekrk",IF($R104="data",IFERROR(INDEX(data!$A:$ALL,MATCH($M104,data!$A:$A,0),MATCH(W$2,data!$1:$1,0)),"#data"),IFERROR(V104*INDEX(indexy_SDcast!$A:$ALI,MATCH($R104,indexy_SDcast!$K:$K,0),MATCH(W$2,indexy_SDcast!$2:$2,0)),"#ekrk")),"#popis")</f>
        <v>-6.7599290385469564</v>
      </c>
      <c r="X104" s="365">
        <f>IF($Q104="ekrk",IF($R104="data",IFERROR(INDEX(data!$A:$ALL,MATCH($M104,data!$A:$A,0),MATCH(X$2,data!$1:$1,0)),"#data"),IFERROR(W104*INDEX(indexy_SDcast!$A:$ALI,MATCH($R104,indexy_SDcast!$K:$K,0),MATCH(X$2,indexy_SDcast!$2:$2,0)),"#ekrk")),"#popis")</f>
        <v>-4.3420781091151746</v>
      </c>
      <c r="Y104" s="362">
        <f>IF($Q104="ekrk",IF($R104="data",IFERROR(INDEX(data!$A:$ALL,MATCH($M104,data!$A:$A,0),MATCH(Y$2,data!$1:$1,0)),"#data"),IFERROR(X104*INDEX(indexy_SDcast!$A:$ALI,MATCH($R104,indexy_SDcast!$K:$K,0),MATCH(Y$2,indexy_SDcast!$2:$2,0)),"#ekrk")),"#popis")</f>
        <v>-5.8741715317972627</v>
      </c>
    </row>
    <row r="105" spans="1:44" x14ac:dyDescent="0.25">
      <c r="A105" s="330">
        <v>637021</v>
      </c>
      <c r="B105" s="329">
        <v>-4.9299999999999995E-3</v>
      </c>
      <c r="C105" s="157"/>
      <c r="D105" s="330">
        <v>637021</v>
      </c>
      <c r="E105" s="329">
        <v>-4.9299999999999995E-3</v>
      </c>
      <c r="F105" s="157"/>
      <c r="G105" s="330">
        <v>637021</v>
      </c>
      <c r="H105" s="329">
        <v>-4.9299999999999995E-3</v>
      </c>
      <c r="I105" s="157"/>
      <c r="J105" s="330">
        <v>637021</v>
      </c>
      <c r="K105" s="329">
        <v>-4.9299999999999995E-3</v>
      </c>
      <c r="L105" s="157"/>
      <c r="M105" s="360">
        <f t="shared" si="13"/>
        <v>637021</v>
      </c>
      <c r="N105" s="237">
        <f t="shared" si="14"/>
        <v>-4.9299999999999995E-3</v>
      </c>
      <c r="O105" s="361"/>
      <c r="P105" s="361"/>
      <c r="Q105" s="361" t="s">
        <v>698</v>
      </c>
      <c r="R105" s="362">
        <v>35</v>
      </c>
      <c r="S105" s="236"/>
      <c r="T105" s="364">
        <f t="shared" si="15"/>
        <v>637021</v>
      </c>
      <c r="U105" s="365">
        <f t="shared" si="9"/>
        <v>-4.9299999999999995E-3</v>
      </c>
      <c r="V105" s="365">
        <f>IF($Q105="ekrk",IF($R105="data",IFERROR(INDEX(data!$A:$ALL,MATCH($M105,data!$A:$A,0),MATCH(V$2,data!$1:$1,0)),"#data"),IFERROR(U105*INDEX(indexy_SDcast!$A:$ALI,MATCH($R105,indexy_SDcast!$K:$K,0),MATCH(V$2,indexy_SDcast!$2:$2,0)),"#ekrk")),"#popis")</f>
        <v>-6.3115444665065553E-3</v>
      </c>
      <c r="W105" s="365">
        <f>IF($Q105="ekrk",IF($R105="data",IFERROR(INDEX(data!$A:$ALL,MATCH($M105,data!$A:$A,0),MATCH(W$2,data!$1:$1,0)),"#data"),IFERROR(V105*INDEX(indexy_SDcast!$A:$ALI,MATCH($R105,indexy_SDcast!$K:$K,0),MATCH(W$2,indexy_SDcast!$2:$2,0)),"#ekrk")),"#popis")</f>
        <v>-6.3824944671565268E-3</v>
      </c>
      <c r="X105" s="365">
        <f>IF($Q105="ekrk",IF($R105="data",IFERROR(INDEX(data!$A:$ALL,MATCH($M105,data!$A:$A,0),MATCH(X$2,data!$1:$1,0)),"#data"),IFERROR(W105*INDEX(indexy_SDcast!$A:$ALI,MATCH($R105,indexy_SDcast!$K:$K,0),MATCH(X$2,indexy_SDcast!$2:$2,0)),"#ekrk")),"#popis")</f>
        <v>-4.0996420745484678E-3</v>
      </c>
      <c r="Y105" s="362">
        <f>IF($Q105="ekrk",IF($R105="data",IFERROR(INDEX(data!$A:$ALL,MATCH($M105,data!$A:$A,0),MATCH(Y$2,data!$1:$1,0)),"#data"),IFERROR(X105*INDEX(indexy_SDcast!$A:$ALI,MATCH($R105,indexy_SDcast!$K:$K,0),MATCH(Y$2,indexy_SDcast!$2:$2,0)),"#ekrk")),"#popis")</f>
        <v>-5.5461924359021478E-3</v>
      </c>
    </row>
    <row r="106" spans="1:44" x14ac:dyDescent="0.25">
      <c r="A106" s="330">
        <v>637030</v>
      </c>
      <c r="B106" s="329">
        <v>-3.5000000000024985E-4</v>
      </c>
      <c r="C106" s="157"/>
      <c r="D106" s="330">
        <v>637030</v>
      </c>
      <c r="E106" s="329">
        <v>-3.5000000000024985E-4</v>
      </c>
      <c r="F106" s="157"/>
      <c r="G106" s="330">
        <v>637030</v>
      </c>
      <c r="H106" s="329">
        <v>-3.5000000000024985E-4</v>
      </c>
      <c r="I106" s="157"/>
      <c r="J106" s="330">
        <v>637030</v>
      </c>
      <c r="K106" s="329">
        <v>-3.5000000000024985E-4</v>
      </c>
      <c r="L106" s="157"/>
      <c r="M106" s="360">
        <f t="shared" si="13"/>
        <v>637030</v>
      </c>
      <c r="N106" s="237">
        <f t="shared" si="14"/>
        <v>-3.5000000000024985E-4</v>
      </c>
      <c r="O106" s="361"/>
      <c r="P106" s="361"/>
      <c r="Q106" s="361" t="s">
        <v>698</v>
      </c>
      <c r="R106" s="362">
        <v>35</v>
      </c>
      <c r="S106" s="236"/>
      <c r="T106" s="364">
        <f t="shared" si="15"/>
        <v>637030</v>
      </c>
      <c r="U106" s="365">
        <f t="shared" si="9"/>
        <v>-3.5000000000024985E-4</v>
      </c>
      <c r="V106" s="365">
        <f>IF($Q106="ekrk",IF($R106="data",IFERROR(INDEX(data!$A:$ALL,MATCH($M106,data!$A:$A,0),MATCH(V$2,data!$1:$1,0)),"#data"),IFERROR(U106*INDEX(indexy_SDcast!$A:$ALI,MATCH($R106,indexy_SDcast!$K:$K,0),MATCH(V$2,indexy_SDcast!$2:$2,0)),"#ekrk")),"#popis")</f>
        <v>-4.4808125015798609E-4</v>
      </c>
      <c r="W106" s="365">
        <f>IF($Q106="ekrk",IF($R106="data",IFERROR(INDEX(data!$A:$ALL,MATCH($M106,data!$A:$A,0),MATCH(W$2,data!$1:$1,0)),"#data"),IFERROR(V106*INDEX(indexy_SDcast!$A:$ALI,MATCH($R106,indexy_SDcast!$K:$K,0),MATCH(W$2,indexy_SDcast!$2:$2,0)),"#ekrk")),"#popis")</f>
        <v>-4.5311826845971184E-4</v>
      </c>
      <c r="X106" s="365">
        <f>IF($Q106="ekrk",IF($R106="data",IFERROR(INDEX(data!$A:$ALL,MATCH($M106,data!$A:$A,0),MATCH(X$2,data!$1:$1,0)),"#data"),IFERROR(W106*INDEX(indexy_SDcast!$A:$ALI,MATCH($R106,indexy_SDcast!$K:$K,0),MATCH(X$2,indexy_SDcast!$2:$2,0)),"#ekrk")),"#popis")</f>
        <v>-2.9104964018113351E-4</v>
      </c>
      <c r="Y106" s="362">
        <f>IF($Q106="ekrk",IF($R106="data",IFERROR(INDEX(data!$A:$ALL,MATCH($M106,data!$A:$A,0),MATCH(Y$2,data!$1:$1,0)),"#data"),IFERROR(X106*INDEX(indexy_SDcast!$A:$ALI,MATCH($R106,indexy_SDcast!$K:$K,0),MATCH(Y$2,indexy_SDcast!$2:$2,0)),"#ekrk")),"#popis")</f>
        <v>-3.9374591329962221E-4</v>
      </c>
    </row>
    <row r="107" spans="1:44" x14ac:dyDescent="0.25">
      <c r="A107" s="330">
        <v>637032</v>
      </c>
      <c r="B107" s="329">
        <v>5.6989999999999985E-2</v>
      </c>
      <c r="C107" s="157"/>
      <c r="D107" s="330">
        <v>637032</v>
      </c>
      <c r="E107" s="329">
        <v>5.6989999999999985E-2</v>
      </c>
      <c r="F107" s="157"/>
      <c r="G107" s="330">
        <v>637032</v>
      </c>
      <c r="H107" s="329">
        <v>5.6989999999999985E-2</v>
      </c>
      <c r="I107" s="157"/>
      <c r="J107" s="330">
        <v>637032</v>
      </c>
      <c r="K107" s="329">
        <v>5.6989999999999985E-2</v>
      </c>
      <c r="L107" s="157"/>
      <c r="M107" s="360">
        <f t="shared" si="13"/>
        <v>637032</v>
      </c>
      <c r="N107" s="237">
        <f t="shared" si="14"/>
        <v>5.6989999999999985E-2</v>
      </c>
      <c r="O107" s="361"/>
      <c r="P107" s="361"/>
      <c r="Q107" s="361" t="s">
        <v>698</v>
      </c>
      <c r="R107" s="362">
        <v>35</v>
      </c>
      <c r="S107" s="236"/>
      <c r="T107" s="364">
        <f t="shared" si="15"/>
        <v>637032</v>
      </c>
      <c r="U107" s="365">
        <f t="shared" si="9"/>
        <v>5.6989999999999985E-2</v>
      </c>
      <c r="V107" s="365">
        <f>IF($Q107="ekrk",IF($R107="data",IFERROR(INDEX(data!$A:$ALL,MATCH($M107,data!$A:$A,0),MATCH(V$2,data!$1:$1,0)),"#data"),IFERROR(U107*INDEX(indexy_SDcast!$A:$ALI,MATCH($R107,indexy_SDcast!$K:$K,0),MATCH(V$2,indexy_SDcast!$2:$2,0)),"#ekrk")),"#popis")</f>
        <v>7.2960429847101119E-2</v>
      </c>
      <c r="W107" s="365">
        <f>IF($Q107="ekrk",IF($R107="data",IFERROR(INDEX(data!$A:$ALL,MATCH($M107,data!$A:$A,0),MATCH(W$2,data!$1:$1,0)),"#data"),IFERROR(V107*INDEX(indexy_SDcast!$A:$ALI,MATCH($R107,indexy_SDcast!$K:$K,0),MATCH(W$2,indexy_SDcast!$2:$2,0)),"#ekrk")),"#popis")</f>
        <v>7.3780600341430108E-2</v>
      </c>
      <c r="X107" s="365">
        <f>IF($Q107="ekrk",IF($R107="data",IFERROR(INDEX(data!$A:$ALL,MATCH($M107,data!$A:$A,0),MATCH(X$2,data!$1:$1,0)),"#data"),IFERROR(W107*INDEX(indexy_SDcast!$A:$ALI,MATCH($R107,indexy_SDcast!$K:$K,0),MATCH(X$2,indexy_SDcast!$2:$2,0)),"#ekrk")),"#popis")</f>
        <v>4.7391197125459875E-2</v>
      </c>
      <c r="Y107" s="362">
        <f>IF($Q107="ekrk",IF($R107="data",IFERROR(INDEX(data!$A:$ALL,MATCH($M107,data!$A:$A,0),MATCH(Y$2,data!$1:$1,0)),"#data"),IFERROR(X107*INDEX(indexy_SDcast!$A:$ALI,MATCH($R107,indexy_SDcast!$K:$K,0),MATCH(Y$2,indexy_SDcast!$2:$2,0)),"#ekrk")),"#popis")</f>
        <v>6.4113084568369852E-2</v>
      </c>
    </row>
    <row r="108" spans="1:44" x14ac:dyDescent="0.25">
      <c r="A108" s="330">
        <v>637036</v>
      </c>
      <c r="B108" s="329">
        <v>-0.24199999999999999</v>
      </c>
      <c r="C108" s="157"/>
      <c r="D108" s="330">
        <v>637036</v>
      </c>
      <c r="E108" s="329">
        <v>-0.24199999999999999</v>
      </c>
      <c r="F108" s="157"/>
      <c r="G108" s="330">
        <v>637036</v>
      </c>
      <c r="H108" s="329">
        <v>-0.24199999999999999</v>
      </c>
      <c r="I108" s="157"/>
      <c r="J108" s="330">
        <v>637036</v>
      </c>
      <c r="K108" s="329">
        <v>-0.24199999999999999</v>
      </c>
      <c r="L108" s="157"/>
      <c r="M108" s="360">
        <f t="shared" si="13"/>
        <v>637036</v>
      </c>
      <c r="N108" s="237">
        <f t="shared" si="14"/>
        <v>-0.24199999999999999</v>
      </c>
      <c r="O108" s="361"/>
      <c r="P108" s="361"/>
      <c r="Q108" s="361" t="s">
        <v>698</v>
      </c>
      <c r="R108" s="362">
        <v>35</v>
      </c>
      <c r="S108" s="236"/>
      <c r="T108" s="364">
        <f t="shared" si="15"/>
        <v>637036</v>
      </c>
      <c r="U108" s="365">
        <f t="shared" si="9"/>
        <v>-0.24199999999999999</v>
      </c>
      <c r="V108" s="365">
        <f>IF($Q108="ekrk",IF($R108="data",IFERROR(INDEX(data!$A:$ALL,MATCH($M108,data!$A:$A,0),MATCH(V$2,data!$1:$1,0)),"#data"),IFERROR(U108*INDEX(indexy_SDcast!$A:$ALI,MATCH($R108,indexy_SDcast!$K:$K,0),MATCH(V$2,indexy_SDcast!$2:$2,0)),"#ekrk")),"#popis")</f>
        <v>-0.30981617868044348</v>
      </c>
      <c r="W108" s="365">
        <f>IF($Q108="ekrk",IF($R108="data",IFERROR(INDEX(data!$A:$ALL,MATCH($M108,data!$A:$A,0),MATCH(W$2,data!$1:$1,0)),"#data"),IFERROR(V108*INDEX(indexy_SDcast!$A:$ALI,MATCH($R108,indexy_SDcast!$K:$K,0),MATCH(W$2,indexy_SDcast!$2:$2,0)),"#ekrk")),"#popis")</f>
        <v>-0.31329891704906276</v>
      </c>
      <c r="X108" s="365">
        <f>IF($Q108="ekrk",IF($R108="data",IFERROR(INDEX(data!$A:$ALL,MATCH($M108,data!$A:$A,0),MATCH(X$2,data!$1:$1,0)),"#data"),IFERROR(W108*INDEX(indexy_SDcast!$A:$ALI,MATCH($R108,indexy_SDcast!$K:$K,0),MATCH(X$2,indexy_SDcast!$2:$2,0)),"#ekrk")),"#popis")</f>
        <v>-0.2012400369250972</v>
      </c>
      <c r="Y108" s="362">
        <f>IF($Q108="ekrk",IF($R108="data",IFERROR(INDEX(data!$A:$ALL,MATCH($M108,data!$A:$A,0),MATCH(Y$2,data!$1:$1,0)),"#data"),IFERROR(X108*INDEX(indexy_SDcast!$A:$ALI,MATCH($R108,indexy_SDcast!$K:$K,0),MATCH(Y$2,indexy_SDcast!$2:$2,0)),"#ekrk")),"#popis")</f>
        <v>-0.27224717433840157</v>
      </c>
    </row>
    <row r="109" spans="1:44" x14ac:dyDescent="0.25">
      <c r="A109" s="330">
        <v>637037</v>
      </c>
      <c r="B109" s="329">
        <v>-105.52697000000001</v>
      </c>
      <c r="C109" s="157"/>
      <c r="D109" s="330">
        <v>637037</v>
      </c>
      <c r="E109" s="329">
        <v>-105.52697000000001</v>
      </c>
      <c r="F109" s="157"/>
      <c r="G109" s="330">
        <v>637037</v>
      </c>
      <c r="H109" s="329">
        <v>-105.52697000000001</v>
      </c>
      <c r="I109" s="157"/>
      <c r="J109" s="330">
        <v>637037</v>
      </c>
      <c r="K109" s="329">
        <v>-105.52697000000001</v>
      </c>
      <c r="L109" s="157"/>
      <c r="M109" s="360">
        <f t="shared" si="13"/>
        <v>637037</v>
      </c>
      <c r="N109" s="237">
        <f t="shared" si="14"/>
        <v>-105.52697000000001</v>
      </c>
      <c r="O109" s="361"/>
      <c r="P109" s="361"/>
      <c r="Q109" s="361" t="s">
        <v>698</v>
      </c>
      <c r="R109" s="362">
        <v>35</v>
      </c>
      <c r="S109" s="236"/>
      <c r="T109" s="364">
        <f t="shared" si="15"/>
        <v>637037</v>
      </c>
      <c r="U109" s="365">
        <f t="shared" si="9"/>
        <v>-105.52697000000001</v>
      </c>
      <c r="V109" s="365">
        <f>IF($Q109="ekrk",IF($R109="data",IFERROR(INDEX(data!$A:$ALL,MATCH($M109,data!$A:$A,0),MATCH(V$2,data!$1:$1,0)),"#data"),IFERROR(U109*INDEX(indexy_SDcast!$A:$ALI,MATCH($R109,indexy_SDcast!$K:$K,0),MATCH(V$2,indexy_SDcast!$2:$2,0)),"#ekrk")),"#popis")</f>
        <v>-135.0990189798587</v>
      </c>
      <c r="W109" s="365">
        <f>IF($Q109="ekrk",IF($R109="data",IFERROR(INDEX(data!$A:$ALL,MATCH($M109,data!$A:$A,0),MATCH(W$2,data!$1:$1,0)),"#data"),IFERROR(V109*INDEX(indexy_SDcast!$A:$ALI,MATCH($R109,indexy_SDcast!$K:$K,0),MATCH(W$2,indexy_SDcast!$2:$2,0)),"#ekrk")),"#popis")</f>
        <v>-136.61770834904522</v>
      </c>
      <c r="X109" s="365">
        <f>IF($Q109="ekrk",IF($R109="data",IFERROR(INDEX(data!$A:$ALL,MATCH($M109,data!$A:$A,0),MATCH(X$2,data!$1:$1,0)),"#data"),IFERROR(W109*INDEX(indexy_SDcast!$A:$ALI,MATCH($R109,indexy_SDcast!$K:$K,0),MATCH(X$2,indexy_SDcast!$2:$2,0)),"#ekrk")),"#popis")</f>
        <v>-87.753104708238141</v>
      </c>
      <c r="Y109" s="362">
        <f>IF($Q109="ekrk",IF($R109="data",IFERROR(INDEX(data!$A:$ALL,MATCH($M109,data!$A:$A,0),MATCH(Y$2,data!$1:$1,0)),"#data"),IFERROR(X109*INDEX(indexy_SDcast!$A:$ALI,MATCH($R109,indexy_SDcast!$K:$K,0),MATCH(Y$2,indexy_SDcast!$2:$2,0)),"#ekrk")),"#popis")</f>
        <v>-118.71660908674909</v>
      </c>
    </row>
    <row r="110" spans="1:44" x14ac:dyDescent="0.25">
      <c r="A110" s="330">
        <v>637200</v>
      </c>
      <c r="B110" s="329">
        <v>-9.2906200000000005</v>
      </c>
      <c r="C110" s="157"/>
      <c r="D110" s="330">
        <v>637200</v>
      </c>
      <c r="E110" s="329">
        <v>-9.2906200000000005</v>
      </c>
      <c r="F110" s="157"/>
      <c r="G110" s="330">
        <v>637200</v>
      </c>
      <c r="H110" s="329">
        <v>-9.2906200000000005</v>
      </c>
      <c r="I110" s="157"/>
      <c r="J110" s="330">
        <v>637200</v>
      </c>
      <c r="K110" s="329">
        <v>-9.2906200000000005</v>
      </c>
      <c r="L110" s="157"/>
      <c r="M110" s="360">
        <f t="shared" si="13"/>
        <v>637200</v>
      </c>
      <c r="N110" s="237">
        <f t="shared" si="14"/>
        <v>-9.2906200000000005</v>
      </c>
      <c r="O110" s="361"/>
      <c r="P110" s="361"/>
      <c r="Q110" s="361" t="s">
        <v>698</v>
      </c>
      <c r="R110" s="362">
        <v>35</v>
      </c>
      <c r="S110" s="236"/>
      <c r="T110" s="364">
        <f t="shared" si="15"/>
        <v>637200</v>
      </c>
      <c r="U110" s="365">
        <f t="shared" si="9"/>
        <v>-9.2906200000000005</v>
      </c>
      <c r="V110" s="365">
        <f>IF($Q110="ekrk",IF($R110="data",IFERROR(INDEX(data!$A:$ALL,MATCH($M110,data!$A:$A,0),MATCH(V$2,data!$1:$1,0)),"#data"),IFERROR(U110*INDEX(indexy_SDcast!$A:$ALI,MATCH($R110,indexy_SDcast!$K:$K,0),MATCH(V$2,indexy_SDcast!$2:$2,0)),"#ekrk")),"#popis")</f>
        <v>-11.89415035525662</v>
      </c>
      <c r="W110" s="365">
        <f>IF($Q110="ekrk",IF($R110="data",IFERROR(INDEX(data!$A:$ALL,MATCH($M110,data!$A:$A,0),MATCH(W$2,data!$1:$1,0)),"#data"),IFERROR(V110*INDEX(indexy_SDcast!$A:$ALI,MATCH($R110,indexy_SDcast!$K:$K,0),MATCH(W$2,indexy_SDcast!$2:$2,0)),"#ekrk")),"#popis")</f>
        <v>-12.027856135183322</v>
      </c>
      <c r="X110" s="365">
        <f>IF($Q110="ekrk",IF($R110="data",IFERROR(INDEX(data!$A:$ALL,MATCH($M110,data!$A:$A,0),MATCH(X$2,data!$1:$1,0)),"#data"),IFERROR(W110*INDEX(indexy_SDcast!$A:$ALI,MATCH($R110,indexy_SDcast!$K:$K,0),MATCH(X$2,indexy_SDcast!$2:$2,0)),"#ekrk")),"#popis")</f>
        <v>-7.7258045944506071</v>
      </c>
      <c r="Y110" s="362">
        <f>IF($Q110="ekrk",IF($R110="data",IFERROR(INDEX(data!$A:$ALL,MATCH($M110,data!$A:$A,0),MATCH(Y$2,data!$1:$1,0)),"#data"),IFERROR(X110*INDEX(indexy_SDcast!$A:$ALI,MATCH($R110,indexy_SDcast!$K:$K,0),MATCH(Y$2,indexy_SDcast!$2:$2,0)),"#ekrk")),"#popis")</f>
        <v>-10.451839020048929</v>
      </c>
    </row>
    <row r="111" spans="1:44" s="18" customFormat="1" x14ac:dyDescent="0.25">
      <c r="A111" s="333" t="s">
        <v>754</v>
      </c>
      <c r="B111" s="334">
        <v>-3608.8404699999996</v>
      </c>
      <c r="C111" s="164"/>
      <c r="D111" s="333" t="s">
        <v>754</v>
      </c>
      <c r="E111" s="334">
        <v>-3608.8404699999996</v>
      </c>
      <c r="F111" s="164"/>
      <c r="G111" s="333" t="s">
        <v>754</v>
      </c>
      <c r="H111" s="334">
        <v>-3608.8404699999996</v>
      </c>
      <c r="I111" s="164"/>
      <c r="J111" s="333" t="s">
        <v>754</v>
      </c>
      <c r="K111" s="334">
        <v>-3608.8404699999996</v>
      </c>
      <c r="L111" s="164"/>
      <c r="M111" s="358" t="str">
        <f t="shared" si="13"/>
        <v>P5111</v>
      </c>
      <c r="N111" s="239">
        <f t="shared" si="14"/>
        <v>-3608.8404699999996</v>
      </c>
      <c r="O111" s="243"/>
      <c r="P111" s="243">
        <f>MATCH(Q111,Q112:Q$1550,0)</f>
        <v>10</v>
      </c>
      <c r="Q111" s="243" t="s">
        <v>697</v>
      </c>
      <c r="R111" s="359" t="str">
        <f>IF(Q111="ekrk",INDEX(indexy_SDcast!$A:$C,MATCH($M111,indexy_SDcast!$A:$A,0),2),"")</f>
        <v/>
      </c>
      <c r="S111" s="240"/>
      <c r="T111" s="363" t="str">
        <f t="shared" si="15"/>
        <v>P5111</v>
      </c>
      <c r="U111" s="244">
        <f>SUM(U112:U120)</f>
        <v>-3608.8404699999996</v>
      </c>
      <c r="V111" s="244">
        <f>SUM(V112:V120)</f>
        <v>-4620.1535697633699</v>
      </c>
      <c r="W111" s="244">
        <f>SUM(W112:W120)</f>
        <v>-4672.0901283216153</v>
      </c>
      <c r="X111" s="244">
        <f>SUM(X112:X120)</f>
        <v>-3001.004915039608</v>
      </c>
      <c r="Y111" s="359">
        <f>SUM(Y112:Y120)</f>
        <v>-4059.9033908907813</v>
      </c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</row>
    <row r="112" spans="1:44" x14ac:dyDescent="0.25">
      <c r="A112" s="330">
        <v>713002</v>
      </c>
      <c r="B112" s="329">
        <v>-1131.8378700000001</v>
      </c>
      <c r="C112" s="157"/>
      <c r="D112" s="330">
        <v>713002</v>
      </c>
      <c r="E112" s="329">
        <v>-1131.8378700000001</v>
      </c>
      <c r="F112" s="157"/>
      <c r="G112" s="330">
        <v>713002</v>
      </c>
      <c r="H112" s="329">
        <v>-1131.8378700000001</v>
      </c>
      <c r="I112" s="157"/>
      <c r="J112" s="330">
        <v>713002</v>
      </c>
      <c r="K112" s="329">
        <v>-1131.8378700000001</v>
      </c>
      <c r="L112" s="157"/>
      <c r="M112" s="360">
        <f t="shared" si="13"/>
        <v>713002</v>
      </c>
      <c r="N112" s="237">
        <f t="shared" si="14"/>
        <v>-1131.8378700000001</v>
      </c>
      <c r="O112" s="361"/>
      <c r="P112" s="361"/>
      <c r="Q112" s="361" t="s">
        <v>698</v>
      </c>
      <c r="R112" s="362">
        <v>35</v>
      </c>
      <c r="S112" s="236"/>
      <c r="T112" s="364">
        <f t="shared" si="15"/>
        <v>713002</v>
      </c>
      <c r="U112" s="365">
        <f t="shared" ref="U112:U120" si="16">N112</f>
        <v>-1131.8378700000001</v>
      </c>
      <c r="V112" s="365">
        <f>IF($Q112="ekrk",IF($R112="data",IFERROR(INDEX(data!$A:$ALL,MATCH($M112,data!$A:$A,0),MATCH(V$2,data!$1:$1,0)),"#data"),IFERROR(U112*INDEX(indexy_SDcast!$A:$ALI,MATCH($R112,indexy_SDcast!$K:$K,0),MATCH(V$2,indexy_SDcast!$2:$2,0)),"#ekrk")),"#popis")</f>
        <v>-1449.0152221868291</v>
      </c>
      <c r="W112" s="365">
        <f>IF($Q112="ekrk",IF($R112="data",IFERROR(INDEX(data!$A:$ALL,MATCH($M112,data!$A:$A,0),MATCH(W$2,data!$1:$1,0)),"#data"),IFERROR(V112*INDEX(indexy_SDcast!$A:$ALI,MATCH($R112,indexy_SDcast!$K:$K,0),MATCH(W$2,indexy_SDcast!$2:$2,0)),"#ekrk")),"#popis")</f>
        <v>-1465.3040452318926</v>
      </c>
      <c r="X112" s="365">
        <f>IF($Q112="ekrk",IF($R112="data",IFERROR(INDEX(data!$A:$ALL,MATCH($M112,data!$A:$A,0),MATCH(X$2,data!$1:$1,0)),"#data"),IFERROR(W112*INDEX(indexy_SDcast!$A:$ALI,MATCH($R112,indexy_SDcast!$K:$K,0),MATCH(X$2,indexy_SDcast!$2:$2,0)),"#ekrk")),"#popis")</f>
        <v>-941.20287087612996</v>
      </c>
      <c r="Y112" s="362">
        <f>IF($Q112="ekrk",IF($R112="data",IFERROR(INDEX(data!$A:$ALL,MATCH($M112,data!$A:$A,0),MATCH(Y$2,data!$1:$1,0)),"#data"),IFERROR(X112*INDEX(indexy_SDcast!$A:$ALI,MATCH($R112,indexy_SDcast!$K:$K,0),MATCH(Y$2,indexy_SDcast!$2:$2,0)),"#ekrk")),"#popis")</f>
        <v>-1273.3043880855173</v>
      </c>
    </row>
    <row r="113" spans="1:44" x14ac:dyDescent="0.25">
      <c r="A113" s="330">
        <v>713003</v>
      </c>
      <c r="B113" s="329">
        <v>-123.41177000000002</v>
      </c>
      <c r="C113" s="157"/>
      <c r="D113" s="330">
        <v>713003</v>
      </c>
      <c r="E113" s="329">
        <v>-123.41177000000002</v>
      </c>
      <c r="F113" s="157"/>
      <c r="G113" s="330">
        <v>713003</v>
      </c>
      <c r="H113" s="329">
        <v>-123.41177000000002</v>
      </c>
      <c r="I113" s="157"/>
      <c r="J113" s="330">
        <v>713003</v>
      </c>
      <c r="K113" s="329">
        <v>-123.41177000000002</v>
      </c>
      <c r="L113" s="157"/>
      <c r="M113" s="360">
        <f t="shared" si="13"/>
        <v>713003</v>
      </c>
      <c r="N113" s="237">
        <f t="shared" si="14"/>
        <v>-123.41177000000002</v>
      </c>
      <c r="O113" s="361"/>
      <c r="P113" s="361"/>
      <c r="Q113" s="361" t="s">
        <v>698</v>
      </c>
      <c r="R113" s="362">
        <v>35</v>
      </c>
      <c r="S113" s="236"/>
      <c r="T113" s="364">
        <f t="shared" si="15"/>
        <v>713003</v>
      </c>
      <c r="U113" s="365">
        <f t="shared" si="16"/>
        <v>-123.41177000000002</v>
      </c>
      <c r="V113" s="365">
        <f>IF($Q113="ekrk",IF($R113="data",IFERROR(INDEX(data!$A:$ALL,MATCH($M113,data!$A:$A,0),MATCH(V$2,data!$1:$1,0)),"#data"),IFERROR(U113*INDEX(indexy_SDcast!$A:$ALI,MATCH($R113,indexy_SDcast!$K:$K,0),MATCH(V$2,indexy_SDcast!$2:$2,0)),"#ekrk")),"#popis")</f>
        <v>-157.99571481648678</v>
      </c>
      <c r="W113" s="365">
        <f>IF($Q113="ekrk",IF($R113="data",IFERROR(INDEX(data!$A:$ALL,MATCH($M113,data!$A:$A,0),MATCH(W$2,data!$1:$1,0)),"#data"),IFERROR(V113*INDEX(indexy_SDcast!$A:$ALI,MATCH($R113,indexy_SDcast!$K:$K,0),MATCH(W$2,indexy_SDcast!$2:$2,0)),"#ekrk")),"#popis")</f>
        <v>-159.77179294259514</v>
      </c>
      <c r="X113" s="365">
        <f>IF($Q113="ekrk",IF($R113="data",IFERROR(INDEX(data!$A:$ALL,MATCH($M113,data!$A:$A,0),MATCH(X$2,data!$1:$1,0)),"#data"),IFERROR(W113*INDEX(indexy_SDcast!$A:$ALI,MATCH($R113,indexy_SDcast!$K:$K,0),MATCH(X$2,indexy_SDcast!$2:$2,0)),"#ekrk")),"#popis")</f>
        <v>-102.62557500740336</v>
      </c>
      <c r="Y113" s="362">
        <f>IF($Q113="ekrk",IF($R113="data",IFERROR(INDEX(data!$A:$ALL,MATCH($M113,data!$A:$A,0),MATCH(Y$2,data!$1:$1,0)),"#data"),IFERROR(X113*INDEX(indexy_SDcast!$A:$ALI,MATCH($R113,indexy_SDcast!$K:$K,0),MATCH(Y$2,indexy_SDcast!$2:$2,0)),"#ekrk")),"#popis")</f>
        <v>-138.83680025868068</v>
      </c>
    </row>
    <row r="114" spans="1:44" x14ac:dyDescent="0.25">
      <c r="A114" s="330">
        <v>713004</v>
      </c>
      <c r="B114" s="329">
        <v>-429.02638999999999</v>
      </c>
      <c r="C114" s="157"/>
      <c r="D114" s="330">
        <v>713004</v>
      </c>
      <c r="E114" s="329">
        <v>-429.02638999999999</v>
      </c>
      <c r="F114" s="157"/>
      <c r="G114" s="330">
        <v>713004</v>
      </c>
      <c r="H114" s="329">
        <v>-429.02638999999999</v>
      </c>
      <c r="I114" s="157"/>
      <c r="J114" s="330">
        <v>713004</v>
      </c>
      <c r="K114" s="329">
        <v>-429.02638999999999</v>
      </c>
      <c r="L114" s="157"/>
      <c r="M114" s="360">
        <f t="shared" si="13"/>
        <v>713004</v>
      </c>
      <c r="N114" s="237">
        <f t="shared" si="14"/>
        <v>-429.02638999999999</v>
      </c>
      <c r="O114" s="361"/>
      <c r="P114" s="361"/>
      <c r="Q114" s="361" t="s">
        <v>698</v>
      </c>
      <c r="R114" s="362">
        <v>35</v>
      </c>
      <c r="S114" s="236"/>
      <c r="T114" s="364">
        <f t="shared" si="15"/>
        <v>713004</v>
      </c>
      <c r="U114" s="365">
        <f t="shared" si="16"/>
        <v>-429.02638999999999</v>
      </c>
      <c r="V114" s="365">
        <f>IF($Q114="ekrk",IF($R114="data",IFERROR(INDEX(data!$A:$ALL,MATCH($M114,data!$A:$A,0),MATCH(V$2,data!$1:$1,0)),"#data"),IFERROR(U114*INDEX(indexy_SDcast!$A:$ALI,MATCH($R114,indexy_SDcast!$K:$K,0),MATCH(V$2,indexy_SDcast!$2:$2,0)),"#ekrk")),"#popis")</f>
        <v>-549.2533748052299</v>
      </c>
      <c r="W114" s="365">
        <f>IF($Q114="ekrk",IF($R114="data",IFERROR(INDEX(data!$A:$ALL,MATCH($M114,data!$A:$A,0),MATCH(W$2,data!$1:$1,0)),"#data"),IFERROR(V114*INDEX(indexy_SDcast!$A:$ALI,MATCH($R114,indexy_SDcast!$K:$K,0),MATCH(W$2,indexy_SDcast!$2:$2,0)),"#ekrk")),"#popis")</f>
        <v>-555.42769988623502</v>
      </c>
      <c r="X114" s="365">
        <f>IF($Q114="ekrk",IF($R114="data",IFERROR(INDEX(data!$A:$ALL,MATCH($M114,data!$A:$A,0),MATCH(X$2,data!$1:$1,0)),"#data"),IFERROR(W114*INDEX(indexy_SDcast!$A:$ALI,MATCH($R114,indexy_SDcast!$K:$K,0),MATCH(X$2,indexy_SDcast!$2:$2,0)),"#ekrk")),"#popis")</f>
        <v>-356.76564696463294</v>
      </c>
      <c r="Y114" s="362">
        <f>IF($Q114="ekrk",IF($R114="data",IFERROR(INDEX(data!$A:$ALL,MATCH($M114,data!$A:$A,0),MATCH(Y$2,data!$1:$1,0)),"#data"),IFERROR(X114*INDEX(indexy_SDcast!$A:$ALI,MATCH($R114,indexy_SDcast!$K:$K,0),MATCH(Y$2,indexy_SDcast!$2:$2,0)),"#ekrk")),"#popis")</f>
        <v>-482.64967931448382</v>
      </c>
    </row>
    <row r="115" spans="1:44" x14ac:dyDescent="0.25">
      <c r="A115" s="330">
        <v>713006</v>
      </c>
      <c r="B115" s="329">
        <v>-38.830559999999998</v>
      </c>
      <c r="C115" s="157"/>
      <c r="D115" s="330">
        <v>713006</v>
      </c>
      <c r="E115" s="329">
        <v>-38.830559999999998</v>
      </c>
      <c r="F115" s="157"/>
      <c r="G115" s="330">
        <v>713006</v>
      </c>
      <c r="H115" s="329">
        <v>-38.830559999999998</v>
      </c>
      <c r="I115" s="157"/>
      <c r="J115" s="330">
        <v>713006</v>
      </c>
      <c r="K115" s="329">
        <v>-38.830559999999998</v>
      </c>
      <c r="L115" s="157"/>
      <c r="M115" s="360">
        <f t="shared" si="13"/>
        <v>713006</v>
      </c>
      <c r="N115" s="237">
        <f t="shared" si="14"/>
        <v>-38.830559999999998</v>
      </c>
      <c r="O115" s="361"/>
      <c r="P115" s="361"/>
      <c r="Q115" s="361" t="s">
        <v>698</v>
      </c>
      <c r="R115" s="362">
        <v>35</v>
      </c>
      <c r="S115" s="236"/>
      <c r="T115" s="364">
        <f t="shared" si="15"/>
        <v>713006</v>
      </c>
      <c r="U115" s="365">
        <f t="shared" si="16"/>
        <v>-38.830559999999998</v>
      </c>
      <c r="V115" s="365">
        <f>IF($Q115="ekrk",IF($R115="data",IFERROR(INDEX(data!$A:$ALL,MATCH($M115,data!$A:$A,0),MATCH(V$2,data!$1:$1,0)),"#data"),IFERROR(U115*INDEX(indexy_SDcast!$A:$ALI,MATCH($R115,indexy_SDcast!$K:$K,0),MATCH(V$2,indexy_SDcast!$2:$2,0)),"#ekrk")),"#popis")</f>
        <v>-49.712131054635051</v>
      </c>
      <c r="W115" s="365">
        <f>IF($Q115="ekrk",IF($R115="data",IFERROR(INDEX(data!$A:$ALL,MATCH($M115,data!$A:$A,0),MATCH(W$2,data!$1:$1,0)),"#data"),IFERROR(V115*INDEX(indexy_SDcast!$A:$ALI,MATCH($R115,indexy_SDcast!$K:$K,0),MATCH(W$2,indexy_SDcast!$2:$2,0)),"#ekrk")),"#popis")</f>
        <v>-50.27096031573825</v>
      </c>
      <c r="X115" s="365">
        <f>IF($Q115="ekrk",IF($R115="data",IFERROR(INDEX(data!$A:$ALL,MATCH($M115,data!$A:$A,0),MATCH(X$2,data!$1:$1,0)),"#data"),IFERROR(W115*INDEX(indexy_SDcast!$A:$ALI,MATCH($R115,indexy_SDcast!$K:$K,0),MATCH(X$2,indexy_SDcast!$2:$2,0)),"#ekrk")),"#popis")</f>
        <v>-32.290344331496712</v>
      </c>
      <c r="Y115" s="362">
        <f>IF($Q115="ekrk",IF($R115="data",IFERROR(INDEX(data!$A:$ALL,MATCH($M115,data!$A:$A,0),MATCH(Y$2,data!$1:$1,0)),"#data"),IFERROR(X115*INDEX(indexy_SDcast!$A:$ALI,MATCH($R115,indexy_SDcast!$K:$K,0),MATCH(Y$2,indexy_SDcast!$2:$2,0)),"#ekrk")),"#popis")</f>
        <v>-43.683926603213905</v>
      </c>
    </row>
    <row r="116" spans="1:44" x14ac:dyDescent="0.25">
      <c r="A116" s="330">
        <v>716000</v>
      </c>
      <c r="B116" s="329">
        <v>-31.519430000000003</v>
      </c>
      <c r="C116" s="157"/>
      <c r="D116" s="330">
        <v>716000</v>
      </c>
      <c r="E116" s="329">
        <v>-31.519430000000003</v>
      </c>
      <c r="F116" s="157"/>
      <c r="G116" s="330">
        <v>716000</v>
      </c>
      <c r="H116" s="329">
        <v>-31.519430000000003</v>
      </c>
      <c r="I116" s="157"/>
      <c r="J116" s="330">
        <v>716000</v>
      </c>
      <c r="K116" s="329">
        <v>-31.519430000000003</v>
      </c>
      <c r="L116" s="157"/>
      <c r="M116" s="360">
        <f t="shared" si="13"/>
        <v>716000</v>
      </c>
      <c r="N116" s="237">
        <f t="shared" si="14"/>
        <v>-31.519430000000003</v>
      </c>
      <c r="O116" s="361"/>
      <c r="P116" s="361"/>
      <c r="Q116" s="361" t="s">
        <v>698</v>
      </c>
      <c r="R116" s="362">
        <v>35</v>
      </c>
      <c r="S116" s="236"/>
      <c r="T116" s="364">
        <f t="shared" si="15"/>
        <v>716000</v>
      </c>
      <c r="U116" s="365">
        <f t="shared" si="16"/>
        <v>-31.519430000000003</v>
      </c>
      <c r="V116" s="365">
        <f>IF($Q116="ekrk",IF($R116="data",IFERROR(INDEX(data!$A:$ALL,MATCH($M116,data!$A:$A,0),MATCH(V$2,data!$1:$1,0)),"#data"),IFERROR(U116*INDEX(indexy_SDcast!$A:$ALI,MATCH($R116,indexy_SDcast!$K:$K,0),MATCH(V$2,indexy_SDcast!$2:$2,0)),"#ekrk")),"#popis")</f>
        <v>-40.352187424734431</v>
      </c>
      <c r="W116" s="365">
        <f>IF($Q116="ekrk",IF($R116="data",IFERROR(INDEX(data!$A:$ALL,MATCH($M116,data!$A:$A,0),MATCH(W$2,data!$1:$1,0)),"#data"),IFERROR(V116*INDEX(indexy_SDcast!$A:$ALI,MATCH($R116,indexy_SDcast!$K:$K,0),MATCH(W$2,indexy_SDcast!$2:$2,0)),"#ekrk")),"#popis")</f>
        <v>-40.805798698362572</v>
      </c>
      <c r="X116" s="365">
        <f>IF($Q116="ekrk",IF($R116="data",IFERROR(INDEX(data!$A:$ALL,MATCH($M116,data!$A:$A,0),MATCH(X$2,data!$1:$1,0)),"#data"),IFERROR(W116*INDEX(indexy_SDcast!$A:$ALI,MATCH($R116,indexy_SDcast!$K:$K,0),MATCH(X$2,indexy_SDcast!$2:$2,0)),"#ekrk")),"#popis")</f>
        <v>-26.210625029165364</v>
      </c>
      <c r="Y116" s="362">
        <f>IF($Q116="ekrk",IF($R116="data",IFERROR(INDEX(data!$A:$ALL,MATCH($M116,data!$A:$A,0),MATCH(Y$2,data!$1:$1,0)),"#data"),IFERROR(X116*INDEX(indexy_SDcast!$A:$ALI,MATCH($R116,indexy_SDcast!$K:$K,0),MATCH(Y$2,indexy_SDcast!$2:$2,0)),"#ekrk")),"#popis")</f>
        <v>-35.458990720070439</v>
      </c>
    </row>
    <row r="117" spans="1:44" x14ac:dyDescent="0.25">
      <c r="A117" s="330">
        <v>717001</v>
      </c>
      <c r="B117" s="329">
        <v>-379.79455999999993</v>
      </c>
      <c r="C117" s="157"/>
      <c r="D117" s="330">
        <v>717001</v>
      </c>
      <c r="E117" s="329">
        <v>-379.79455999999993</v>
      </c>
      <c r="F117" s="157"/>
      <c r="G117" s="330">
        <v>717001</v>
      </c>
      <c r="H117" s="329">
        <v>-379.79455999999993</v>
      </c>
      <c r="I117" s="157"/>
      <c r="J117" s="330">
        <v>717001</v>
      </c>
      <c r="K117" s="329">
        <v>-379.79455999999993</v>
      </c>
      <c r="L117" s="157"/>
      <c r="M117" s="360">
        <f t="shared" si="13"/>
        <v>717001</v>
      </c>
      <c r="N117" s="237">
        <f t="shared" si="14"/>
        <v>-379.79455999999993</v>
      </c>
      <c r="O117" s="361"/>
      <c r="P117" s="361"/>
      <c r="Q117" s="361" t="s">
        <v>698</v>
      </c>
      <c r="R117" s="362">
        <v>35</v>
      </c>
      <c r="S117" s="236"/>
      <c r="T117" s="364">
        <f t="shared" si="15"/>
        <v>717001</v>
      </c>
      <c r="U117" s="365">
        <f t="shared" si="16"/>
        <v>-379.79455999999993</v>
      </c>
      <c r="V117" s="365">
        <f>IF($Q117="ekrk",IF($R117="data",IFERROR(INDEX(data!$A:$ALL,MATCH($M117,data!$A:$A,0),MATCH(V$2,data!$1:$1,0)),"#data"),IFERROR(U117*INDEX(indexy_SDcast!$A:$ALI,MATCH($R117,indexy_SDcast!$K:$K,0),MATCH(V$2,indexy_SDcast!$2:$2,0)),"#ekrk")),"#popis")</f>
        <v>-486.22520356537359</v>
      </c>
      <c r="W117" s="365">
        <f>IF($Q117="ekrk",IF($R117="data",IFERROR(INDEX(data!$A:$ALL,MATCH($M117,data!$A:$A,0),MATCH(W$2,data!$1:$1,0)),"#data"),IFERROR(V117*INDEX(indexy_SDcast!$A:$ALI,MATCH($R117,indexy_SDcast!$K:$K,0),MATCH(W$2,indexy_SDcast!$2:$2,0)),"#ekrk")),"#popis")</f>
        <v>-491.69100970712935</v>
      </c>
      <c r="X117" s="365">
        <f>IF($Q117="ekrk",IF($R117="data",IFERROR(INDEX(data!$A:$ALL,MATCH($M117,data!$A:$A,0),MATCH(X$2,data!$1:$1,0)),"#data"),IFERROR(W117*INDEX(indexy_SDcast!$A:$ALI,MATCH($R117,indexy_SDcast!$K:$K,0),MATCH(X$2,indexy_SDcast!$2:$2,0)),"#ekrk")),"#popis")</f>
        <v>-315.82591437335145</v>
      </c>
      <c r="Y117" s="362">
        <f>IF($Q117="ekrk",IF($R117="data",IFERROR(INDEX(data!$A:$ALL,MATCH($M117,data!$A:$A,0),MATCH(Y$2,data!$1:$1,0)),"#data"),IFERROR(X117*INDEX(indexy_SDcast!$A:$ALI,MATCH($R117,indexy_SDcast!$K:$K,0),MATCH(Y$2,indexy_SDcast!$2:$2,0)),"#ekrk")),"#popis")</f>
        <v>-427.26444540948972</v>
      </c>
    </row>
    <row r="118" spans="1:44" x14ac:dyDescent="0.25">
      <c r="A118" s="330">
        <v>717002</v>
      </c>
      <c r="B118" s="329">
        <v>-1389.9535199999996</v>
      </c>
      <c r="C118" s="157"/>
      <c r="D118" s="330">
        <v>717002</v>
      </c>
      <c r="E118" s="329">
        <v>-1389.9535199999996</v>
      </c>
      <c r="F118" s="157"/>
      <c r="G118" s="330">
        <v>717002</v>
      </c>
      <c r="H118" s="329">
        <v>-1389.9535199999996</v>
      </c>
      <c r="I118" s="157"/>
      <c r="J118" s="330">
        <v>717002</v>
      </c>
      <c r="K118" s="329">
        <v>-1389.9535199999996</v>
      </c>
      <c r="L118" s="157"/>
      <c r="M118" s="360">
        <f t="shared" si="13"/>
        <v>717002</v>
      </c>
      <c r="N118" s="237">
        <f t="shared" si="14"/>
        <v>-1389.9535199999996</v>
      </c>
      <c r="O118" s="361"/>
      <c r="P118" s="361"/>
      <c r="Q118" s="361" t="s">
        <v>698</v>
      </c>
      <c r="R118" s="362">
        <v>35</v>
      </c>
      <c r="S118" s="236"/>
      <c r="T118" s="364">
        <f t="shared" si="15"/>
        <v>717002</v>
      </c>
      <c r="U118" s="365">
        <f t="shared" si="16"/>
        <v>-1389.9535199999996</v>
      </c>
      <c r="V118" s="365">
        <f>IF($Q118="ekrk",IF($R118="data",IFERROR(INDEX(data!$A:$ALL,MATCH($M118,data!$A:$A,0),MATCH(V$2,data!$1:$1,0)),"#data"),IFERROR(U118*INDEX(indexy_SDcast!$A:$ALI,MATCH($R118,indexy_SDcast!$K:$K,0),MATCH(V$2,indexy_SDcast!$2:$2,0)),"#ekrk")),"#popis")</f>
        <v>-1779.4631740075672</v>
      </c>
      <c r="W118" s="365">
        <f>IF($Q118="ekrk",IF($R118="data",IFERROR(INDEX(data!$A:$ALL,MATCH($M118,data!$A:$A,0),MATCH(W$2,data!$1:$1,0)),"#data"),IFERROR(V118*INDEX(indexy_SDcast!$A:$ALI,MATCH($R118,indexy_SDcast!$K:$K,0),MATCH(W$2,indexy_SDcast!$2:$2,0)),"#ekrk")),"#popis")</f>
        <v>-1799.4666634898047</v>
      </c>
      <c r="X118" s="365">
        <f>IF($Q118="ekrk",IF($R118="data",IFERROR(INDEX(data!$A:$ALL,MATCH($M118,data!$A:$A,0),MATCH(X$2,data!$1:$1,0)),"#data"),IFERROR(W118*INDEX(indexy_SDcast!$A:$ALI,MATCH($R118,indexy_SDcast!$K:$K,0),MATCH(X$2,indexy_SDcast!$2:$2,0)),"#ekrk")),"#popis")</f>
        <v>-1155.8442053263173</v>
      </c>
      <c r="Y118" s="362">
        <f>IF($Q118="ekrk",IF($R118="data",IFERROR(INDEX(data!$A:$ALL,MATCH($M118,data!$A:$A,0),MATCH(Y$2,data!$1:$1,0)),"#data"),IFERROR(X118*INDEX(indexy_SDcast!$A:$ALI,MATCH($R118,indexy_SDcast!$K:$K,0),MATCH(Y$2,indexy_SDcast!$2:$2,0)),"#ekrk")),"#popis")</f>
        <v>-1563.6814805029539</v>
      </c>
    </row>
    <row r="119" spans="1:44" x14ac:dyDescent="0.25">
      <c r="A119" s="330">
        <v>717003</v>
      </c>
      <c r="B119" s="329">
        <v>-81.693100000000001</v>
      </c>
      <c r="C119" s="157"/>
      <c r="D119" s="330">
        <v>717003</v>
      </c>
      <c r="E119" s="329">
        <v>-81.693100000000001</v>
      </c>
      <c r="F119" s="157"/>
      <c r="G119" s="330">
        <v>717003</v>
      </c>
      <c r="H119" s="329">
        <v>-81.693100000000001</v>
      </c>
      <c r="I119" s="157"/>
      <c r="J119" s="330">
        <v>717003</v>
      </c>
      <c r="K119" s="329">
        <v>-81.693100000000001</v>
      </c>
      <c r="L119" s="157"/>
      <c r="M119" s="360">
        <f t="shared" si="13"/>
        <v>717003</v>
      </c>
      <c r="N119" s="237">
        <f t="shared" si="14"/>
        <v>-81.693100000000001</v>
      </c>
      <c r="O119" s="361"/>
      <c r="P119" s="361"/>
      <c r="Q119" s="361" t="s">
        <v>698</v>
      </c>
      <c r="R119" s="362">
        <v>35</v>
      </c>
      <c r="S119" s="236"/>
      <c r="T119" s="364">
        <f t="shared" si="15"/>
        <v>717003</v>
      </c>
      <c r="U119" s="365">
        <f t="shared" si="16"/>
        <v>-81.693100000000001</v>
      </c>
      <c r="V119" s="365">
        <f>IF($Q119="ekrk",IF($R119="data",IFERROR(INDEX(data!$A:$ALL,MATCH($M119,data!$A:$A,0),MATCH(V$2,data!$1:$1,0)),"#data"),IFERROR(U119*INDEX(indexy_SDcast!$A:$ALI,MATCH($R119,indexy_SDcast!$K:$K,0),MATCH(V$2,indexy_SDcast!$2:$2,0)),"#ekrk")),"#popis")</f>
        <v>-104.58613250644355</v>
      </c>
      <c r="W119" s="365">
        <f>IF($Q119="ekrk",IF($R119="data",IFERROR(INDEX(data!$A:$ALL,MATCH($M119,data!$A:$A,0),MATCH(W$2,data!$1:$1,0)),"#data"),IFERROR(V119*INDEX(indexy_SDcast!$A:$ALI,MATCH($R119,indexy_SDcast!$K:$K,0),MATCH(W$2,indexy_SDcast!$2:$2,0)),"#ekrk")),"#popis")</f>
        <v>-105.76181719165616</v>
      </c>
      <c r="X119" s="365">
        <f>IF($Q119="ekrk",IF($R119="data",IFERROR(INDEX(data!$A:$ALL,MATCH($M119,data!$A:$A,0),MATCH(X$2,data!$1:$1,0)),"#data"),IFERROR(W119*INDEX(indexy_SDcast!$A:$ALI,MATCH($R119,indexy_SDcast!$K:$K,0),MATCH(X$2,indexy_SDcast!$2:$2,0)),"#ekrk")),"#popis")</f>
        <v>-67.93356388646967</v>
      </c>
      <c r="Y119" s="362">
        <f>IF($Q119="ekrk",IF($R119="data",IFERROR(INDEX(data!$A:$ALL,MATCH($M119,data!$A:$A,0),MATCH(Y$2,data!$1:$1,0)),"#data"),IFERROR(X119*INDEX(indexy_SDcast!$A:$ALI,MATCH($R119,indexy_SDcast!$K:$K,0),MATCH(Y$2,indexy_SDcast!$2:$2,0)),"#ekrk")),"#popis")</f>
        <v>-91.903783627869728</v>
      </c>
    </row>
    <row r="120" spans="1:44" x14ac:dyDescent="0.25">
      <c r="A120" s="330">
        <v>719014</v>
      </c>
      <c r="B120" s="329">
        <v>-2.7732700000000001</v>
      </c>
      <c r="C120" s="157"/>
      <c r="D120" s="330">
        <v>719014</v>
      </c>
      <c r="E120" s="329">
        <v>-2.7732700000000001</v>
      </c>
      <c r="F120" s="157"/>
      <c r="G120" s="330">
        <v>719014</v>
      </c>
      <c r="H120" s="329">
        <v>-2.7732700000000001</v>
      </c>
      <c r="I120" s="157"/>
      <c r="J120" s="330">
        <v>719014</v>
      </c>
      <c r="K120" s="329">
        <v>-2.7732700000000001</v>
      </c>
      <c r="L120" s="157"/>
      <c r="M120" s="360">
        <f t="shared" si="13"/>
        <v>719014</v>
      </c>
      <c r="N120" s="237">
        <f t="shared" si="14"/>
        <v>-2.7732700000000001</v>
      </c>
      <c r="O120" s="361"/>
      <c r="P120" s="361"/>
      <c r="Q120" s="361" t="s">
        <v>698</v>
      </c>
      <c r="R120" s="362">
        <v>35</v>
      </c>
      <c r="S120" s="236"/>
      <c r="T120" s="364">
        <f t="shared" si="15"/>
        <v>719014</v>
      </c>
      <c r="U120" s="365">
        <f t="shared" si="16"/>
        <v>-2.7732700000000001</v>
      </c>
      <c r="V120" s="365">
        <f>IF($Q120="ekrk",IF($R120="data",IFERROR(INDEX(data!$A:$ALL,MATCH($M120,data!$A:$A,0),MATCH(V$2,data!$1:$1,0)),"#data"),IFERROR(U120*INDEX(indexy_SDcast!$A:$ALI,MATCH($R120,indexy_SDcast!$K:$K,0),MATCH(V$2,indexy_SDcast!$2:$2,0)),"#ekrk")),"#popis")</f>
        <v>-3.5504293960707174</v>
      </c>
      <c r="W120" s="365">
        <f>IF($Q120="ekrk",IF($R120="data",IFERROR(INDEX(data!$A:$ALL,MATCH($M120,data!$A:$A,0),MATCH(W$2,data!$1:$1,0)),"#data"),IFERROR(V120*INDEX(indexy_SDcast!$A:$ALI,MATCH($R120,indexy_SDcast!$K:$K,0),MATCH(W$2,indexy_SDcast!$2:$2,0)),"#ekrk")),"#popis")</f>
        <v>-3.5903408582010514</v>
      </c>
      <c r="X120" s="365">
        <f>IF($Q120="ekrk",IF($R120="data",IFERROR(INDEX(data!$A:$ALL,MATCH($M120,data!$A:$A,0),MATCH(X$2,data!$1:$1,0)),"#data"),IFERROR(W120*INDEX(indexy_SDcast!$A:$ALI,MATCH($R120,indexy_SDcast!$K:$K,0),MATCH(X$2,indexy_SDcast!$2:$2,0)),"#ekrk")),"#popis")</f>
        <v>-2.3061692446415885</v>
      </c>
      <c r="Y120" s="362">
        <f>IF($Q120="ekrk",IF($R120="data",IFERROR(INDEX(data!$A:$ALL,MATCH($M120,data!$A:$A,0),MATCH(Y$2,data!$1:$1,0)),"#data"),IFERROR(X120*INDEX(indexy_SDcast!$A:$ALI,MATCH($R120,indexy_SDcast!$K:$K,0),MATCH(Y$2,indexy_SDcast!$2:$2,0)),"#ekrk")),"#popis")</f>
        <v>-3.1198963685018968</v>
      </c>
    </row>
    <row r="121" spans="1:44" s="18" customFormat="1" x14ac:dyDescent="0.25">
      <c r="A121" s="333" t="s">
        <v>757</v>
      </c>
      <c r="B121" s="334">
        <v>-2632.9031100000002</v>
      </c>
      <c r="C121" s="164"/>
      <c r="D121" s="333" t="s">
        <v>757</v>
      </c>
      <c r="E121" s="334">
        <v>-2632.9031100000002</v>
      </c>
      <c r="F121" s="164"/>
      <c r="G121" s="333" t="s">
        <v>757</v>
      </c>
      <c r="H121" s="334">
        <v>-2632.9031100000002</v>
      </c>
      <c r="I121" s="164"/>
      <c r="J121" s="333" t="s">
        <v>757</v>
      </c>
      <c r="K121" s="334">
        <v>-2632.9031100000002</v>
      </c>
      <c r="L121" s="164"/>
      <c r="M121" s="358" t="str">
        <f t="shared" si="13"/>
        <v>P5121</v>
      </c>
      <c r="N121" s="239">
        <f t="shared" si="14"/>
        <v>-2632.9031100000002</v>
      </c>
      <c r="O121" s="243"/>
      <c r="P121" s="243">
        <f>MATCH(Q121,Q122:Q$1550,0)</f>
        <v>4</v>
      </c>
      <c r="Q121" s="243" t="s">
        <v>697</v>
      </c>
      <c r="R121" s="359" t="str">
        <f>IF(Q121="ekrk",INDEX(indexy_SDcast!$A:$C,MATCH($M121,indexy_SDcast!$A:$A,0),2),"")</f>
        <v/>
      </c>
      <c r="S121" s="240"/>
      <c r="T121" s="363" t="str">
        <f t="shared" si="15"/>
        <v>P5121</v>
      </c>
      <c r="U121" s="244">
        <f>SUM(U122:U122)</f>
        <v>-2632.9031100000002</v>
      </c>
      <c r="V121" s="244">
        <f>SUM(V122:V122)</f>
        <v>-3370.727191636593</v>
      </c>
      <c r="W121" s="244">
        <f>SUM(W122:W122)</f>
        <v>-3408.6185663558249</v>
      </c>
      <c r="X121" s="244">
        <f>SUM(X122:X122)</f>
        <v>-2189.444293704973</v>
      </c>
      <c r="Y121" s="359">
        <f>SUM(Y122:Y122)</f>
        <v>-2961.985256216074</v>
      </c>
      <c r="Z121" s="58"/>
      <c r="AA121" s="335"/>
      <c r="AB121" s="335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</row>
    <row r="122" spans="1:44" x14ac:dyDescent="0.25">
      <c r="A122" s="369">
        <v>711003</v>
      </c>
      <c r="B122" s="370">
        <v>-2632.9031100000002</v>
      </c>
      <c r="C122" s="157"/>
      <c r="D122" s="369">
        <v>711003</v>
      </c>
      <c r="E122" s="370">
        <v>-2632.9031100000002</v>
      </c>
      <c r="F122" s="157"/>
      <c r="G122" s="369">
        <v>711003</v>
      </c>
      <c r="H122" s="370">
        <v>-2632.9031100000002</v>
      </c>
      <c r="I122" s="157"/>
      <c r="J122" s="369">
        <v>711003</v>
      </c>
      <c r="K122" s="370">
        <v>-2632.9031100000002</v>
      </c>
      <c r="L122" s="157"/>
      <c r="M122" s="371">
        <f t="shared" si="13"/>
        <v>711003</v>
      </c>
      <c r="N122" s="372">
        <f t="shared" si="14"/>
        <v>-2632.9031100000002</v>
      </c>
      <c r="O122" s="373"/>
      <c r="P122" s="373"/>
      <c r="Q122" s="373" t="s">
        <v>698</v>
      </c>
      <c r="R122" s="368">
        <v>35</v>
      </c>
      <c r="S122" s="236"/>
      <c r="T122" s="366">
        <f t="shared" si="15"/>
        <v>711003</v>
      </c>
      <c r="U122" s="367">
        <f>N122</f>
        <v>-2632.9031100000002</v>
      </c>
      <c r="V122" s="367">
        <f>IF($Q122="ekrk",IF($R122="data",IFERROR(INDEX(data!$A:$ALL,MATCH($M122,data!$A:$A,0),MATCH(V$2,data!$1:$1,0)),"#data"),IFERROR(U122*INDEX(indexy_SDcast!$A:$ALI,MATCH($R122,indexy_SDcast!$K:$K,0),MATCH(V$2,indexy_SDcast!$2:$2,0)),"#ekrk")),"#popis")</f>
        <v>-3370.727191636593</v>
      </c>
      <c r="W122" s="367">
        <f>IF($Q122="ekrk",IF($R122="data",IFERROR(INDEX(data!$A:$ALL,MATCH($M122,data!$A:$A,0),MATCH(W$2,data!$1:$1,0)),"#data"),IFERROR(V122*INDEX(indexy_SDcast!$A:$ALI,MATCH($R122,indexy_SDcast!$K:$K,0),MATCH(W$2,indexy_SDcast!$2:$2,0)),"#ekrk")),"#popis")</f>
        <v>-3408.6185663558249</v>
      </c>
      <c r="X122" s="367">
        <f>IF($Q122="ekrk",IF($R122="data",IFERROR(INDEX(data!$A:$ALL,MATCH($M122,data!$A:$A,0),MATCH(X$2,data!$1:$1,0)),"#data"),IFERROR(W122*INDEX(indexy_SDcast!$A:$ALI,MATCH($R122,indexy_SDcast!$K:$K,0),MATCH(X$2,indexy_SDcast!$2:$2,0)),"#ekrk")),"#popis")</f>
        <v>-2189.444293704973</v>
      </c>
      <c r="Y122" s="368">
        <f>IF($Q122="ekrk",IF($R122="data",IFERROR(INDEX(data!$A:$ALL,MATCH($M122,data!$A:$A,0),MATCH(Y$2,data!$1:$1,0)),"#data"),IFERROR(X122*INDEX(indexy_SDcast!$A:$ALI,MATCH($R122,indexy_SDcast!$K:$K,0),MATCH(Y$2,indexy_SDcast!$2:$2,0)),"#ekrk")),"#popis")</f>
        <v>-2961.985256216074</v>
      </c>
    </row>
    <row r="123" spans="1:44" x14ac:dyDescent="0.25">
      <c r="A123" s="157"/>
      <c r="B123" s="157"/>
      <c r="C123" s="157"/>
      <c r="D123" s="157"/>
      <c r="E123" s="157"/>
      <c r="F123" s="157"/>
      <c r="G123" s="157"/>
      <c r="H123" s="157"/>
      <c r="I123" s="157"/>
      <c r="J123" s="160"/>
      <c r="K123" s="160"/>
      <c r="L123" s="157"/>
      <c r="M123" s="160"/>
      <c r="N123" s="160"/>
      <c r="O123" s="236"/>
      <c r="P123" s="236"/>
      <c r="Q123" s="236"/>
      <c r="R123" s="238"/>
      <c r="S123" s="236"/>
      <c r="T123" s="236"/>
      <c r="U123" s="238"/>
      <c r="V123" s="238"/>
      <c r="W123" s="238"/>
      <c r="X123" s="238"/>
      <c r="Y123" s="238"/>
    </row>
    <row r="124" spans="1:44" x14ac:dyDescent="0.25">
      <c r="A124" s="331" t="s">
        <v>1102</v>
      </c>
      <c r="B124" s="340" t="s">
        <v>1199</v>
      </c>
      <c r="C124" s="157"/>
      <c r="D124" s="331" t="s">
        <v>1102</v>
      </c>
      <c r="E124" s="340" t="s">
        <v>1199</v>
      </c>
      <c r="F124" s="157"/>
      <c r="G124" s="331" t="s">
        <v>1102</v>
      </c>
      <c r="H124" s="340" t="s">
        <v>1199</v>
      </c>
      <c r="I124" s="157"/>
      <c r="J124" s="331" t="s">
        <v>1102</v>
      </c>
      <c r="K124" s="340" t="s">
        <v>1199</v>
      </c>
      <c r="L124" s="157"/>
      <c r="M124" s="331" t="str">
        <f t="shared" ref="M124:M182" si="17">J124</f>
        <v>Časť 2</v>
      </c>
      <c r="N124" s="459" t="str">
        <f t="shared" ref="N124:N182" si="18">K124</f>
        <v>Školstvo, EU fondy</v>
      </c>
      <c r="O124" s="459"/>
      <c r="P124" s="459"/>
      <c r="Q124" s="459"/>
      <c r="R124" s="460"/>
      <c r="S124" s="236"/>
      <c r="T124" s="331" t="str">
        <f t="shared" ref="T124:T150" si="19">M124</f>
        <v>Časť 2</v>
      </c>
      <c r="U124" s="459" t="str">
        <f>N124</f>
        <v>Školstvo, EU fondy</v>
      </c>
      <c r="V124" s="459"/>
      <c r="W124" s="459"/>
      <c r="X124" s="459"/>
      <c r="Y124" s="460"/>
    </row>
    <row r="125" spans="1:44" s="18" customFormat="1" x14ac:dyDescent="0.25">
      <c r="A125" s="333" t="s">
        <v>696</v>
      </c>
      <c r="B125" s="334">
        <v>-31816.66190000001</v>
      </c>
      <c r="C125" s="164"/>
      <c r="D125" s="333" t="s">
        <v>696</v>
      </c>
      <c r="E125" s="334">
        <v>-31816.66190000001</v>
      </c>
      <c r="F125" s="164"/>
      <c r="G125" s="333" t="s">
        <v>696</v>
      </c>
      <c r="H125" s="334">
        <v>-31816.66190000001</v>
      </c>
      <c r="I125" s="164"/>
      <c r="J125" s="333" t="s">
        <v>696</v>
      </c>
      <c r="K125" s="334">
        <v>-31816.66190000001</v>
      </c>
      <c r="L125" s="164"/>
      <c r="M125" s="358" t="str">
        <f t="shared" si="17"/>
        <v>D11PAY</v>
      </c>
      <c r="N125" s="239">
        <f t="shared" si="18"/>
        <v>-31816.66190000001</v>
      </c>
      <c r="O125" s="243"/>
      <c r="P125" s="243">
        <f>MATCH(Q125,Q126:Q$1550,0)</f>
        <v>17</v>
      </c>
      <c r="Q125" s="243" t="s">
        <v>697</v>
      </c>
      <c r="R125" s="359" t="str">
        <f>IF(Q125="ekrk",INDEX(indexy_SDcast!$A:$C,MATCH($M125,indexy_SDcast!$A:$A,0),2),"")</f>
        <v/>
      </c>
      <c r="S125" s="240"/>
      <c r="T125" s="363" t="str">
        <f t="shared" si="19"/>
        <v>D11PAY</v>
      </c>
      <c r="U125" s="244">
        <f>SUM(U126:U141)</f>
        <v>-31816.66190000001</v>
      </c>
      <c r="V125" s="244">
        <f>SUM(V126:V141)</f>
        <v>-40732.713257130832</v>
      </c>
      <c r="W125" s="244">
        <f>SUM(W126:W141)</f>
        <v>-41190.602137959417</v>
      </c>
      <c r="X125" s="244">
        <f>SUM(X126:X141)</f>
        <v>-26457.794279294787</v>
      </c>
      <c r="Y125" s="359">
        <f>SUM(Y126:Y141)</f>
        <v>-35793.373137005299</v>
      </c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</row>
    <row r="126" spans="1:44" x14ac:dyDescent="0.25">
      <c r="A126" s="330">
        <v>611000</v>
      </c>
      <c r="B126" s="329">
        <v>-15644.246770000009</v>
      </c>
      <c r="C126" s="157"/>
      <c r="D126" s="330">
        <v>611000</v>
      </c>
      <c r="E126" s="329">
        <v>-15644.246770000009</v>
      </c>
      <c r="F126" s="157"/>
      <c r="G126" s="330">
        <v>611000</v>
      </c>
      <c r="H126" s="329">
        <v>-15644.246770000009</v>
      </c>
      <c r="I126" s="157"/>
      <c r="J126" s="330">
        <v>611000</v>
      </c>
      <c r="K126" s="329">
        <v>-15644.246770000009</v>
      </c>
      <c r="L126" s="157"/>
      <c r="M126" s="360">
        <f t="shared" si="17"/>
        <v>611000</v>
      </c>
      <c r="N126" s="237">
        <f t="shared" si="18"/>
        <v>-15644.246770000009</v>
      </c>
      <c r="O126" s="361"/>
      <c r="P126" s="361"/>
      <c r="Q126" s="361" t="s">
        <v>698</v>
      </c>
      <c r="R126" s="362">
        <v>35</v>
      </c>
      <c r="S126" s="236"/>
      <c r="T126" s="364">
        <f t="shared" si="19"/>
        <v>611000</v>
      </c>
      <c r="U126" s="365">
        <f t="shared" ref="U126:U141" si="20">N126</f>
        <v>-15644.246770000009</v>
      </c>
      <c r="V126" s="365">
        <f>IF($Q126="ekrk",IF($R126="data",IFERROR(INDEX(data!$A:$ALL,MATCH($M126,data!$A:$A,0),MATCH(V$2,data!$1:$1,0)),"#data"),IFERROR(U126*INDEX(indexy_SDcast!$A:$ALI,MATCH($R126,indexy_SDcast!$K:$K,0),MATCH(V$2,indexy_SDcast!$2:$2,0)),"#ekrk")),"#popis")</f>
        <v>-20028.267572790388</v>
      </c>
      <c r="W126" s="365">
        <f>IF($Q126="ekrk",IF($R126="data",IFERROR(INDEX(data!$A:$ALL,MATCH($M126,data!$A:$A,0),MATCH(W$2,data!$1:$1,0)),"#data"),IFERROR(V126*INDEX(indexy_SDcast!$A:$ALI,MATCH($R126,indexy_SDcast!$K:$K,0),MATCH(W$2,indexy_SDcast!$2:$2,0)),"#ekrk")),"#popis")</f>
        <v>-20253.411450782238</v>
      </c>
      <c r="X126" s="365">
        <f>IF($Q126="ekrk",IF($R126="data",IFERROR(INDEX(data!$A:$ALL,MATCH($M126,data!$A:$A,0),MATCH(X$2,data!$1:$1,0)),"#data"),IFERROR(W126*INDEX(indexy_SDcast!$A:$ALI,MATCH($R126,indexy_SDcast!$K:$K,0),MATCH(X$2,indexy_SDcast!$2:$2,0)),"#ekrk")),"#popis")</f>
        <v>-13009.292552314608</v>
      </c>
      <c r="Y126" s="362">
        <f>IF($Q126="ekrk",IF($R126="data",IFERROR(INDEX(data!$A:$ALL,MATCH($M126,data!$A:$A,0),MATCH(Y$2,data!$1:$1,0)),"#data"),IFERROR(X126*INDEX(indexy_SDcast!$A:$ALI,MATCH($R126,indexy_SDcast!$K:$K,0),MATCH(Y$2,indexy_SDcast!$2:$2,0)),"#ekrk")),"#popis")</f>
        <v>-17599.59494952549</v>
      </c>
    </row>
    <row r="127" spans="1:44" x14ac:dyDescent="0.25">
      <c r="A127" s="330">
        <v>612001</v>
      </c>
      <c r="B127" s="329">
        <v>-4123.4179400000003</v>
      </c>
      <c r="C127" s="157"/>
      <c r="D127" s="330">
        <v>612001</v>
      </c>
      <c r="E127" s="329">
        <v>-4123.4179400000003</v>
      </c>
      <c r="F127" s="157"/>
      <c r="G127" s="330">
        <v>612001</v>
      </c>
      <c r="H127" s="329">
        <v>-4123.4179400000003</v>
      </c>
      <c r="I127" s="157"/>
      <c r="J127" s="330">
        <v>612001</v>
      </c>
      <c r="K127" s="329">
        <v>-4123.4179400000003</v>
      </c>
      <c r="L127" s="157"/>
      <c r="M127" s="360">
        <f t="shared" si="17"/>
        <v>612001</v>
      </c>
      <c r="N127" s="237">
        <f t="shared" si="18"/>
        <v>-4123.4179400000003</v>
      </c>
      <c r="O127" s="361"/>
      <c r="P127" s="361"/>
      <c r="Q127" s="361" t="s">
        <v>698</v>
      </c>
      <c r="R127" s="362">
        <v>35</v>
      </c>
      <c r="S127" s="236"/>
      <c r="T127" s="364">
        <f t="shared" si="19"/>
        <v>612001</v>
      </c>
      <c r="U127" s="365">
        <f t="shared" si="20"/>
        <v>-4123.4179400000003</v>
      </c>
      <c r="V127" s="365">
        <f>IF($Q127="ekrk",IF($R127="data",IFERROR(INDEX(data!$A:$ALL,MATCH($M127,data!$A:$A,0),MATCH(V$2,data!$1:$1,0)),"#data"),IFERROR(U127*INDEX(indexy_SDcast!$A:$ALI,MATCH($R127,indexy_SDcast!$K:$K,0),MATCH(V$2,indexy_SDcast!$2:$2,0)),"#ekrk")),"#popis")</f>
        <v>-5278.9321870792828</v>
      </c>
      <c r="W127" s="365">
        <f>IF($Q127="ekrk",IF($R127="data",IFERROR(INDEX(data!$A:$ALL,MATCH($M127,data!$A:$A,0),MATCH(W$2,data!$1:$1,0)),"#data"),IFERROR(V127*INDEX(indexy_SDcast!$A:$ALI,MATCH($R127,indexy_SDcast!$K:$K,0),MATCH(W$2,indexy_SDcast!$2:$2,0)),"#ekrk")),"#popis")</f>
        <v>-5338.2742774490807</v>
      </c>
      <c r="X127" s="365">
        <f>IF($Q127="ekrk",IF($R127="data",IFERROR(INDEX(data!$A:$ALL,MATCH($M127,data!$A:$A,0),MATCH(X$2,data!$1:$1,0)),"#data"),IFERROR(W127*INDEX(indexy_SDcast!$A:$ALI,MATCH($R127,indexy_SDcast!$K:$K,0),MATCH(X$2,indexy_SDcast!$2:$2,0)),"#ekrk")),"#popis")</f>
        <v>-3428.9123078644975</v>
      </c>
      <c r="Y127" s="362">
        <f>IF($Q127="ekrk",IF($R127="data",IFERROR(INDEX(data!$A:$ALL,MATCH($M127,data!$A:$A,0),MATCH(Y$2,data!$1:$1,0)),"#data"),IFERROR(X127*INDEX(indexy_SDcast!$A:$ALI,MATCH($R127,indexy_SDcast!$K:$K,0),MATCH(Y$2,indexy_SDcast!$2:$2,0)),"#ekrk")),"#popis")</f>
        <v>-4638.7970362862516</v>
      </c>
    </row>
    <row r="128" spans="1:44" x14ac:dyDescent="0.25">
      <c r="A128" s="330">
        <v>612002</v>
      </c>
      <c r="B128" s="329">
        <v>-457.75330999999989</v>
      </c>
      <c r="C128" s="157"/>
      <c r="D128" s="330">
        <v>612002</v>
      </c>
      <c r="E128" s="329">
        <v>-457.75330999999989</v>
      </c>
      <c r="F128" s="157"/>
      <c r="G128" s="330">
        <v>612002</v>
      </c>
      <c r="H128" s="329">
        <v>-457.75330999999989</v>
      </c>
      <c r="I128" s="157"/>
      <c r="J128" s="330">
        <v>612002</v>
      </c>
      <c r="K128" s="329">
        <v>-457.75330999999989</v>
      </c>
      <c r="L128" s="157"/>
      <c r="M128" s="360">
        <f t="shared" si="17"/>
        <v>612002</v>
      </c>
      <c r="N128" s="237">
        <f t="shared" si="18"/>
        <v>-457.75330999999989</v>
      </c>
      <c r="O128" s="361"/>
      <c r="P128" s="361"/>
      <c r="Q128" s="361" t="s">
        <v>698</v>
      </c>
      <c r="R128" s="362">
        <v>35</v>
      </c>
      <c r="S128" s="236"/>
      <c r="T128" s="364">
        <f t="shared" si="19"/>
        <v>612002</v>
      </c>
      <c r="U128" s="365">
        <f t="shared" si="20"/>
        <v>-457.75330999999989</v>
      </c>
      <c r="V128" s="365">
        <f>IF($Q128="ekrk",IF($R128="data",IFERROR(INDEX(data!$A:$ALL,MATCH($M128,data!$A:$A,0),MATCH(V$2,data!$1:$1,0)),"#data"),IFERROR(U128*INDEX(indexy_SDcast!$A:$ALI,MATCH($R128,indexy_SDcast!$K:$K,0),MATCH(V$2,indexy_SDcast!$2:$2,0)),"#ekrk")),"#popis")</f>
        <v>-586.03050116745624</v>
      </c>
      <c r="W128" s="365">
        <f>IF($Q128="ekrk",IF($R128="data",IFERROR(INDEX(data!$A:$ALL,MATCH($M128,data!$A:$A,0),MATCH(W$2,data!$1:$1,0)),"#data"),IFERROR(V128*INDEX(indexy_SDcast!$A:$ALI,MATCH($R128,indexy_SDcast!$K:$K,0),MATCH(W$2,indexy_SDcast!$2:$2,0)),"#ekrk")),"#popis")</f>
        <v>-592.61824916786736</v>
      </c>
      <c r="X128" s="365">
        <f>IF($Q128="ekrk",IF($R128="data",IFERROR(INDEX(data!$A:$ALL,MATCH($M128,data!$A:$A,0),MATCH(X$2,data!$1:$1,0)),"#data"),IFERROR(W128*INDEX(indexy_SDcast!$A:$ALI,MATCH($R128,indexy_SDcast!$K:$K,0),MATCH(X$2,indexy_SDcast!$2:$2,0)),"#ekrk")),"#popis")</f>
        <v>-380.65410333465064</v>
      </c>
      <c r="Y128" s="362">
        <f>IF($Q128="ekrk",IF($R128="data",IFERROR(INDEX(data!$A:$ALL,MATCH($M128,data!$A:$A,0),MATCH(Y$2,data!$1:$1,0)),"#data"),IFERROR(X128*INDEX(indexy_SDcast!$A:$ALI,MATCH($R128,indexy_SDcast!$K:$K,0),MATCH(Y$2,indexy_SDcast!$2:$2,0)),"#ekrk")),"#popis")</f>
        <v>-514.96712889070398</v>
      </c>
      <c r="AA128" s="38"/>
      <c r="AB128" s="38"/>
      <c r="AC128" s="38"/>
      <c r="AD128" s="38"/>
    </row>
    <row r="129" spans="1:44" x14ac:dyDescent="0.25">
      <c r="A129" s="330">
        <v>613000</v>
      </c>
      <c r="B129" s="329">
        <v>-4.8907600000000002</v>
      </c>
      <c r="C129" s="157"/>
      <c r="D129" s="330">
        <v>613000</v>
      </c>
      <c r="E129" s="329">
        <v>-4.8907600000000002</v>
      </c>
      <c r="F129" s="157"/>
      <c r="G129" s="330">
        <v>613000</v>
      </c>
      <c r="H129" s="329">
        <v>-4.8907600000000002</v>
      </c>
      <c r="I129" s="157"/>
      <c r="J129" s="330">
        <v>613000</v>
      </c>
      <c r="K129" s="329">
        <v>-4.8907600000000002</v>
      </c>
      <c r="L129" s="157"/>
      <c r="M129" s="360">
        <f t="shared" si="17"/>
        <v>613000</v>
      </c>
      <c r="N129" s="237">
        <f t="shared" si="18"/>
        <v>-4.8907600000000002</v>
      </c>
      <c r="O129" s="361"/>
      <c r="P129" s="361"/>
      <c r="Q129" s="361" t="s">
        <v>698</v>
      </c>
      <c r="R129" s="362">
        <v>35</v>
      </c>
      <c r="S129" s="236"/>
      <c r="T129" s="364">
        <f t="shared" si="19"/>
        <v>613000</v>
      </c>
      <c r="U129" s="365">
        <f t="shared" si="20"/>
        <v>-4.8907600000000002</v>
      </c>
      <c r="V129" s="365">
        <f>IF($Q129="ekrk",IF($R129="data",IFERROR(INDEX(data!$A:$ALL,MATCH($M129,data!$A:$A,0),MATCH(V$2,data!$1:$1,0)),"#data"),IFERROR(U129*INDEX(indexy_SDcast!$A:$ALI,MATCH($R129,indexy_SDcast!$K:$K,0),MATCH(V$2,indexy_SDcast!$2:$2,0)),"#ekrk")),"#popis")</f>
        <v>-6.2613081572031648</v>
      </c>
      <c r="W129" s="365">
        <f>IF($Q129="ekrk",IF($R129="data",IFERROR(INDEX(data!$A:$ALL,MATCH($M129,data!$A:$A,0),MATCH(W$2,data!$1:$1,0)),"#data"),IFERROR(V129*INDEX(indexy_SDcast!$A:$ALI,MATCH($R129,indexy_SDcast!$K:$K,0),MATCH(W$2,indexy_SDcast!$2:$2,0)),"#ekrk")),"#popis")</f>
        <v>-6.3316934361441097</v>
      </c>
      <c r="X129" s="365">
        <f>IF($Q129="ekrk",IF($R129="data",IFERROR(INDEX(data!$A:$ALL,MATCH($M129,data!$A:$A,0),MATCH(X$2,data!$1:$1,0)),"#data"),IFERROR(W129*INDEX(indexy_SDcast!$A:$ALI,MATCH($R129,indexy_SDcast!$K:$K,0),MATCH(X$2,indexy_SDcast!$2:$2,0)),"#ekrk")),"#popis")</f>
        <v>-4.0670112520321844</v>
      </c>
      <c r="Y129" s="362">
        <f>IF($Q129="ekrk",IF($R129="data",IFERROR(INDEX(data!$A:$ALL,MATCH($M129,data!$A:$A,0),MATCH(Y$2,data!$1:$1,0)),"#data"),IFERROR(X129*INDEX(indexy_SDcast!$A:$ALI,MATCH($R129,indexy_SDcast!$K:$K,0),MATCH(Y$2,indexy_SDcast!$2:$2,0)),"#ekrk")),"#popis")</f>
        <v>-5.5020478940796744</v>
      </c>
    </row>
    <row r="130" spans="1:44" x14ac:dyDescent="0.25">
      <c r="A130" s="330">
        <v>614000</v>
      </c>
      <c r="B130" s="329">
        <v>-2105.0016000000014</v>
      </c>
      <c r="C130" s="157"/>
      <c r="D130" s="330">
        <v>614000</v>
      </c>
      <c r="E130" s="329">
        <v>-2105.0016000000014</v>
      </c>
      <c r="F130" s="157"/>
      <c r="G130" s="330">
        <v>614000</v>
      </c>
      <c r="H130" s="329">
        <v>-2105.0016000000014</v>
      </c>
      <c r="I130" s="157"/>
      <c r="J130" s="330">
        <v>614000</v>
      </c>
      <c r="K130" s="329">
        <v>-2105.0016000000014</v>
      </c>
      <c r="L130" s="157"/>
      <c r="M130" s="360">
        <f t="shared" si="17"/>
        <v>614000</v>
      </c>
      <c r="N130" s="237">
        <f t="shared" si="18"/>
        <v>-2105.0016000000014</v>
      </c>
      <c r="O130" s="361"/>
      <c r="P130" s="361"/>
      <c r="Q130" s="361" t="s">
        <v>698</v>
      </c>
      <c r="R130" s="362">
        <v>35</v>
      </c>
      <c r="S130" s="236"/>
      <c r="T130" s="364">
        <f t="shared" si="19"/>
        <v>614000</v>
      </c>
      <c r="U130" s="365">
        <f t="shared" si="20"/>
        <v>-2105.0016000000014</v>
      </c>
      <c r="V130" s="365">
        <f>IF($Q130="ekrk",IF($R130="data",IFERROR(INDEX(data!$A:$ALL,MATCH($M130,data!$A:$A,0),MATCH(V$2,data!$1:$1,0)),"#data"),IFERROR(U130*INDEX(indexy_SDcast!$A:$ALI,MATCH($R130,indexy_SDcast!$K:$K,0),MATCH(V$2,indexy_SDcast!$2:$2,0)),"#ekrk")),"#popis")</f>
        <v>-2694.8907100339666</v>
      </c>
      <c r="W130" s="365">
        <f>IF($Q130="ekrk",IF($R130="data",IFERROR(INDEX(data!$A:$ALL,MATCH($M130,data!$A:$A,0),MATCH(W$2,data!$1:$1,0)),"#data"),IFERROR(V130*INDEX(indexy_SDcast!$A:$ALI,MATCH($R130,indexy_SDcast!$K:$K,0),MATCH(W$2,indexy_SDcast!$2:$2,0)),"#ekrk")),"#popis")</f>
        <v>-2725.1848002749794</v>
      </c>
      <c r="X130" s="365">
        <f>IF($Q130="ekrk",IF($R130="data",IFERROR(INDEX(data!$A:$ALL,MATCH($M130,data!$A:$A,0),MATCH(X$2,data!$1:$1,0)),"#data"),IFERROR(W130*INDEX(indexy_SDcast!$A:$ALI,MATCH($R130,indexy_SDcast!$K:$K,0),MATCH(X$2,indexy_SDcast!$2:$2,0)),"#ekrk")),"#popis")</f>
        <v>-1750.4570236007814</v>
      </c>
      <c r="Y130" s="362">
        <f>IF($Q130="ekrk",IF($R130="data",IFERROR(INDEX(data!$A:$ALL,MATCH($M130,data!$A:$A,0),MATCH(Y$2,data!$1:$1,0)),"#data"),IFERROR(X130*INDEX(indexy_SDcast!$A:$ALI,MATCH($R130,indexy_SDcast!$K:$K,0),MATCH(Y$2,indexy_SDcast!$2:$2,0)),"#ekrk")),"#popis")</f>
        <v>-2368.1022213959291</v>
      </c>
    </row>
    <row r="131" spans="1:44" x14ac:dyDescent="0.25">
      <c r="A131" s="330">
        <v>615000</v>
      </c>
      <c r="B131" s="329">
        <v>-10.290130000000001</v>
      </c>
      <c r="C131" s="157"/>
      <c r="D131" s="330">
        <v>615000</v>
      </c>
      <c r="E131" s="329">
        <v>-10.290130000000001</v>
      </c>
      <c r="F131" s="157"/>
      <c r="G131" s="330">
        <v>615000</v>
      </c>
      <c r="H131" s="329">
        <v>-10.290130000000001</v>
      </c>
      <c r="I131" s="157"/>
      <c r="J131" s="330">
        <v>615000</v>
      </c>
      <c r="K131" s="329">
        <v>-10.290130000000001</v>
      </c>
      <c r="L131" s="157"/>
      <c r="M131" s="360">
        <f t="shared" si="17"/>
        <v>615000</v>
      </c>
      <c r="N131" s="237">
        <f t="shared" si="18"/>
        <v>-10.290130000000001</v>
      </c>
      <c r="O131" s="361"/>
      <c r="P131" s="361"/>
      <c r="Q131" s="361" t="s">
        <v>698</v>
      </c>
      <c r="R131" s="362">
        <v>35</v>
      </c>
      <c r="S131" s="236"/>
      <c r="T131" s="364">
        <f t="shared" si="19"/>
        <v>615000</v>
      </c>
      <c r="U131" s="365">
        <f t="shared" si="20"/>
        <v>-10.290130000000001</v>
      </c>
      <c r="V131" s="365">
        <f>IF($Q131="ekrk",IF($R131="data",IFERROR(INDEX(data!$A:$ALL,MATCH($M131,data!$A:$A,0),MATCH(V$2,data!$1:$1,0)),"#data"),IFERROR(U131*INDEX(indexy_SDcast!$A:$ALI,MATCH($R131,indexy_SDcast!$K:$K,0),MATCH(V$2,indexy_SDcast!$2:$2,0)),"#ekrk")),"#popis")</f>
        <v>-13.173755184814018</v>
      </c>
      <c r="W131" s="365">
        <f>IF($Q131="ekrk",IF($R131="data",IFERROR(INDEX(data!$A:$ALL,MATCH($M131,data!$A:$A,0),MATCH(W$2,data!$1:$1,0)),"#data"),IFERROR(V131*INDEX(indexy_SDcast!$A:$ALI,MATCH($R131,indexy_SDcast!$K:$K,0),MATCH(W$2,indexy_SDcast!$2:$2,0)),"#ekrk")),"#popis")</f>
        <v>-13.321845393777162</v>
      </c>
      <c r="X131" s="365">
        <f>IF($Q131="ekrk",IF($R131="data",IFERROR(INDEX(data!$A:$ALL,MATCH($M131,data!$A:$A,0),MATCH(X$2,data!$1:$1,0)),"#data"),IFERROR(W131*INDEX(indexy_SDcast!$A:$ALI,MATCH($R131,indexy_SDcast!$K:$K,0),MATCH(X$2,indexy_SDcast!$2:$2,0)),"#ekrk")),"#popis")</f>
        <v>-8.5569675254712863</v>
      </c>
      <c r="Y131" s="362">
        <f>IF($Q131="ekrk",IF($R131="data",IFERROR(INDEX(data!$A:$ALL,MATCH($M131,data!$A:$A,0),MATCH(Y$2,data!$1:$1,0)),"#data"),IFERROR(X131*INDEX(indexy_SDcast!$A:$ALI,MATCH($R131,indexy_SDcast!$K:$K,0),MATCH(Y$2,indexy_SDcast!$2:$2,0)),"#ekrk")),"#popis")</f>
        <v>-11.576276099482715</v>
      </c>
    </row>
    <row r="132" spans="1:44" x14ac:dyDescent="0.25">
      <c r="A132" s="330">
        <v>616000</v>
      </c>
      <c r="B132" s="329">
        <v>-4.1622299999999992</v>
      </c>
      <c r="C132" s="157"/>
      <c r="D132" s="330">
        <v>616000</v>
      </c>
      <c r="E132" s="329">
        <v>-4.1622299999999992</v>
      </c>
      <c r="F132" s="157"/>
      <c r="G132" s="330">
        <v>616000</v>
      </c>
      <c r="H132" s="329">
        <v>-4.1622299999999992</v>
      </c>
      <c r="I132" s="157"/>
      <c r="J132" s="330">
        <v>616000</v>
      </c>
      <c r="K132" s="329">
        <v>-4.1622299999999992</v>
      </c>
      <c r="L132" s="157"/>
      <c r="M132" s="360">
        <f t="shared" si="17"/>
        <v>616000</v>
      </c>
      <c r="N132" s="237">
        <f t="shared" si="18"/>
        <v>-4.1622299999999992</v>
      </c>
      <c r="O132" s="361"/>
      <c r="P132" s="361"/>
      <c r="Q132" s="361" t="s">
        <v>698</v>
      </c>
      <c r="R132" s="362">
        <v>35</v>
      </c>
      <c r="S132" s="236"/>
      <c r="T132" s="364">
        <f t="shared" si="19"/>
        <v>616000</v>
      </c>
      <c r="U132" s="365">
        <f t="shared" si="20"/>
        <v>-4.1622299999999992</v>
      </c>
      <c r="V132" s="365">
        <f>IF($Q132="ekrk",IF($R132="data",IFERROR(INDEX(data!$A:$ALL,MATCH($M132,data!$A:$A,0),MATCH(V$2,data!$1:$1,0)),"#data"),IFERROR(U132*INDEX(indexy_SDcast!$A:$ALI,MATCH($R132,indexy_SDcast!$K:$K,0),MATCH(V$2,indexy_SDcast!$2:$2,0)),"#ekrk")),"#popis")</f>
        <v>-5.3286206338392654</v>
      </c>
      <c r="W132" s="365">
        <f>IF($Q132="ekrk",IF($R132="data",IFERROR(INDEX(data!$A:$ALL,MATCH($M132,data!$A:$A,0),MATCH(W$2,data!$1:$1,0)),"#data"),IFERROR(V132*INDEX(indexy_SDcast!$A:$ALI,MATCH($R132,indexy_SDcast!$K:$K,0),MATCH(W$2,indexy_SDcast!$2:$2,0)),"#ekrk")),"#popis")</f>
        <v>-5.3885212872277712</v>
      </c>
      <c r="X132" s="365">
        <f>IF($Q132="ekrk",IF($R132="data",IFERROR(INDEX(data!$A:$ALL,MATCH($M132,data!$A:$A,0),MATCH(X$2,data!$1:$1,0)),"#data"),IFERROR(W132*INDEX(indexy_SDcast!$A:$ALI,MATCH($R132,indexy_SDcast!$K:$K,0),MATCH(X$2,indexy_SDcast!$2:$2,0)),"#ekrk")),"#popis")</f>
        <v>-3.4611872681435845</v>
      </c>
      <c r="Y132" s="362">
        <f>IF($Q132="ekrk",IF($R132="data",IFERROR(INDEX(data!$A:$ALL,MATCH($M132,data!$A:$A,0),MATCH(Y$2,data!$1:$1,0)),"#data"),IFERROR(X132*INDEX(indexy_SDcast!$A:$ALI,MATCH($R132,indexy_SDcast!$K:$K,0),MATCH(Y$2,indexy_SDcast!$2:$2,0)),"#ekrk")),"#popis")</f>
        <v>-4.6824601506054764</v>
      </c>
    </row>
    <row r="133" spans="1:44" x14ac:dyDescent="0.25">
      <c r="A133" s="330">
        <v>631001</v>
      </c>
      <c r="B133" s="329">
        <v>-163.17236999999997</v>
      </c>
      <c r="C133" s="157"/>
      <c r="D133" s="330">
        <v>631001</v>
      </c>
      <c r="E133" s="329">
        <v>-163.17236999999997</v>
      </c>
      <c r="F133" s="157"/>
      <c r="G133" s="330">
        <v>631001</v>
      </c>
      <c r="H133" s="329">
        <v>-163.17236999999997</v>
      </c>
      <c r="I133" s="157"/>
      <c r="J133" s="330">
        <v>631001</v>
      </c>
      <c r="K133" s="329">
        <v>-163.17236999999997</v>
      </c>
      <c r="L133" s="157"/>
      <c r="M133" s="360">
        <f t="shared" si="17"/>
        <v>631001</v>
      </c>
      <c r="N133" s="237">
        <f t="shared" si="18"/>
        <v>-163.17236999999997</v>
      </c>
      <c r="O133" s="361"/>
      <c r="P133" s="361"/>
      <c r="Q133" s="361" t="s">
        <v>698</v>
      </c>
      <c r="R133" s="362">
        <v>35</v>
      </c>
      <c r="S133" s="236"/>
      <c r="T133" s="364">
        <f t="shared" si="19"/>
        <v>631001</v>
      </c>
      <c r="U133" s="365">
        <f t="shared" si="20"/>
        <v>-163.17236999999997</v>
      </c>
      <c r="V133" s="365">
        <f>IF($Q133="ekrk",IF($R133="data",IFERROR(INDEX(data!$A:$ALL,MATCH($M133,data!$A:$A,0),MATCH(V$2,data!$1:$1,0)),"#data"),IFERROR(U133*INDEX(indexy_SDcast!$A:$ALI,MATCH($R133,indexy_SDcast!$K:$K,0),MATCH(V$2,indexy_SDcast!$2:$2,0)),"#ekrk")),"#popis")</f>
        <v>-208.89851297368361</v>
      </c>
      <c r="W133" s="365">
        <f>IF($Q133="ekrk",IF($R133="data",IFERROR(INDEX(data!$A:$ALL,MATCH($M133,data!$A:$A,0),MATCH(W$2,data!$1:$1,0)),"#data"),IFERROR(V133*INDEX(indexy_SDcast!$A:$ALI,MATCH($R133,indexy_SDcast!$K:$K,0),MATCH(W$2,indexy_SDcast!$2:$2,0)),"#ekrk")),"#popis")</f>
        <v>-211.2468050137561</v>
      </c>
      <c r="X133" s="365">
        <f>IF($Q133="ekrk",IF($R133="data",IFERROR(INDEX(data!$A:$ALL,MATCH($M133,data!$A:$A,0),MATCH(X$2,data!$1:$1,0)),"#data"),IFERROR(W133*INDEX(indexy_SDcast!$A:$ALI,MATCH($R133,indexy_SDcast!$K:$K,0),MATCH(X$2,indexy_SDcast!$2:$2,0)),"#ekrk")),"#popis")</f>
        <v>-135.6893130741968</v>
      </c>
      <c r="Y133" s="362">
        <f>IF($Q133="ekrk",IF($R133="data",IFERROR(INDEX(data!$A:$ALL,MATCH($M133,data!$A:$A,0),MATCH(Y$2,data!$1:$1,0)),"#data"),IFERROR(X133*INDEX(indexy_SDcast!$A:$ALI,MATCH($R133,indexy_SDcast!$K:$K,0),MATCH(Y$2,indexy_SDcast!$2:$2,0)),"#ekrk")),"#popis")</f>
        <v>-183.56701100248003</v>
      </c>
    </row>
    <row r="134" spans="1:44" x14ac:dyDescent="0.25">
      <c r="A134" s="330">
        <v>631002</v>
      </c>
      <c r="B134" s="329">
        <v>-271.03720000000004</v>
      </c>
      <c r="C134" s="157"/>
      <c r="D134" s="330">
        <v>631002</v>
      </c>
      <c r="E134" s="329">
        <v>-271.03720000000004</v>
      </c>
      <c r="F134" s="157"/>
      <c r="G134" s="330">
        <v>631002</v>
      </c>
      <c r="H134" s="329">
        <v>-271.03720000000004</v>
      </c>
      <c r="I134" s="157"/>
      <c r="J134" s="330">
        <v>631002</v>
      </c>
      <c r="K134" s="329">
        <v>-271.03720000000004</v>
      </c>
      <c r="L134" s="157"/>
      <c r="M134" s="360">
        <f t="shared" si="17"/>
        <v>631002</v>
      </c>
      <c r="N134" s="237">
        <f t="shared" si="18"/>
        <v>-271.03720000000004</v>
      </c>
      <c r="O134" s="361"/>
      <c r="P134" s="361"/>
      <c r="Q134" s="361" t="s">
        <v>698</v>
      </c>
      <c r="R134" s="362">
        <v>35</v>
      </c>
      <c r="S134" s="236"/>
      <c r="T134" s="364">
        <f t="shared" si="19"/>
        <v>631002</v>
      </c>
      <c r="U134" s="365">
        <f t="shared" si="20"/>
        <v>-271.03720000000004</v>
      </c>
      <c r="V134" s="365">
        <f>IF($Q134="ekrk",IF($R134="data",IFERROR(INDEX(data!$A:$ALL,MATCH($M134,data!$A:$A,0),MATCH(V$2,data!$1:$1,0)),"#data"),IFERROR(U134*INDEX(indexy_SDcast!$A:$ALI,MATCH($R134,indexy_SDcast!$K:$K,0),MATCH(V$2,indexy_SDcast!$2:$2,0)),"#ekrk")),"#popis")</f>
        <v>-346.99053547209553</v>
      </c>
      <c r="W134" s="365">
        <f>IF($Q134="ekrk",IF($R134="data",IFERROR(INDEX(data!$A:$ALL,MATCH($M134,data!$A:$A,0),MATCH(W$2,data!$1:$1,0)),"#data"),IFERROR(V134*INDEX(indexy_SDcast!$A:$ALI,MATCH($R134,indexy_SDcast!$K:$K,0),MATCH(W$2,indexy_SDcast!$2:$2,0)),"#ekrk")),"#popis")</f>
        <v>-350.89116214880272</v>
      </c>
      <c r="X134" s="365">
        <f>IF($Q134="ekrk",IF($R134="data",IFERROR(INDEX(data!$A:$ALL,MATCH($M134,data!$A:$A,0),MATCH(X$2,data!$1:$1,0)),"#data"),IFERROR(W134*INDEX(indexy_SDcast!$A:$ALI,MATCH($R134,indexy_SDcast!$K:$K,0),MATCH(X$2,indexy_SDcast!$2:$2,0)),"#ekrk")),"#popis")</f>
        <v>-225.38651295898748</v>
      </c>
      <c r="Y134" s="362">
        <f>IF($Q134="ekrk",IF($R134="data",IFERROR(INDEX(data!$A:$ALL,MATCH($M134,data!$A:$A,0),MATCH(Y$2,data!$1:$1,0)),"#data"),IFERROR(X134*INDEX(indexy_SDcast!$A:$ALI,MATCH($R134,indexy_SDcast!$K:$K,0),MATCH(Y$2,indexy_SDcast!$2:$2,0)),"#ekrk")),"#popis")</f>
        <v>-304.91368529170342</v>
      </c>
    </row>
    <row r="135" spans="1:44" x14ac:dyDescent="0.25">
      <c r="A135" s="330">
        <v>631004</v>
      </c>
      <c r="B135" s="329">
        <v>-1.1200000000000001E-3</v>
      </c>
      <c r="C135" s="157"/>
      <c r="D135" s="330">
        <v>631004</v>
      </c>
      <c r="E135" s="329">
        <v>-1.1200000000000001E-3</v>
      </c>
      <c r="F135" s="157"/>
      <c r="G135" s="330">
        <v>631004</v>
      </c>
      <c r="H135" s="329">
        <v>-1.1200000000000001E-3</v>
      </c>
      <c r="I135" s="157"/>
      <c r="J135" s="330">
        <v>631004</v>
      </c>
      <c r="K135" s="329">
        <v>-1.1200000000000001E-3</v>
      </c>
      <c r="L135" s="157"/>
      <c r="M135" s="360">
        <f t="shared" si="17"/>
        <v>631004</v>
      </c>
      <c r="N135" s="237">
        <f t="shared" si="18"/>
        <v>-1.1200000000000001E-3</v>
      </c>
      <c r="O135" s="361"/>
      <c r="P135" s="361"/>
      <c r="Q135" s="361" t="s">
        <v>698</v>
      </c>
      <c r="R135" s="362">
        <v>35</v>
      </c>
      <c r="S135" s="236"/>
      <c r="T135" s="364">
        <f t="shared" si="19"/>
        <v>631004</v>
      </c>
      <c r="U135" s="365">
        <f t="shared" si="20"/>
        <v>-1.1200000000000001E-3</v>
      </c>
      <c r="V135" s="365">
        <f>IF($Q135="ekrk",IF($R135="data",IFERROR(INDEX(data!$A:$ALL,MATCH($M135,data!$A:$A,0),MATCH(V$2,data!$1:$1,0)),"#data"),IFERROR(U135*INDEX(indexy_SDcast!$A:$ALI,MATCH($R135,indexy_SDcast!$K:$K,0),MATCH(V$2,indexy_SDcast!$2:$2,0)),"#ekrk")),"#popis")</f>
        <v>-1.4338600005045321E-3</v>
      </c>
      <c r="W135" s="365">
        <f>IF($Q135="ekrk",IF($R135="data",IFERROR(INDEX(data!$A:$ALL,MATCH($M135,data!$A:$A,0),MATCH(W$2,data!$1:$1,0)),"#data"),IFERROR(V135*INDEX(indexy_SDcast!$A:$ALI,MATCH($R135,indexy_SDcast!$K:$K,0),MATCH(W$2,indexy_SDcast!$2:$2,0)),"#ekrk")),"#popis")</f>
        <v>-1.449978459070043E-3</v>
      </c>
      <c r="X135" s="365">
        <f>IF($Q135="ekrk",IF($R135="data",IFERROR(INDEX(data!$A:$ALL,MATCH($M135,data!$A:$A,0),MATCH(X$2,data!$1:$1,0)),"#data"),IFERROR(W135*INDEX(indexy_SDcast!$A:$ALI,MATCH($R135,indexy_SDcast!$K:$K,0),MATCH(X$2,indexy_SDcast!$2:$2,0)),"#ekrk")),"#popis")</f>
        <v>-9.313588485789626E-4</v>
      </c>
      <c r="Y135" s="362">
        <f>IF($Q135="ekrk",IF($R135="data",IFERROR(INDEX(data!$A:$ALL,MATCH($M135,data!$A:$A,0),MATCH(Y$2,data!$1:$1,0)),"#data"),IFERROR(X135*INDEX(indexy_SDcast!$A:$ALI,MATCH($R135,indexy_SDcast!$K:$K,0),MATCH(Y$2,indexy_SDcast!$2:$2,0)),"#ekrk")),"#popis")</f>
        <v>-1.2599869225578919E-3</v>
      </c>
    </row>
    <row r="136" spans="1:44" x14ac:dyDescent="0.25">
      <c r="A136" s="330">
        <v>637006</v>
      </c>
      <c r="B136" s="329">
        <v>-23.414270000000005</v>
      </c>
      <c r="C136" s="157"/>
      <c r="D136" s="330">
        <v>637006</v>
      </c>
      <c r="E136" s="329">
        <v>-23.414270000000005</v>
      </c>
      <c r="F136" s="157"/>
      <c r="G136" s="330">
        <v>637006</v>
      </c>
      <c r="H136" s="329">
        <v>-23.414270000000005</v>
      </c>
      <c r="I136" s="157"/>
      <c r="J136" s="330">
        <v>637006</v>
      </c>
      <c r="K136" s="329">
        <v>-23.414270000000005</v>
      </c>
      <c r="L136" s="157"/>
      <c r="M136" s="360">
        <f t="shared" si="17"/>
        <v>637006</v>
      </c>
      <c r="N136" s="237">
        <f t="shared" si="18"/>
        <v>-23.414270000000005</v>
      </c>
      <c r="O136" s="361"/>
      <c r="P136" s="361"/>
      <c r="Q136" s="361" t="s">
        <v>698</v>
      </c>
      <c r="R136" s="362">
        <v>35</v>
      </c>
      <c r="S136" s="236"/>
      <c r="T136" s="364">
        <f t="shared" si="19"/>
        <v>637006</v>
      </c>
      <c r="U136" s="365">
        <f t="shared" si="20"/>
        <v>-23.414270000000005</v>
      </c>
      <c r="V136" s="365">
        <f>IF($Q136="ekrk",IF($R136="data",IFERROR(INDEX(data!$A:$ALL,MATCH($M136,data!$A:$A,0),MATCH(V$2,data!$1:$1,0)),"#data"),IFERROR(U136*INDEX(indexy_SDcast!$A:$ALI,MATCH($R136,indexy_SDcast!$K:$K,0),MATCH(V$2,indexy_SDcast!$2:$2,0)),"#ekrk")),"#popis")</f>
        <v>-29.975701066083264</v>
      </c>
      <c r="W136" s="365">
        <f>IF($Q136="ekrk",IF($R136="data",IFERROR(INDEX(data!$A:$ALL,MATCH($M136,data!$A:$A,0),MATCH(W$2,data!$1:$1,0)),"#data"),IFERROR(V136*INDEX(indexy_SDcast!$A:$ALI,MATCH($R136,indexy_SDcast!$K:$K,0),MATCH(W$2,indexy_SDcast!$2:$2,0)),"#ekrk")),"#popis")</f>
        <v>-30.312667084687448</v>
      </c>
      <c r="X136" s="365">
        <f>IF($Q136="ekrk",IF($R136="data",IFERROR(INDEX(data!$A:$ALL,MATCH($M136,data!$A:$A,0),MATCH(X$2,data!$1:$1,0)),"#data"),IFERROR(W136*INDEX(indexy_SDcast!$A:$ALI,MATCH($R136,indexy_SDcast!$K:$K,0),MATCH(X$2,indexy_SDcast!$2:$2,0)),"#ekrk")),"#popis")</f>
        <v>-19.470613881711561</v>
      </c>
      <c r="Y136" s="362">
        <f>IF($Q136="ekrk",IF($R136="data",IFERROR(INDEX(data!$A:$ALL,MATCH($M136,data!$A:$A,0),MATCH(Y$2,data!$1:$1,0)),"#data"),IFERROR(X136*INDEX(indexy_SDcast!$A:$ALI,MATCH($R136,indexy_SDcast!$K:$K,0),MATCH(Y$2,indexy_SDcast!$2:$2,0)),"#ekrk")),"#popis")</f>
        <v>-26.340780358249621</v>
      </c>
    </row>
    <row r="137" spans="1:44" x14ac:dyDescent="0.25">
      <c r="A137" s="330">
        <v>637007</v>
      </c>
      <c r="B137" s="329">
        <v>-1196.6404599999998</v>
      </c>
      <c r="C137" s="157"/>
      <c r="D137" s="330">
        <v>637007</v>
      </c>
      <c r="E137" s="329">
        <v>-1196.6404599999998</v>
      </c>
      <c r="F137" s="157"/>
      <c r="G137" s="330">
        <v>637007</v>
      </c>
      <c r="H137" s="329">
        <v>-1196.6404599999998</v>
      </c>
      <c r="I137" s="157"/>
      <c r="J137" s="330">
        <v>637007</v>
      </c>
      <c r="K137" s="329">
        <v>-1196.6404599999998</v>
      </c>
      <c r="L137" s="157"/>
      <c r="M137" s="360">
        <f t="shared" si="17"/>
        <v>637007</v>
      </c>
      <c r="N137" s="237">
        <f t="shared" si="18"/>
        <v>-1196.6404599999998</v>
      </c>
      <c r="O137" s="361"/>
      <c r="P137" s="361"/>
      <c r="Q137" s="361" t="s">
        <v>698</v>
      </c>
      <c r="R137" s="362">
        <v>35</v>
      </c>
      <c r="S137" s="236"/>
      <c r="T137" s="364">
        <f t="shared" si="19"/>
        <v>637007</v>
      </c>
      <c r="U137" s="365">
        <f t="shared" si="20"/>
        <v>-1196.6404599999998</v>
      </c>
      <c r="V137" s="365">
        <f>IF($Q137="ekrk",IF($R137="data",IFERROR(INDEX(data!$A:$ALL,MATCH($M137,data!$A:$A,0),MATCH(V$2,data!$1:$1,0)),"#data"),IFERROR(U137*INDEX(indexy_SDcast!$A:$ALI,MATCH($R137,indexy_SDcast!$K:$K,0),MATCH(V$2,indexy_SDcast!$2:$2,0)),"#ekrk")),"#popis")</f>
        <v>-1531.9775808744134</v>
      </c>
      <c r="W137" s="365">
        <f>IF($Q137="ekrk",IF($R137="data",IFERROR(INDEX(data!$A:$ALL,MATCH($M137,data!$A:$A,0),MATCH(W$2,data!$1:$1,0)),"#data"),IFERROR(V137*INDEX(indexy_SDcast!$A:$ALI,MATCH($R137,indexy_SDcast!$K:$K,0),MATCH(W$2,indexy_SDcast!$2:$2,0)),"#ekrk")),"#popis")</f>
        <v>-1549.1990091532739</v>
      </c>
      <c r="X137" s="365">
        <f>IF($Q137="ekrk",IF($R137="data",IFERROR(INDEX(data!$A:$ALL,MATCH($M137,data!$A:$A,0),MATCH(X$2,data!$1:$1,0)),"#data"),IFERROR(W137*INDEX(indexy_SDcast!$A:$ALI,MATCH($R137,indexy_SDcast!$K:$K,0),MATCH(X$2,indexy_SDcast!$2:$2,0)),"#ekrk")),"#popis")</f>
        <v>-995.09078659696399</v>
      </c>
      <c r="Y137" s="362">
        <f>IF($Q137="ekrk",IF($R137="data",IFERROR(INDEX(data!$A:$ALL,MATCH($M137,data!$A:$A,0),MATCH(Y$2,data!$1:$1,0)),"#data"),IFERROR(X137*INDEX(indexy_SDcast!$A:$ALI,MATCH($R137,indexy_SDcast!$K:$K,0),MATCH(Y$2,indexy_SDcast!$2:$2,0)),"#ekrk")),"#popis")</f>
        <v>-1346.2065451818389</v>
      </c>
      <c r="AA137" s="38"/>
      <c r="AB137" s="38"/>
      <c r="AC137" s="38"/>
      <c r="AD137" s="38"/>
      <c r="AE137" s="38"/>
    </row>
    <row r="138" spans="1:44" x14ac:dyDescent="0.25">
      <c r="A138" s="330">
        <v>637009</v>
      </c>
      <c r="B138" s="329">
        <v>-781.01877999999988</v>
      </c>
      <c r="C138" s="157"/>
      <c r="D138" s="330">
        <v>637009</v>
      </c>
      <c r="E138" s="329">
        <v>-781.01877999999988</v>
      </c>
      <c r="F138" s="157"/>
      <c r="G138" s="330">
        <v>637009</v>
      </c>
      <c r="H138" s="329">
        <v>-781.01877999999988</v>
      </c>
      <c r="I138" s="157"/>
      <c r="J138" s="330">
        <v>637009</v>
      </c>
      <c r="K138" s="329">
        <v>-781.01877999999988</v>
      </c>
      <c r="L138" s="157"/>
      <c r="M138" s="360">
        <f t="shared" si="17"/>
        <v>637009</v>
      </c>
      <c r="N138" s="237">
        <f t="shared" si="18"/>
        <v>-781.01877999999988</v>
      </c>
      <c r="O138" s="361"/>
      <c r="P138" s="361"/>
      <c r="Q138" s="361" t="s">
        <v>698</v>
      </c>
      <c r="R138" s="362">
        <v>35</v>
      </c>
      <c r="S138" s="236"/>
      <c r="T138" s="364">
        <f t="shared" si="19"/>
        <v>637009</v>
      </c>
      <c r="U138" s="365">
        <f t="shared" si="20"/>
        <v>-781.01877999999988</v>
      </c>
      <c r="V138" s="365">
        <f>IF($Q138="ekrk",IF($R138="data",IFERROR(INDEX(data!$A:$ALL,MATCH($M138,data!$A:$A,0),MATCH(V$2,data!$1:$1,0)),"#data"),IFERROR(U138*INDEX(indexy_SDcast!$A:$ALI,MATCH($R138,indexy_SDcast!$K:$K,0),MATCH(V$2,indexy_SDcast!$2:$2,0)),"#ekrk")),"#popis")</f>
        <v>-999.88534668290072</v>
      </c>
      <c r="W138" s="365">
        <f>IF($Q138="ekrk",IF($R138="data",IFERROR(INDEX(data!$A:$ALL,MATCH($M138,data!$A:$A,0),MATCH(W$2,data!$1:$1,0)),"#data"),IFERROR(V138*INDEX(indexy_SDcast!$A:$ALI,MATCH($R138,indexy_SDcast!$K:$K,0),MATCH(W$2,indexy_SDcast!$2:$2,0)),"#ekrk")),"#popis")</f>
        <v>-1011.1253635081827</v>
      </c>
      <c r="X138" s="365">
        <f>IF($Q138="ekrk",IF($R138="data",IFERROR(INDEX(data!$A:$ALL,MATCH($M138,data!$A:$A,0),MATCH(X$2,data!$1:$1,0)),"#data"),IFERROR(W138*INDEX(indexy_SDcast!$A:$ALI,MATCH($R138,indexy_SDcast!$K:$K,0),MATCH(X$2,indexy_SDcast!$2:$2,0)),"#ekrk")),"#popis")</f>
        <v>-649.47209969584458</v>
      </c>
      <c r="Y138" s="362">
        <f>IF($Q138="ekrk",IF($R138="data",IFERROR(INDEX(data!$A:$ALL,MATCH($M138,data!$A:$A,0),MATCH(Y$2,data!$1:$1,0)),"#data"),IFERROR(X138*INDEX(indexy_SDcast!$A:$ALI,MATCH($R138,indexy_SDcast!$K:$K,0),MATCH(Y$2,indexy_SDcast!$2:$2,0)),"#ekrk")),"#popis")</f>
        <v>-878.6370081001063</v>
      </c>
    </row>
    <row r="139" spans="1:44" x14ac:dyDescent="0.25">
      <c r="A139" s="330">
        <v>637014</v>
      </c>
      <c r="B139" s="329">
        <v>-237.81166000000007</v>
      </c>
      <c r="C139" s="157"/>
      <c r="D139" s="330">
        <v>637014</v>
      </c>
      <c r="E139" s="329">
        <v>-237.81166000000007</v>
      </c>
      <c r="F139" s="157"/>
      <c r="G139" s="330">
        <v>637014</v>
      </c>
      <c r="H139" s="329">
        <v>-237.81166000000007</v>
      </c>
      <c r="I139" s="157"/>
      <c r="J139" s="330">
        <v>637014</v>
      </c>
      <c r="K139" s="329">
        <v>-237.81166000000007</v>
      </c>
      <c r="L139" s="157"/>
      <c r="M139" s="360">
        <f t="shared" si="17"/>
        <v>637014</v>
      </c>
      <c r="N139" s="237">
        <f t="shared" si="18"/>
        <v>-237.81166000000007</v>
      </c>
      <c r="O139" s="361"/>
      <c r="P139" s="361"/>
      <c r="Q139" s="361" t="s">
        <v>698</v>
      </c>
      <c r="R139" s="362">
        <v>35</v>
      </c>
      <c r="S139" s="236"/>
      <c r="T139" s="364">
        <f t="shared" si="19"/>
        <v>637014</v>
      </c>
      <c r="U139" s="365">
        <f t="shared" si="20"/>
        <v>-237.81166000000007</v>
      </c>
      <c r="V139" s="365">
        <f>IF($Q139="ekrk",IF($R139="data",IFERROR(INDEX(data!$A:$ALL,MATCH($M139,data!$A:$A,0),MATCH(V$2,data!$1:$1,0)),"#data"),IFERROR(U139*INDEX(indexy_SDcast!$A:$ALI,MATCH($R139,indexy_SDcast!$K:$K,0),MATCH(V$2,indexy_SDcast!$2:$2,0)),"#ekrk")),"#popis")</f>
        <v>-304.45413118534259</v>
      </c>
      <c r="W139" s="365">
        <f>IF($Q139="ekrk",IF($R139="data",IFERROR(INDEX(data!$A:$ALL,MATCH($M139,data!$A:$A,0),MATCH(W$2,data!$1:$1,0)),"#data"),IFERROR(V139*INDEX(indexy_SDcast!$A:$ALI,MATCH($R139,indexy_SDcast!$K:$K,0),MATCH(W$2,indexy_SDcast!$2:$2,0)),"#ekrk")),"#popis")</f>
        <v>-307.87659313900809</v>
      </c>
      <c r="X139" s="365">
        <f>IF($Q139="ekrk",IF($R139="data",IFERROR(INDEX(data!$A:$ALL,MATCH($M139,data!$A:$A,0),MATCH(X$2,data!$1:$1,0)),"#data"),IFERROR(W139*INDEX(indexy_SDcast!$A:$ALI,MATCH($R139,indexy_SDcast!$K:$K,0),MATCH(X$2,indexy_SDcast!$2:$2,0)),"#ekrk")),"#popis")</f>
        <v>-197.75713735379622</v>
      </c>
      <c r="Y139" s="362">
        <f>IF($Q139="ekrk",IF($R139="data",IFERROR(INDEX(data!$A:$ALL,MATCH($M139,data!$A:$A,0),MATCH(Y$2,data!$1:$1,0)),"#data"),IFERROR(X139*INDEX(indexy_SDcast!$A:$ALI,MATCH($R139,indexy_SDcast!$K:$K,0),MATCH(Y$2,indexy_SDcast!$2:$2,0)),"#ekrk")),"#popis")</f>
        <v>-267.53534074266412</v>
      </c>
    </row>
    <row r="140" spans="1:44" x14ac:dyDescent="0.25">
      <c r="A140" s="330">
        <v>637026</v>
      </c>
      <c r="B140" s="329">
        <v>-151.06211999999996</v>
      </c>
      <c r="C140" s="157"/>
      <c r="D140" s="330">
        <v>637026</v>
      </c>
      <c r="E140" s="329">
        <v>-151.06211999999996</v>
      </c>
      <c r="F140" s="157"/>
      <c r="G140" s="330">
        <v>637026</v>
      </c>
      <c r="H140" s="329">
        <v>-151.06211999999996</v>
      </c>
      <c r="I140" s="157"/>
      <c r="J140" s="330">
        <v>637026</v>
      </c>
      <c r="K140" s="329">
        <v>-151.06211999999996</v>
      </c>
      <c r="L140" s="157"/>
      <c r="M140" s="360">
        <f t="shared" si="17"/>
        <v>637026</v>
      </c>
      <c r="N140" s="237">
        <f t="shared" si="18"/>
        <v>-151.06211999999996</v>
      </c>
      <c r="O140" s="361"/>
      <c r="P140" s="361"/>
      <c r="Q140" s="361" t="s">
        <v>698</v>
      </c>
      <c r="R140" s="362">
        <v>35</v>
      </c>
      <c r="S140" s="236"/>
      <c r="T140" s="364">
        <f t="shared" si="19"/>
        <v>637026</v>
      </c>
      <c r="U140" s="365">
        <f t="shared" si="20"/>
        <v>-151.06211999999996</v>
      </c>
      <c r="V140" s="365">
        <f>IF($Q140="ekrk",IF($R140="data",IFERROR(INDEX(data!$A:$ALL,MATCH($M140,data!$A:$A,0),MATCH(V$2,data!$1:$1,0)),"#data"),IFERROR(U140*INDEX(indexy_SDcast!$A:$ALI,MATCH($R140,indexy_SDcast!$K:$K,0),MATCH(V$2,indexy_SDcast!$2:$2,0)),"#ekrk")),"#popis")</f>
        <v>-193.3945816601925</v>
      </c>
      <c r="W140" s="365">
        <f>IF($Q140="ekrk",IF($R140="data",IFERROR(INDEX(data!$A:$ALL,MATCH($M140,data!$A:$A,0),MATCH(W$2,data!$1:$1,0)),"#data"),IFERROR(V140*INDEX(indexy_SDcast!$A:$ALI,MATCH($R140,indexy_SDcast!$K:$K,0),MATCH(W$2,indexy_SDcast!$2:$2,0)),"#ekrk")),"#popis")</f>
        <v>-195.56858926915521</v>
      </c>
      <c r="X140" s="365">
        <f>IF($Q140="ekrk",IF($R140="data",IFERROR(INDEX(data!$A:$ALL,MATCH($M140,data!$A:$A,0),MATCH(X$2,data!$1:$1,0)),"#data"),IFERROR(W140*INDEX(indexy_SDcast!$A:$ALI,MATCH($R140,indexy_SDcast!$K:$K,0),MATCH(X$2,indexy_SDcast!$2:$2,0)),"#ekrk")),"#popis")</f>
        <v>-125.61878763133663</v>
      </c>
      <c r="Y140" s="362">
        <f>IF($Q140="ekrk",IF($R140="data",IFERROR(INDEX(data!$A:$ALL,MATCH($M140,data!$A:$A,0),MATCH(Y$2,data!$1:$1,0)),"#data"),IFERROR(X140*INDEX(indexy_SDcast!$A:$ALI,MATCH($R140,indexy_SDcast!$K:$K,0),MATCH(Y$2,indexy_SDcast!$2:$2,0)),"#ekrk")),"#popis")</f>
        <v>-169.9431211552419</v>
      </c>
    </row>
    <row r="141" spans="1:44" x14ac:dyDescent="0.25">
      <c r="A141" s="330">
        <v>637027</v>
      </c>
      <c r="B141" s="329">
        <v>-6642.74118</v>
      </c>
      <c r="C141" s="157"/>
      <c r="D141" s="330">
        <v>637027</v>
      </c>
      <c r="E141" s="329">
        <v>-6642.74118</v>
      </c>
      <c r="F141" s="157"/>
      <c r="G141" s="330">
        <v>637027</v>
      </c>
      <c r="H141" s="329">
        <v>-6642.74118</v>
      </c>
      <c r="I141" s="157"/>
      <c r="J141" s="330">
        <v>637027</v>
      </c>
      <c r="K141" s="329">
        <v>-6642.74118</v>
      </c>
      <c r="L141" s="157"/>
      <c r="M141" s="360">
        <f t="shared" si="17"/>
        <v>637027</v>
      </c>
      <c r="N141" s="237">
        <f t="shared" si="18"/>
        <v>-6642.74118</v>
      </c>
      <c r="O141" s="361"/>
      <c r="P141" s="361"/>
      <c r="Q141" s="361" t="s">
        <v>698</v>
      </c>
      <c r="R141" s="362">
        <v>35</v>
      </c>
      <c r="S141" s="236"/>
      <c r="T141" s="364">
        <f t="shared" si="19"/>
        <v>637027</v>
      </c>
      <c r="U141" s="365">
        <f t="shared" si="20"/>
        <v>-6642.74118</v>
      </c>
      <c r="V141" s="365">
        <f>IF($Q141="ekrk",IF($R141="data",IFERROR(INDEX(data!$A:$ALL,MATCH($M141,data!$A:$A,0),MATCH(V$2,data!$1:$1,0)),"#data"),IFERROR(U141*INDEX(indexy_SDcast!$A:$ALI,MATCH($R141,indexy_SDcast!$K:$K,0),MATCH(V$2,indexy_SDcast!$2:$2,0)),"#ekrk")),"#popis")</f>
        <v>-8504.2507783091751</v>
      </c>
      <c r="W141" s="365">
        <f>IF($Q141="ekrk",IF($R141="data",IFERROR(INDEX(data!$A:$ALL,MATCH($M141,data!$A:$A,0),MATCH(W$2,data!$1:$1,0)),"#data"),IFERROR(V141*INDEX(indexy_SDcast!$A:$ALI,MATCH($R141,indexy_SDcast!$K:$K,0),MATCH(W$2,indexy_SDcast!$2:$2,0)),"#ekrk")),"#popis")</f>
        <v>-8599.8496608727837</v>
      </c>
      <c r="X141" s="365">
        <f>IF($Q141="ekrk",IF($R141="data",IFERROR(INDEX(data!$A:$ALL,MATCH($M141,data!$A:$A,0),MATCH(X$2,data!$1:$1,0)),"#data"),IFERROR(W141*INDEX(indexy_SDcast!$A:$ALI,MATCH($R141,indexy_SDcast!$K:$K,0),MATCH(X$2,indexy_SDcast!$2:$2,0)),"#ekrk")),"#popis")</f>
        <v>-5523.9069435829097</v>
      </c>
      <c r="Y141" s="362">
        <f>IF($Q141="ekrk",IF($R141="data",IFERROR(INDEX(data!$A:$ALL,MATCH($M141,data!$A:$A,0),MATCH(Y$2,data!$1:$1,0)),"#data"),IFERROR(X141*INDEX(indexy_SDcast!$A:$ALI,MATCH($R141,indexy_SDcast!$K:$K,0),MATCH(Y$2,indexy_SDcast!$2:$2,0)),"#ekrk")),"#popis")</f>
        <v>-7473.0062649435531</v>
      </c>
    </row>
    <row r="142" spans="1:44" s="18" customFormat="1" x14ac:dyDescent="0.25">
      <c r="A142" s="333" t="s">
        <v>700</v>
      </c>
      <c r="B142" s="334">
        <v>-9467.4785300000003</v>
      </c>
      <c r="C142" s="164"/>
      <c r="D142" s="333" t="s">
        <v>700</v>
      </c>
      <c r="E142" s="334">
        <v>-9467.4785300000003</v>
      </c>
      <c r="F142" s="164"/>
      <c r="G142" s="333" t="s">
        <v>700</v>
      </c>
      <c r="H142" s="334">
        <v>-9467.4785300000003</v>
      </c>
      <c r="I142" s="164"/>
      <c r="J142" s="333" t="s">
        <v>700</v>
      </c>
      <c r="K142" s="334">
        <v>-9467.4785300000003</v>
      </c>
      <c r="L142" s="164"/>
      <c r="M142" s="358" t="str">
        <f t="shared" si="17"/>
        <v>D121PAY</v>
      </c>
      <c r="N142" s="239">
        <f t="shared" si="18"/>
        <v>-9467.4785300000003</v>
      </c>
      <c r="O142" s="243"/>
      <c r="P142" s="243">
        <f>MATCH(Q142,Q143:Q$1550,0)</f>
        <v>11</v>
      </c>
      <c r="Q142" s="243" t="s">
        <v>697</v>
      </c>
      <c r="R142" s="359" t="str">
        <f>IF(Q142="ekrk",INDEX(indexy_SDcast!$A:$C,MATCH($M142,indexy_SDcast!$A:$A,0),2),"")</f>
        <v/>
      </c>
      <c r="S142" s="240"/>
      <c r="T142" s="363" t="str">
        <f t="shared" si="19"/>
        <v>D121PAY</v>
      </c>
      <c r="U142" s="244">
        <f>SUM(U143:U152)</f>
        <v>-9467.4785300000003</v>
      </c>
      <c r="V142" s="244">
        <f>SUM(V143:V152)</f>
        <v>-12120.570330180753</v>
      </c>
      <c r="W142" s="244">
        <f>SUM(W143:W152)</f>
        <v>-12256.821366257243</v>
      </c>
      <c r="X142" s="244">
        <f>SUM(X143:X152)</f>
        <v>-7872.8749130775423</v>
      </c>
      <c r="Y142" s="359">
        <f>SUM(Y143:Y152)</f>
        <v>-10650.802801247868</v>
      </c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</row>
    <row r="143" spans="1:44" x14ac:dyDescent="0.25">
      <c r="A143" s="330">
        <v>621000</v>
      </c>
      <c r="B143" s="329">
        <v>-1868.0218799999996</v>
      </c>
      <c r="C143" s="157"/>
      <c r="D143" s="330">
        <v>621000</v>
      </c>
      <c r="E143" s="329">
        <v>-1868.0218799999996</v>
      </c>
      <c r="F143" s="157"/>
      <c r="G143" s="330">
        <v>621000</v>
      </c>
      <c r="H143" s="329">
        <v>-1868.0218799999996</v>
      </c>
      <c r="I143" s="157"/>
      <c r="J143" s="330">
        <v>621000</v>
      </c>
      <c r="K143" s="329">
        <v>-1868.0218799999996</v>
      </c>
      <c r="L143" s="157"/>
      <c r="M143" s="360">
        <f t="shared" si="17"/>
        <v>621000</v>
      </c>
      <c r="N143" s="237">
        <f t="shared" si="18"/>
        <v>-1868.0218799999996</v>
      </c>
      <c r="O143" s="361"/>
      <c r="P143" s="361"/>
      <c r="Q143" s="361" t="s">
        <v>698</v>
      </c>
      <c r="R143" s="362">
        <v>35</v>
      </c>
      <c r="S143" s="236"/>
      <c r="T143" s="364">
        <f t="shared" si="19"/>
        <v>621000</v>
      </c>
      <c r="U143" s="365">
        <f t="shared" ref="U143:U152" si="21">N143</f>
        <v>-1868.0218799999996</v>
      </c>
      <c r="V143" s="365">
        <f>IF($Q143="ekrk",IF($R143="data",IFERROR(INDEX(data!$A:$ALL,MATCH($M143,data!$A:$A,0),MATCH(V$2,data!$1:$1,0)),"#data"),IFERROR(U143*INDEX(indexy_SDcast!$A:$ALI,MATCH($R143,indexy_SDcast!$K:$K,0),MATCH(V$2,indexy_SDcast!$2:$2,0)),"#ekrk")),"#popis")</f>
        <v>-2391.5016551779249</v>
      </c>
      <c r="W143" s="365">
        <f>IF($Q143="ekrk",IF($R143="data",IFERROR(INDEX(data!$A:$ALL,MATCH($M143,data!$A:$A,0),MATCH(W$2,data!$1:$1,0)),"#data"),IFERROR(V143*INDEX(indexy_SDcast!$A:$ALI,MATCH($R143,indexy_SDcast!$K:$K,0),MATCH(W$2,indexy_SDcast!$2:$2,0)),"#ekrk")),"#popis")</f>
        <v>-2418.3852563138603</v>
      </c>
      <c r="X143" s="365">
        <f>IF($Q143="ekrk",IF($R143="data",IFERROR(INDEX(data!$A:$ALL,MATCH($M143,data!$A:$A,0),MATCH(X$2,data!$1:$1,0)),"#data"),IFERROR(W143*INDEX(indexy_SDcast!$A:$ALI,MATCH($R143,indexy_SDcast!$K:$K,0),MATCH(X$2,indexy_SDcast!$2:$2,0)),"#ekrk")),"#popis")</f>
        <v>-1553.3917029259894</v>
      </c>
      <c r="Y143" s="362">
        <f>IF($Q143="ekrk",IF($R143="data",IFERROR(INDEX(data!$A:$ALL,MATCH($M143,data!$A:$A,0),MATCH(Y$2,data!$1:$1,0)),"#data"),IFERROR(X143*INDEX(indexy_SDcast!$A:$ALI,MATCH($R143,indexy_SDcast!$K:$K,0),MATCH(Y$2,indexy_SDcast!$2:$2,0)),"#ekrk")),"#popis")</f>
        <v>-2101.5028034392917</v>
      </c>
    </row>
    <row r="144" spans="1:44" x14ac:dyDescent="0.25">
      <c r="A144" s="330">
        <v>623000</v>
      </c>
      <c r="B144" s="329">
        <v>-832.65430999999967</v>
      </c>
      <c r="C144" s="157"/>
      <c r="D144" s="330">
        <v>623000</v>
      </c>
      <c r="E144" s="329">
        <v>-832.65430999999967</v>
      </c>
      <c r="F144" s="157"/>
      <c r="G144" s="330">
        <v>623000</v>
      </c>
      <c r="H144" s="329">
        <v>-832.65430999999967</v>
      </c>
      <c r="I144" s="157"/>
      <c r="J144" s="330">
        <v>623000</v>
      </c>
      <c r="K144" s="329">
        <v>-832.65430999999967</v>
      </c>
      <c r="L144" s="157"/>
      <c r="M144" s="360">
        <f t="shared" si="17"/>
        <v>623000</v>
      </c>
      <c r="N144" s="237">
        <f t="shared" si="18"/>
        <v>-832.65430999999967</v>
      </c>
      <c r="O144" s="361"/>
      <c r="P144" s="361"/>
      <c r="Q144" s="361" t="s">
        <v>698</v>
      </c>
      <c r="R144" s="362">
        <v>35</v>
      </c>
      <c r="S144" s="236"/>
      <c r="T144" s="364">
        <f t="shared" si="19"/>
        <v>623000</v>
      </c>
      <c r="U144" s="365">
        <f t="shared" si="21"/>
        <v>-832.65430999999967</v>
      </c>
      <c r="V144" s="365">
        <f>IF($Q144="ekrk",IF($R144="data",IFERROR(INDEX(data!$A:$ALL,MATCH($M144,data!$A:$A,0),MATCH(V$2,data!$1:$1,0)),"#data"),IFERROR(U144*INDEX(indexy_SDcast!$A:$ALI,MATCH($R144,indexy_SDcast!$K:$K,0),MATCH(V$2,indexy_SDcast!$2:$2,0)),"#ekrk")),"#popis")</f>
        <v>-1065.9908119256252</v>
      </c>
      <c r="W144" s="365">
        <f>IF($Q144="ekrk",IF($R144="data",IFERROR(INDEX(data!$A:$ALL,MATCH($M144,data!$A:$A,0),MATCH(W$2,data!$1:$1,0)),"#data"),IFERROR(V144*INDEX(indexy_SDcast!$A:$ALI,MATCH($R144,indexy_SDcast!$K:$K,0),MATCH(W$2,indexy_SDcast!$2:$2,0)),"#ekrk")),"#popis")</f>
        <v>-1077.9739404927047</v>
      </c>
      <c r="X144" s="365">
        <f>IF($Q144="ekrk",IF($R144="data",IFERROR(INDEX(data!$A:$ALL,MATCH($M144,data!$A:$A,0),MATCH(X$2,data!$1:$1,0)),"#data"),IFERROR(W144*INDEX(indexy_SDcast!$A:$ALI,MATCH($R144,indexy_SDcast!$K:$K,0),MATCH(X$2,indexy_SDcast!$2:$2,0)),"#ekrk")),"#popis")</f>
        <v>-692.41067805884836</v>
      </c>
      <c r="Y144" s="362">
        <f>IF($Q144="ekrk",IF($R144="data",IFERROR(INDEX(data!$A:$ALL,MATCH($M144,data!$A:$A,0),MATCH(Y$2,data!$1:$1,0)),"#data"),IFERROR(X144*INDEX(indexy_SDcast!$A:$ALI,MATCH($R144,indexy_SDcast!$K:$K,0),MATCH(Y$2,indexy_SDcast!$2:$2,0)),"#ekrk")),"#popis")</f>
        <v>-936.72637643880751</v>
      </c>
    </row>
    <row r="145" spans="1:44" x14ac:dyDescent="0.25">
      <c r="A145" s="330">
        <v>625001</v>
      </c>
      <c r="B145" s="329">
        <v>-366.75251999999995</v>
      </c>
      <c r="C145" s="157"/>
      <c r="D145" s="330">
        <v>625001</v>
      </c>
      <c r="E145" s="329">
        <v>-366.75251999999995</v>
      </c>
      <c r="F145" s="157"/>
      <c r="G145" s="330">
        <v>625001</v>
      </c>
      <c r="H145" s="329">
        <v>-366.75251999999995</v>
      </c>
      <c r="I145" s="157"/>
      <c r="J145" s="330">
        <v>625001</v>
      </c>
      <c r="K145" s="329">
        <v>-366.75251999999995</v>
      </c>
      <c r="L145" s="157"/>
      <c r="M145" s="360">
        <f t="shared" si="17"/>
        <v>625001</v>
      </c>
      <c r="N145" s="237">
        <f t="shared" si="18"/>
        <v>-366.75251999999995</v>
      </c>
      <c r="O145" s="361"/>
      <c r="P145" s="361"/>
      <c r="Q145" s="361" t="s">
        <v>698</v>
      </c>
      <c r="R145" s="362">
        <v>35</v>
      </c>
      <c r="S145" s="236"/>
      <c r="T145" s="364">
        <f t="shared" si="19"/>
        <v>625001</v>
      </c>
      <c r="U145" s="365">
        <f t="shared" si="21"/>
        <v>-366.75251999999995</v>
      </c>
      <c r="V145" s="365">
        <f>IF($Q145="ekrk",IF($R145="data",IFERROR(INDEX(data!$A:$ALL,MATCH($M145,data!$A:$A,0),MATCH(V$2,data!$1:$1,0)),"#data"),IFERROR(U145*INDEX(indexy_SDcast!$A:$ALI,MATCH($R145,indexy_SDcast!$K:$K,0),MATCH(V$2,indexy_SDcast!$2:$2,0)),"#ekrk")),"#popis")</f>
        <v>-469.52836474306991</v>
      </c>
      <c r="W145" s="365">
        <f>IF($Q145="ekrk",IF($R145="data",IFERROR(INDEX(data!$A:$ALL,MATCH($M145,data!$A:$A,0),MATCH(W$2,data!$1:$1,0)),"#data"),IFERROR(V145*INDEX(indexy_SDcast!$A:$ALI,MATCH($R145,indexy_SDcast!$K:$K,0),MATCH(W$2,indexy_SDcast!$2:$2,0)),"#ekrk")),"#popis")</f>
        <v>-474.80647661576336</v>
      </c>
      <c r="X145" s="365">
        <f>IF($Q145="ekrk",IF($R145="data",IFERROR(INDEX(data!$A:$ALL,MATCH($M145,data!$A:$A,0),MATCH(X$2,data!$1:$1,0)),"#data"),IFERROR(W145*INDEX(indexy_SDcast!$A:$ALI,MATCH($R145,indexy_SDcast!$K:$K,0),MATCH(X$2,indexy_SDcast!$2:$2,0)),"#ekrk")),"#popis")</f>
        <v>-304.98053994699359</v>
      </c>
      <c r="Y145" s="362">
        <f>IF($Q145="ekrk",IF($R145="data",IFERROR(INDEX(data!$A:$ALL,MATCH($M145,data!$A:$A,0),MATCH(Y$2,data!$1:$1,0)),"#data"),IFERROR(X145*INDEX(indexy_SDcast!$A:$ALI,MATCH($R145,indexy_SDcast!$K:$K,0),MATCH(Y$2,indexy_SDcast!$2:$2,0)),"#ekrk")),"#popis")</f>
        <v>-412.59230269209962</v>
      </c>
    </row>
    <row r="146" spans="1:44" x14ac:dyDescent="0.25">
      <c r="A146" s="330">
        <v>625002</v>
      </c>
      <c r="B146" s="329">
        <v>-3852.7071599999995</v>
      </c>
      <c r="C146" s="157"/>
      <c r="D146" s="330">
        <v>625002</v>
      </c>
      <c r="E146" s="329">
        <v>-3852.7071599999995</v>
      </c>
      <c r="F146" s="157"/>
      <c r="G146" s="330">
        <v>625002</v>
      </c>
      <c r="H146" s="329">
        <v>-3852.7071599999995</v>
      </c>
      <c r="I146" s="157"/>
      <c r="J146" s="330">
        <v>625002</v>
      </c>
      <c r="K146" s="329">
        <v>-3852.7071599999995</v>
      </c>
      <c r="L146" s="157"/>
      <c r="M146" s="360">
        <f t="shared" si="17"/>
        <v>625002</v>
      </c>
      <c r="N146" s="237">
        <f t="shared" si="18"/>
        <v>-3852.7071599999995</v>
      </c>
      <c r="O146" s="361"/>
      <c r="P146" s="361"/>
      <c r="Q146" s="361" t="s">
        <v>698</v>
      </c>
      <c r="R146" s="362">
        <v>35</v>
      </c>
      <c r="S146" s="236"/>
      <c r="T146" s="364">
        <f t="shared" si="19"/>
        <v>625002</v>
      </c>
      <c r="U146" s="365">
        <f t="shared" si="21"/>
        <v>-3852.7071599999995</v>
      </c>
      <c r="V146" s="365">
        <f>IF($Q146="ekrk",IF($R146="data",IFERROR(INDEX(data!$A:$ALL,MATCH($M146,data!$A:$A,0),MATCH(V$2,data!$1:$1,0)),"#data"),IFERROR(U146*INDEX(indexy_SDcast!$A:$ALI,MATCH($R146,indexy_SDcast!$K:$K,0),MATCH(V$2,indexy_SDcast!$2:$2,0)),"#ekrk")),"#popis")</f>
        <v>-4932.3595449834047</v>
      </c>
      <c r="W146" s="365">
        <f>IF($Q146="ekrk",IF($R146="data",IFERROR(INDEX(data!$A:$ALL,MATCH($M146,data!$A:$A,0),MATCH(W$2,data!$1:$1,0)),"#data"),IFERROR(V146*INDEX(indexy_SDcast!$A:$ALI,MATCH($R146,indexy_SDcast!$K:$K,0),MATCH(W$2,indexy_SDcast!$2:$2,0)),"#ekrk")),"#popis")</f>
        <v>-4987.805706343679</v>
      </c>
      <c r="X146" s="365">
        <f>IF($Q146="ekrk",IF($R146="data",IFERROR(INDEX(data!$A:$ALL,MATCH($M146,data!$A:$A,0),MATCH(X$2,data!$1:$1,0)),"#data"),IFERROR(W146*INDEX(indexy_SDcast!$A:$ALI,MATCH($R146,indexy_SDcast!$K:$K,0),MATCH(X$2,indexy_SDcast!$2:$2,0)),"#ekrk")),"#popis")</f>
        <v>-3203.7972361156467</v>
      </c>
      <c r="Y146" s="362">
        <f>IF($Q146="ekrk",IF($R146="data",IFERROR(INDEX(data!$A:$ALL,MATCH($M146,data!$A:$A,0),MATCH(Y$2,data!$1:$1,0)),"#data"),IFERROR(X146*INDEX(indexy_SDcast!$A:$ALI,MATCH($R146,indexy_SDcast!$K:$K,0),MATCH(Y$2,indexy_SDcast!$2:$2,0)),"#ekrk")),"#popis")</f>
        <v>-4334.250569683174</v>
      </c>
    </row>
    <row r="147" spans="1:44" x14ac:dyDescent="0.25">
      <c r="A147" s="330">
        <v>625003</v>
      </c>
      <c r="B147" s="329">
        <v>-224.98324000000005</v>
      </c>
      <c r="C147" s="157"/>
      <c r="D147" s="330">
        <v>625003</v>
      </c>
      <c r="E147" s="329">
        <v>-224.98324000000005</v>
      </c>
      <c r="F147" s="157"/>
      <c r="G147" s="330">
        <v>625003</v>
      </c>
      <c r="H147" s="329">
        <v>-224.98324000000005</v>
      </c>
      <c r="I147" s="157"/>
      <c r="J147" s="330">
        <v>625003</v>
      </c>
      <c r="K147" s="329">
        <v>-224.98324000000005</v>
      </c>
      <c r="L147" s="157"/>
      <c r="M147" s="360">
        <f t="shared" si="17"/>
        <v>625003</v>
      </c>
      <c r="N147" s="237">
        <f t="shared" si="18"/>
        <v>-224.98324000000005</v>
      </c>
      <c r="O147" s="361"/>
      <c r="P147" s="361"/>
      <c r="Q147" s="361" t="s">
        <v>698</v>
      </c>
      <c r="R147" s="362">
        <v>35</v>
      </c>
      <c r="S147" s="236"/>
      <c r="T147" s="364">
        <f t="shared" si="19"/>
        <v>625003</v>
      </c>
      <c r="U147" s="365">
        <f t="shared" si="21"/>
        <v>-224.98324000000005</v>
      </c>
      <c r="V147" s="365">
        <f>IF($Q147="ekrk",IF($R147="data",IFERROR(INDEX(data!$A:$ALL,MATCH($M147,data!$A:$A,0),MATCH(V$2,data!$1:$1,0)),"#data"),IFERROR(U147*INDEX(indexy_SDcast!$A:$ALI,MATCH($R147,indexy_SDcast!$K:$K,0),MATCH(V$2,indexy_SDcast!$2:$2,0)),"#ekrk")),"#popis")</f>
        <v>-288.03077555349222</v>
      </c>
      <c r="W147" s="365">
        <f>IF($Q147="ekrk",IF($R147="data",IFERROR(INDEX(data!$A:$ALL,MATCH($M147,data!$A:$A,0),MATCH(W$2,data!$1:$1,0)),"#data"),IFERROR(V147*INDEX(indexy_SDcast!$A:$ALI,MATCH($R147,indexy_SDcast!$K:$K,0),MATCH(W$2,indexy_SDcast!$2:$2,0)),"#ekrk")),"#popis")</f>
        <v>-291.26861754623718</v>
      </c>
      <c r="X147" s="365">
        <f>IF($Q147="ekrk",IF($R147="data",IFERROR(INDEX(data!$A:$ALL,MATCH($M147,data!$A:$A,0),MATCH(X$2,data!$1:$1,0)),"#data"),IFERROR(W147*INDEX(indexy_SDcast!$A:$ALI,MATCH($R147,indexy_SDcast!$K:$K,0),MATCH(X$2,indexy_SDcast!$2:$2,0)),"#ekrk")),"#popis")</f>
        <v>-187.08940299639679</v>
      </c>
      <c r="Y147" s="362">
        <f>IF($Q147="ekrk",IF($R147="data",IFERROR(INDEX(data!$A:$ALL,MATCH($M147,data!$A:$A,0),MATCH(Y$2,data!$1:$1,0)),"#data"),IFERROR(X147*INDEX(indexy_SDcast!$A:$ALI,MATCH($R147,indexy_SDcast!$K:$K,0),MATCH(Y$2,indexy_SDcast!$2:$2,0)),"#ekrk")),"#popis")</f>
        <v>-253.10351803098538</v>
      </c>
    </row>
    <row r="148" spans="1:44" x14ac:dyDescent="0.25">
      <c r="A148" s="330">
        <v>625004</v>
      </c>
      <c r="B148" s="329">
        <v>-767.16073999999992</v>
      </c>
      <c r="C148" s="157"/>
      <c r="D148" s="330">
        <v>625004</v>
      </c>
      <c r="E148" s="329">
        <v>-767.16073999999992</v>
      </c>
      <c r="F148" s="157"/>
      <c r="G148" s="330">
        <v>625004</v>
      </c>
      <c r="H148" s="329">
        <v>-767.16073999999992</v>
      </c>
      <c r="I148" s="157"/>
      <c r="J148" s="330">
        <v>625004</v>
      </c>
      <c r="K148" s="329">
        <v>-767.16073999999992</v>
      </c>
      <c r="L148" s="157"/>
      <c r="M148" s="360">
        <f t="shared" si="17"/>
        <v>625004</v>
      </c>
      <c r="N148" s="237">
        <f t="shared" si="18"/>
        <v>-767.16073999999992</v>
      </c>
      <c r="O148" s="361"/>
      <c r="P148" s="361"/>
      <c r="Q148" s="361" t="s">
        <v>698</v>
      </c>
      <c r="R148" s="362">
        <v>35</v>
      </c>
      <c r="S148" s="236"/>
      <c r="T148" s="364">
        <f t="shared" si="19"/>
        <v>625004</v>
      </c>
      <c r="U148" s="365">
        <f t="shared" si="21"/>
        <v>-767.16073999999992</v>
      </c>
      <c r="V148" s="365">
        <f>IF($Q148="ekrk",IF($R148="data",IFERROR(INDEX(data!$A:$ALL,MATCH($M148,data!$A:$A,0),MATCH(V$2,data!$1:$1,0)),"#data"),IFERROR(U148*INDEX(indexy_SDcast!$A:$ALI,MATCH($R148,indexy_SDcast!$K:$K,0),MATCH(V$2,indexy_SDcast!$2:$2,0)),"#ekrk")),"#popis")</f>
        <v>-982.14383843165797</v>
      </c>
      <c r="W148" s="365">
        <f>IF($Q148="ekrk",IF($R148="data",IFERROR(INDEX(data!$A:$ALL,MATCH($M148,data!$A:$A,0),MATCH(W$2,data!$1:$1,0)),"#data"),IFERROR(V148*INDEX(indexy_SDcast!$A:$ALI,MATCH($R148,indexy_SDcast!$K:$K,0),MATCH(W$2,indexy_SDcast!$2:$2,0)),"#ekrk")),"#popis")</f>
        <v>-993.18441753949423</v>
      </c>
      <c r="X148" s="365">
        <f>IF($Q148="ekrk",IF($R148="data",IFERROR(INDEX(data!$A:$ALL,MATCH($M148,data!$A:$A,0),MATCH(X$2,data!$1:$1,0)),"#data"),IFERROR(W148*INDEX(indexy_SDcast!$A:$ALI,MATCH($R148,indexy_SDcast!$K:$K,0),MATCH(X$2,indexy_SDcast!$2:$2,0)),"#ekrk")),"#popis")</f>
        <v>-637.94816382266492</v>
      </c>
      <c r="Y148" s="362">
        <f>IF($Q148="ekrk",IF($R148="data",IFERROR(INDEX(data!$A:$ALL,MATCH($M148,data!$A:$A,0),MATCH(Y$2,data!$1:$1,0)),"#data"),IFERROR(X148*INDEX(indexy_SDcast!$A:$ALI,MATCH($R148,indexy_SDcast!$K:$K,0),MATCH(Y$2,indexy_SDcast!$2:$2,0)),"#ekrk")),"#popis")</f>
        <v>-863.04687491056688</v>
      </c>
    </row>
    <row r="149" spans="1:44" x14ac:dyDescent="0.25">
      <c r="A149" s="330">
        <v>625005</v>
      </c>
      <c r="B149" s="329">
        <v>-246.93296999999993</v>
      </c>
      <c r="C149" s="157"/>
      <c r="D149" s="330">
        <v>625005</v>
      </c>
      <c r="E149" s="329">
        <v>-246.93296999999993</v>
      </c>
      <c r="F149" s="157"/>
      <c r="G149" s="330">
        <v>625005</v>
      </c>
      <c r="H149" s="329">
        <v>-246.93296999999993</v>
      </c>
      <c r="I149" s="157"/>
      <c r="J149" s="330">
        <v>625005</v>
      </c>
      <c r="K149" s="329">
        <v>-246.93296999999993</v>
      </c>
      <c r="L149" s="157"/>
      <c r="M149" s="360">
        <f t="shared" si="17"/>
        <v>625005</v>
      </c>
      <c r="N149" s="237">
        <f t="shared" si="18"/>
        <v>-246.93296999999993</v>
      </c>
      <c r="O149" s="361"/>
      <c r="P149" s="361"/>
      <c r="Q149" s="361" t="s">
        <v>698</v>
      </c>
      <c r="R149" s="362">
        <v>35</v>
      </c>
      <c r="S149" s="236"/>
      <c r="T149" s="364">
        <f t="shared" si="19"/>
        <v>625005</v>
      </c>
      <c r="U149" s="365">
        <f t="shared" si="21"/>
        <v>-246.93296999999993</v>
      </c>
      <c r="V149" s="365">
        <f>IF($Q149="ekrk",IF($R149="data",IFERROR(INDEX(data!$A:$ALL,MATCH($M149,data!$A:$A,0),MATCH(V$2,data!$1:$1,0)),"#data"),IFERROR(U149*INDEX(indexy_SDcast!$A:$ALI,MATCH($R149,indexy_SDcast!$K:$K,0),MATCH(V$2,indexy_SDcast!$2:$2,0)),"#ekrk")),"#popis")</f>
        <v>-316.13152543641559</v>
      </c>
      <c r="W149" s="365">
        <f>IF($Q149="ekrk",IF($R149="data",IFERROR(INDEX(data!$A:$ALL,MATCH($M149,data!$A:$A,0),MATCH(W$2,data!$1:$1,0)),"#data"),IFERROR(V149*INDEX(indexy_SDcast!$A:$ALI,MATCH($R149,indexy_SDcast!$K:$K,0),MATCH(W$2,indexy_SDcast!$2:$2,0)),"#ekrk")),"#popis")</f>
        <v>-319.68525654838305</v>
      </c>
      <c r="X149" s="365">
        <f>IF($Q149="ekrk",IF($R149="data",IFERROR(INDEX(data!$A:$ALL,MATCH($M149,data!$A:$A,0),MATCH(X$2,data!$1:$1,0)),"#data"),IFERROR(W149*INDEX(indexy_SDcast!$A:$ALI,MATCH($R149,indexy_SDcast!$K:$K,0),MATCH(X$2,indexy_SDcast!$2:$2,0)),"#ekrk")),"#popis")</f>
        <v>-205.3421487637352</v>
      </c>
      <c r="Y149" s="362">
        <f>IF($Q149="ekrk",IF($R149="data",IFERROR(INDEX(data!$A:$ALL,MATCH($M149,data!$A:$A,0),MATCH(Y$2,data!$1:$1,0)),"#data"),IFERROR(X149*INDEX(indexy_SDcast!$A:$ALI,MATCH($R149,indexy_SDcast!$K:$K,0),MATCH(Y$2,indexy_SDcast!$2:$2,0)),"#ekrk")),"#popis")</f>
        <v>-277.79670798962513</v>
      </c>
    </row>
    <row r="150" spans="1:44" x14ac:dyDescent="0.25">
      <c r="A150" s="330">
        <v>625006</v>
      </c>
      <c r="B150" s="329">
        <v>-9.8675799999999985</v>
      </c>
      <c r="C150" s="157"/>
      <c r="D150" s="330">
        <v>625006</v>
      </c>
      <c r="E150" s="329">
        <v>-9.8675799999999985</v>
      </c>
      <c r="F150" s="157"/>
      <c r="G150" s="330">
        <v>625006</v>
      </c>
      <c r="H150" s="329">
        <v>-9.8675799999999985</v>
      </c>
      <c r="I150" s="157"/>
      <c r="J150" s="330">
        <v>625006</v>
      </c>
      <c r="K150" s="329">
        <v>-9.8675799999999985</v>
      </c>
      <c r="L150" s="157"/>
      <c r="M150" s="360">
        <f t="shared" si="17"/>
        <v>625006</v>
      </c>
      <c r="N150" s="237">
        <f t="shared" si="18"/>
        <v>-9.8675799999999985</v>
      </c>
      <c r="O150" s="361"/>
      <c r="P150" s="361"/>
      <c r="Q150" s="361" t="s">
        <v>698</v>
      </c>
      <c r="R150" s="362">
        <v>35</v>
      </c>
      <c r="S150" s="236"/>
      <c r="T150" s="364">
        <f t="shared" si="19"/>
        <v>625006</v>
      </c>
      <c r="U150" s="365">
        <f t="shared" si="21"/>
        <v>-9.8675799999999985</v>
      </c>
      <c r="V150" s="365">
        <f>IF($Q150="ekrk",IF($R150="data",IFERROR(INDEX(data!$A:$ALL,MATCH($M150,data!$A:$A,0),MATCH(V$2,data!$1:$1,0)),"#data"),IFERROR(U150*INDEX(indexy_SDcast!$A:$ALI,MATCH($R150,indexy_SDcast!$K:$K,0),MATCH(V$2,indexy_SDcast!$2:$2,0)),"#ekrk")),"#popis")</f>
        <v>-12.632793092659382</v>
      </c>
      <c r="W150" s="365">
        <f>IF($Q150="ekrk",IF($R150="data",IFERROR(INDEX(data!$A:$ALL,MATCH($M150,data!$A:$A,0),MATCH(W$2,data!$1:$1,0)),"#data"),IFERROR(V150*INDEX(indexy_SDcast!$A:$ALI,MATCH($R150,indexy_SDcast!$K:$K,0),MATCH(W$2,indexy_SDcast!$2:$2,0)),"#ekrk")),"#popis")</f>
        <v>-12.77480218138426</v>
      </c>
      <c r="X150" s="365">
        <f>IF($Q150="ekrk",IF($R150="data",IFERROR(INDEX(data!$A:$ALL,MATCH($M150,data!$A:$A,0),MATCH(X$2,data!$1:$1,0)),"#data"),IFERROR(W150*INDEX(indexy_SDcast!$A:$ALI,MATCH($R150,indexy_SDcast!$K:$K,0),MATCH(X$2,indexy_SDcast!$2:$2,0)),"#ekrk")),"#popis")</f>
        <v>-8.2055874527328552</v>
      </c>
      <c r="Y150" s="362">
        <f>IF($Q150="ekrk",IF($R150="data",IFERROR(INDEX(data!$A:$ALL,MATCH($M150,data!$A:$A,0),MATCH(Y$2,data!$1:$1,0)),"#data"),IFERROR(X150*INDEX(indexy_SDcast!$A:$ALI,MATCH($R150,indexy_SDcast!$K:$K,0),MATCH(Y$2,indexy_SDcast!$2:$2,0)),"#ekrk")),"#popis")</f>
        <v>-11.100912283298037</v>
      </c>
    </row>
    <row r="151" spans="1:44" x14ac:dyDescent="0.25">
      <c r="A151" s="330">
        <v>625007</v>
      </c>
      <c r="B151" s="329">
        <v>-1297.5945800000004</v>
      </c>
      <c r="C151" s="157"/>
      <c r="D151" s="330">
        <v>625007</v>
      </c>
      <c r="E151" s="329">
        <v>-1297.5945800000004</v>
      </c>
      <c r="F151" s="157"/>
      <c r="G151" s="330">
        <v>625007</v>
      </c>
      <c r="H151" s="329">
        <v>-1297.5945800000004</v>
      </c>
      <c r="I151" s="157"/>
      <c r="J151" s="330">
        <v>625007</v>
      </c>
      <c r="K151" s="329">
        <v>-1297.5945800000004</v>
      </c>
      <c r="L151" s="157"/>
      <c r="M151" s="360">
        <f t="shared" si="17"/>
        <v>625007</v>
      </c>
      <c r="N151" s="237">
        <f t="shared" si="18"/>
        <v>-1297.5945800000004</v>
      </c>
      <c r="O151" s="361"/>
      <c r="P151" s="361"/>
      <c r="Q151" s="361" t="s">
        <v>698</v>
      </c>
      <c r="R151" s="362">
        <v>35</v>
      </c>
      <c r="S151" s="236"/>
      <c r="T151" s="364">
        <f t="shared" ref="T151:T182" si="22">M151</f>
        <v>625007</v>
      </c>
      <c r="U151" s="365">
        <f t="shared" si="21"/>
        <v>-1297.5945800000004</v>
      </c>
      <c r="V151" s="365">
        <f>IF($Q151="ekrk",IF($R151="data",IFERROR(INDEX(data!$A:$ALL,MATCH($M151,data!$A:$A,0),MATCH(V$2,data!$1:$1,0)),"#data"),IFERROR(U151*INDEX(indexy_SDcast!$A:$ALI,MATCH($R151,indexy_SDcast!$K:$K,0),MATCH(V$2,indexy_SDcast!$2:$2,0)),"#ekrk")),"#popis")</f>
        <v>-1661.2222902977487</v>
      </c>
      <c r="W151" s="365">
        <f>IF($Q151="ekrk",IF($R151="data",IFERROR(INDEX(data!$A:$ALL,MATCH($M151,data!$A:$A,0),MATCH(W$2,data!$1:$1,0)),"#data"),IFERROR(V151*INDEX(indexy_SDcast!$A:$ALI,MATCH($R151,indexy_SDcast!$K:$K,0),MATCH(W$2,indexy_SDcast!$2:$2,0)),"#ekrk")),"#popis")</f>
        <v>-1679.8965978625358</v>
      </c>
      <c r="X151" s="365">
        <f>IF($Q151="ekrk",IF($R151="data",IFERROR(INDEX(data!$A:$ALL,MATCH($M151,data!$A:$A,0),MATCH(X$2,data!$1:$1,0)),"#data"),IFERROR(W151*INDEX(indexy_SDcast!$A:$ALI,MATCH($R151,indexy_SDcast!$K:$K,0),MATCH(X$2,indexy_SDcast!$2:$2,0)),"#ekrk")),"#popis")</f>
        <v>-1079.041244599199</v>
      </c>
      <c r="Y151" s="362">
        <f>IF($Q151="ekrk",IF($R151="data",IFERROR(INDEX(data!$A:$ALL,MATCH($M151,data!$A:$A,0),MATCH(Y$2,data!$1:$1,0)),"#data"),IFERROR(X151*INDEX(indexy_SDcast!$A:$ALI,MATCH($R151,indexy_SDcast!$K:$K,0),MATCH(Y$2,indexy_SDcast!$2:$2,0)),"#ekrk")),"#popis")</f>
        <v>-1459.7787514125007</v>
      </c>
    </row>
    <row r="152" spans="1:44" x14ac:dyDescent="0.25">
      <c r="A152" s="330">
        <v>627000</v>
      </c>
      <c r="B152" s="329">
        <v>-0.80354999999999999</v>
      </c>
      <c r="C152" s="157"/>
      <c r="D152" s="330">
        <v>627000</v>
      </c>
      <c r="E152" s="329">
        <v>-0.80354999999999999</v>
      </c>
      <c r="F152" s="157"/>
      <c r="G152" s="330">
        <v>627000</v>
      </c>
      <c r="H152" s="329">
        <v>-0.80354999999999999</v>
      </c>
      <c r="I152" s="157"/>
      <c r="J152" s="330">
        <v>627000</v>
      </c>
      <c r="K152" s="329">
        <v>-0.80354999999999999</v>
      </c>
      <c r="L152" s="157"/>
      <c r="M152" s="360">
        <f t="shared" si="17"/>
        <v>627000</v>
      </c>
      <c r="N152" s="237">
        <f t="shared" si="18"/>
        <v>-0.80354999999999999</v>
      </c>
      <c r="O152" s="361"/>
      <c r="P152" s="361"/>
      <c r="Q152" s="361" t="s">
        <v>698</v>
      </c>
      <c r="R152" s="362">
        <v>35</v>
      </c>
      <c r="S152" s="236"/>
      <c r="T152" s="364">
        <f t="shared" si="22"/>
        <v>627000</v>
      </c>
      <c r="U152" s="365">
        <f t="shared" si="21"/>
        <v>-0.80354999999999999</v>
      </c>
      <c r="V152" s="365">
        <f>IF($Q152="ekrk",IF($R152="data",IFERROR(INDEX(data!$A:$ALL,MATCH($M152,data!$A:$A,0),MATCH(V$2,data!$1:$1,0)),"#data"),IFERROR(U152*INDEX(indexy_SDcast!$A:$ALI,MATCH($R152,indexy_SDcast!$K:$K,0),MATCH(V$2,indexy_SDcast!$2:$2,0)),"#ekrk")),"#popis")</f>
        <v>-1.0287305387548362</v>
      </c>
      <c r="W152" s="365">
        <f>IF($Q152="ekrk",IF($R152="data",IFERROR(INDEX(data!$A:$ALL,MATCH($M152,data!$A:$A,0),MATCH(W$2,data!$1:$1,0)),"#data"),IFERROR(V152*INDEX(indexy_SDcast!$A:$ALI,MATCH($R152,indexy_SDcast!$K:$K,0),MATCH(W$2,indexy_SDcast!$2:$2,0)),"#ekrk")),"#popis")</f>
        <v>-1.040294813201547</v>
      </c>
      <c r="X152" s="365">
        <f>IF($Q152="ekrk",IF($R152="data",IFERROR(INDEX(data!$A:$ALL,MATCH($M152,data!$A:$A,0),MATCH(X$2,data!$1:$1,0)),"#data"),IFERROR(W152*INDEX(indexy_SDcast!$A:$ALI,MATCH($R152,indexy_SDcast!$K:$K,0),MATCH(X$2,indexy_SDcast!$2:$2,0)),"#ekrk")),"#popis")</f>
        <v>-0.66820839533537957</v>
      </c>
      <c r="Y152" s="362">
        <f>IF($Q152="ekrk",IF($R152="data",IFERROR(INDEX(data!$A:$ALL,MATCH($M152,data!$A:$A,0),MATCH(Y$2,data!$1:$1,0)),"#data"),IFERROR(X152*INDEX(indexy_SDcast!$A:$ALI,MATCH($R152,indexy_SDcast!$K:$K,0),MATCH(Y$2,indexy_SDcast!$2:$2,0)),"#ekrk")),"#popis")</f>
        <v>-0.90398436751910149</v>
      </c>
    </row>
    <row r="153" spans="1:44" s="18" customFormat="1" x14ac:dyDescent="0.25">
      <c r="A153" s="333" t="s">
        <v>701</v>
      </c>
      <c r="B153" s="334">
        <v>-16.712300000000003</v>
      </c>
      <c r="C153" s="164"/>
      <c r="D153" s="333" t="s">
        <v>701</v>
      </c>
      <c r="E153" s="334">
        <v>-16.712300000000003</v>
      </c>
      <c r="F153" s="164"/>
      <c r="G153" s="333" t="s">
        <v>701</v>
      </c>
      <c r="H153" s="334">
        <v>-16.712300000000003</v>
      </c>
      <c r="I153" s="164"/>
      <c r="J153" s="333" t="s">
        <v>701</v>
      </c>
      <c r="K153" s="334">
        <v>-16.712300000000003</v>
      </c>
      <c r="L153" s="164"/>
      <c r="M153" s="358" t="str">
        <f t="shared" si="17"/>
        <v>D122PAY</v>
      </c>
      <c r="N153" s="239">
        <f t="shared" si="18"/>
        <v>-16.712300000000003</v>
      </c>
      <c r="O153" s="243"/>
      <c r="P153" s="243">
        <f>MATCH(Q153,Q154:Q$1550,0)</f>
        <v>3</v>
      </c>
      <c r="Q153" s="243" t="s">
        <v>697</v>
      </c>
      <c r="R153" s="359" t="str">
        <f>IF(Q153="ekrk",INDEX(indexy_SDcast!$A:$C,MATCH($M153,indexy_SDcast!$A:$A,0),2),"")</f>
        <v/>
      </c>
      <c r="S153" s="240"/>
      <c r="T153" s="363" t="str">
        <f t="shared" si="22"/>
        <v>D122PAY</v>
      </c>
      <c r="U153" s="244">
        <f>SUM(U154:U155)</f>
        <v>-16.712300000000003</v>
      </c>
      <c r="V153" s="244">
        <f>SUM(V154:V155)</f>
        <v>-21.395623648599905</v>
      </c>
      <c r="W153" s="244">
        <f>SUM(W154:W155)</f>
        <v>-21.636138394210963</v>
      </c>
      <c r="X153" s="244">
        <f>SUM(X154:X155)</f>
        <v>-13.897454004559101</v>
      </c>
      <c r="Y153" s="359">
        <f>SUM(Y154:Y155)</f>
        <v>-18.801142362378798</v>
      </c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</row>
    <row r="154" spans="1:44" x14ac:dyDescent="0.25">
      <c r="A154" s="330">
        <v>637016</v>
      </c>
      <c r="B154" s="329">
        <v>-0.89785000000000004</v>
      </c>
      <c r="C154" s="157"/>
      <c r="D154" s="330">
        <v>637016</v>
      </c>
      <c r="E154" s="329">
        <v>-0.89785000000000004</v>
      </c>
      <c r="F154" s="157"/>
      <c r="G154" s="330">
        <v>637016</v>
      </c>
      <c r="H154" s="329">
        <v>-0.89785000000000004</v>
      </c>
      <c r="I154" s="157"/>
      <c r="J154" s="330">
        <v>637016</v>
      </c>
      <c r="K154" s="329">
        <v>-0.89785000000000004</v>
      </c>
      <c r="L154" s="157"/>
      <c r="M154" s="360">
        <f t="shared" si="17"/>
        <v>637016</v>
      </c>
      <c r="N154" s="237">
        <f t="shared" si="18"/>
        <v>-0.89785000000000004</v>
      </c>
      <c r="O154" s="361"/>
      <c r="P154" s="361"/>
      <c r="Q154" s="361" t="s">
        <v>698</v>
      </c>
      <c r="R154" s="362">
        <v>35</v>
      </c>
      <c r="S154" s="236"/>
      <c r="T154" s="364">
        <f t="shared" si="22"/>
        <v>637016</v>
      </c>
      <c r="U154" s="365">
        <f>N154</f>
        <v>-0.89785000000000004</v>
      </c>
      <c r="V154" s="365">
        <f>IF($Q154="ekrk",IF($R154="data",IFERROR(INDEX(data!$A:$ALL,MATCH($M154,data!$A:$A,0),MATCH(V$2,data!$1:$1,0)),"#data"),IFERROR(U154*INDEX(indexy_SDcast!$A:$ALI,MATCH($R154,indexy_SDcast!$K:$K,0),MATCH(V$2,indexy_SDcast!$2:$2,0)),"#ekrk")),"#popis")</f>
        <v>-1.1494564298687446</v>
      </c>
      <c r="W154" s="365">
        <f>IF($Q154="ekrk",IF($R154="data",IFERROR(INDEX(data!$A:$ALL,MATCH($M154,data!$A:$A,0),MATCH(W$2,data!$1:$1,0)),"#data"),IFERROR(V154*INDEX(indexy_SDcast!$A:$ALI,MATCH($R154,indexy_SDcast!$K:$K,0),MATCH(W$2,indexy_SDcast!$2:$2,0)),"#ekrk")),"#popis")</f>
        <v>-1.162377820960748</v>
      </c>
      <c r="X154" s="365">
        <f>IF($Q154="ekrk",IF($R154="data",IFERROR(INDEX(data!$A:$ALL,MATCH($M154,data!$A:$A,0),MATCH(X$2,data!$1:$1,0)),"#data"),IFERROR(W154*INDEX(indexy_SDcast!$A:$ALI,MATCH($R154,indexy_SDcast!$K:$K,0),MATCH(X$2,indexy_SDcast!$2:$2,0)),"#ekrk")),"#popis")</f>
        <v>-0.74662548410412621</v>
      </c>
      <c r="Y154" s="362">
        <f>IF($Q154="ekrk",IF($R154="data",IFERROR(INDEX(data!$A:$ALL,MATCH($M154,data!$A:$A,0),MATCH(Y$2,data!$1:$1,0)),"#data"),IFERROR(X154*INDEX(indexy_SDcast!$A:$ALI,MATCH($R154,indexy_SDcast!$K:$K,0),MATCH(Y$2,indexy_SDcast!$2:$2,0)),"#ekrk")),"#popis")</f>
        <v>-1.0100707664451813</v>
      </c>
    </row>
    <row r="155" spans="1:44" x14ac:dyDescent="0.25">
      <c r="A155" s="330">
        <v>642015</v>
      </c>
      <c r="B155" s="329">
        <v>-15.814450000000003</v>
      </c>
      <c r="C155" s="157"/>
      <c r="D155" s="330">
        <v>642015</v>
      </c>
      <c r="E155" s="329">
        <v>-15.814450000000003</v>
      </c>
      <c r="F155" s="157"/>
      <c r="G155" s="330">
        <v>642015</v>
      </c>
      <c r="H155" s="329">
        <v>-15.814450000000003</v>
      </c>
      <c r="I155" s="157"/>
      <c r="J155" s="330">
        <v>642015</v>
      </c>
      <c r="K155" s="329">
        <v>-15.814450000000003</v>
      </c>
      <c r="L155" s="157"/>
      <c r="M155" s="360">
        <f t="shared" si="17"/>
        <v>642015</v>
      </c>
      <c r="N155" s="237">
        <f t="shared" si="18"/>
        <v>-15.814450000000003</v>
      </c>
      <c r="O155" s="361"/>
      <c r="P155" s="361"/>
      <c r="Q155" s="361" t="s">
        <v>698</v>
      </c>
      <c r="R155" s="362">
        <v>35</v>
      </c>
      <c r="S155" s="236"/>
      <c r="T155" s="364">
        <f t="shared" si="22"/>
        <v>642015</v>
      </c>
      <c r="U155" s="365">
        <f>N155</f>
        <v>-15.814450000000003</v>
      </c>
      <c r="V155" s="365">
        <f>IF($Q155="ekrk",IF($R155="data",IFERROR(INDEX(data!$A:$ALL,MATCH($M155,data!$A:$A,0),MATCH(V$2,data!$1:$1,0)),"#data"),IFERROR(U155*INDEX(indexy_SDcast!$A:$ALI,MATCH($R155,indexy_SDcast!$K:$K,0),MATCH(V$2,indexy_SDcast!$2:$2,0)),"#ekrk")),"#popis")</f>
        <v>-20.246167218731159</v>
      </c>
      <c r="W155" s="365">
        <f>IF($Q155="ekrk",IF($R155="data",IFERROR(INDEX(data!$A:$ALL,MATCH($M155,data!$A:$A,0),MATCH(W$2,data!$1:$1,0)),"#data"),IFERROR(V155*INDEX(indexy_SDcast!$A:$ALI,MATCH($R155,indexy_SDcast!$K:$K,0),MATCH(W$2,indexy_SDcast!$2:$2,0)),"#ekrk")),"#popis")</f>
        <v>-20.473760573250214</v>
      </c>
      <c r="X155" s="365">
        <f>IF($Q155="ekrk",IF($R155="data",IFERROR(INDEX(data!$A:$ALL,MATCH($M155,data!$A:$A,0),MATCH(X$2,data!$1:$1,0)),"#data"),IFERROR(W155*INDEX(indexy_SDcast!$A:$ALI,MATCH($R155,indexy_SDcast!$K:$K,0),MATCH(X$2,indexy_SDcast!$2:$2,0)),"#ekrk")),"#popis")</f>
        <v>-13.150828520454976</v>
      </c>
      <c r="Y155" s="362">
        <f>IF($Q155="ekrk",IF($R155="data",IFERROR(INDEX(data!$A:$ALL,MATCH($M155,data!$A:$A,0),MATCH(Y$2,data!$1:$1,0)),"#data"),IFERROR(X155*INDEX(indexy_SDcast!$A:$ALI,MATCH($R155,indexy_SDcast!$K:$K,0),MATCH(Y$2,indexy_SDcast!$2:$2,0)),"#ekrk")),"#popis")</f>
        <v>-17.791071595933616</v>
      </c>
    </row>
    <row r="156" spans="1:44" s="18" customFormat="1" x14ac:dyDescent="0.25">
      <c r="A156" s="333" t="s">
        <v>706</v>
      </c>
      <c r="B156" s="334">
        <v>-14.818079999999998</v>
      </c>
      <c r="C156" s="164"/>
      <c r="D156" s="333" t="s">
        <v>706</v>
      </c>
      <c r="E156" s="334">
        <v>-14.818079999999998</v>
      </c>
      <c r="F156" s="164"/>
      <c r="G156" s="333" t="s">
        <v>706</v>
      </c>
      <c r="H156" s="334">
        <v>-14.818079999999998</v>
      </c>
      <c r="I156" s="164"/>
      <c r="J156" s="333" t="s">
        <v>706</v>
      </c>
      <c r="K156" s="334">
        <v>-14.818079999999998</v>
      </c>
      <c r="L156" s="164"/>
      <c r="M156" s="358" t="str">
        <f t="shared" si="17"/>
        <v>D29PAY</v>
      </c>
      <c r="N156" s="239">
        <f t="shared" si="18"/>
        <v>-14.818079999999998</v>
      </c>
      <c r="O156" s="243"/>
      <c r="P156" s="243">
        <f>MATCH(Q156,Q157:Q$1550,0)</f>
        <v>2</v>
      </c>
      <c r="Q156" s="243" t="s">
        <v>697</v>
      </c>
      <c r="R156" s="359" t="str">
        <f>IF(Q156="ekrk",INDEX(indexy_SDcast!$A:$C,MATCH($M156,indexy_SDcast!$A:$A,0),2),"")</f>
        <v/>
      </c>
      <c r="S156" s="240"/>
      <c r="T156" s="363" t="str">
        <f t="shared" si="22"/>
        <v>D29PAY</v>
      </c>
      <c r="U156" s="244">
        <f>SUM(U157:U157)</f>
        <v>-14.818079999999998</v>
      </c>
      <c r="V156" s="244">
        <f>SUM(V157:V157)</f>
        <v>-18.970582318103745</v>
      </c>
      <c r="W156" s="244">
        <f>SUM(W157:W157)</f>
        <v>-19.183836432836266</v>
      </c>
      <c r="X156" s="244">
        <f>SUM(X157:X157)</f>
        <v>-12.322276720491921</v>
      </c>
      <c r="Y156" s="359">
        <f>SUM(Y157:Y157)</f>
        <v>-16.670166979836289</v>
      </c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</row>
    <row r="157" spans="1:44" x14ac:dyDescent="0.25">
      <c r="A157" s="330">
        <v>637035</v>
      </c>
      <c r="B157" s="329">
        <v>-14.818079999999998</v>
      </c>
      <c r="C157" s="157"/>
      <c r="D157" s="330">
        <v>637035</v>
      </c>
      <c r="E157" s="329">
        <v>-14.818079999999998</v>
      </c>
      <c r="F157" s="157"/>
      <c r="G157" s="330">
        <v>637035</v>
      </c>
      <c r="H157" s="329">
        <v>-14.818079999999998</v>
      </c>
      <c r="I157" s="157"/>
      <c r="J157" s="330">
        <v>637035</v>
      </c>
      <c r="K157" s="329">
        <v>-14.818079999999998</v>
      </c>
      <c r="L157" s="157"/>
      <c r="M157" s="360">
        <f t="shared" si="17"/>
        <v>637035</v>
      </c>
      <c r="N157" s="237">
        <f t="shared" si="18"/>
        <v>-14.818079999999998</v>
      </c>
      <c r="O157" s="361"/>
      <c r="P157" s="361"/>
      <c r="Q157" s="361" t="s">
        <v>698</v>
      </c>
      <c r="R157" s="362">
        <v>35</v>
      </c>
      <c r="S157" s="236"/>
      <c r="T157" s="364">
        <f t="shared" si="22"/>
        <v>637035</v>
      </c>
      <c r="U157" s="365">
        <f>N157</f>
        <v>-14.818079999999998</v>
      </c>
      <c r="V157" s="365">
        <f>IF($Q157="ekrk",IF($R157="data",IFERROR(INDEX(data!$A:$ALL,MATCH($M157,data!$A:$A,0),MATCH(V$2,data!$1:$1,0)),"#data"),IFERROR(U157*INDEX(indexy_SDcast!$A:$ALI,MATCH($R157,indexy_SDcast!$K:$K,0),MATCH(V$2,indexy_SDcast!$2:$2,0)),"#ekrk")),"#popis")</f>
        <v>-18.970582318103745</v>
      </c>
      <c r="W157" s="365">
        <f>IF($Q157="ekrk",IF($R157="data",IFERROR(INDEX(data!$A:$ALL,MATCH($M157,data!$A:$A,0),MATCH(W$2,data!$1:$1,0)),"#data"),IFERROR(V157*INDEX(indexy_SDcast!$A:$ALI,MATCH($R157,indexy_SDcast!$K:$K,0),MATCH(W$2,indexy_SDcast!$2:$2,0)),"#ekrk")),"#popis")</f>
        <v>-19.183836432836266</v>
      </c>
      <c r="X157" s="365">
        <f>IF($Q157="ekrk",IF($R157="data",IFERROR(INDEX(data!$A:$ALL,MATCH($M157,data!$A:$A,0),MATCH(X$2,data!$1:$1,0)),"#data"),IFERROR(W157*INDEX(indexy_SDcast!$A:$ALI,MATCH($R157,indexy_SDcast!$K:$K,0),MATCH(X$2,indexy_SDcast!$2:$2,0)),"#ekrk")),"#popis")</f>
        <v>-12.322276720491921</v>
      </c>
      <c r="Y157" s="362">
        <f>IF($Q157="ekrk",IF($R157="data",IFERROR(INDEX(data!$A:$ALL,MATCH($M157,data!$A:$A,0),MATCH(Y$2,data!$1:$1,0)),"#data"),IFERROR(X157*INDEX(indexy_SDcast!$A:$ALI,MATCH($R157,indexy_SDcast!$K:$K,0),MATCH(Y$2,indexy_SDcast!$2:$2,0)),"#ekrk")),"#popis")</f>
        <v>-16.670166979836289</v>
      </c>
    </row>
    <row r="158" spans="1:44" s="18" customFormat="1" x14ac:dyDescent="0.25">
      <c r="A158" s="333" t="s">
        <v>708</v>
      </c>
      <c r="B158" s="334">
        <v>-1.4210854715202004E-14</v>
      </c>
      <c r="C158" s="164"/>
      <c r="D158" s="333" t="s">
        <v>708</v>
      </c>
      <c r="E158" s="334">
        <v>-1.4210854715202004E-14</v>
      </c>
      <c r="F158" s="164"/>
      <c r="G158" s="333" t="s">
        <v>708</v>
      </c>
      <c r="H158" s="334">
        <v>-1.4210854715202004E-14</v>
      </c>
      <c r="I158" s="164"/>
      <c r="J158" s="333" t="s">
        <v>708</v>
      </c>
      <c r="K158" s="334">
        <v>-1.4210854715202004E-14</v>
      </c>
      <c r="L158" s="164"/>
      <c r="M158" s="358" t="str">
        <f t="shared" si="17"/>
        <v>D319PAY</v>
      </c>
      <c r="N158" s="239">
        <f t="shared" si="18"/>
        <v>-1.4210854715202004E-14</v>
      </c>
      <c r="O158" s="243"/>
      <c r="P158" s="243">
        <f>MATCH(Q158,Q159:Q$1550,0)</f>
        <v>2</v>
      </c>
      <c r="Q158" s="243" t="s">
        <v>697</v>
      </c>
      <c r="R158" s="359" t="str">
        <f>IF(Q158="ekrk",INDEX(indexy_SDcast!$A:$C,MATCH($M158,indexy_SDcast!$A:$A,0),2),"")</f>
        <v/>
      </c>
      <c r="S158" s="240"/>
      <c r="T158" s="363" t="str">
        <f t="shared" si="22"/>
        <v>D319PAY</v>
      </c>
      <c r="U158" s="244">
        <f>SUM(U159:U159)</f>
        <v>-1.4210854715202004E-14</v>
      </c>
      <c r="V158" s="244">
        <f>SUM(V159:V159)</f>
        <v>-1.8193192990276228E-14</v>
      </c>
      <c r="W158" s="244">
        <f>SUM(W159:W159)</f>
        <v>-1.839770823394362E-14</v>
      </c>
      <c r="X158" s="244">
        <f>SUM(X159:X159)</f>
        <v>-1.1817326147208444E-14</v>
      </c>
      <c r="Y158" s="359">
        <f>SUM(Y159:Y159)</f>
        <v>-1.5987045624575606E-14</v>
      </c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</row>
    <row r="159" spans="1:44" x14ac:dyDescent="0.25">
      <c r="A159" s="330">
        <v>644002</v>
      </c>
      <c r="B159" s="329">
        <v>-1.4210854715202004E-14</v>
      </c>
      <c r="C159" s="157"/>
      <c r="D159" s="330">
        <v>644002</v>
      </c>
      <c r="E159" s="329">
        <v>-1.4210854715202004E-14</v>
      </c>
      <c r="F159" s="157"/>
      <c r="G159" s="330">
        <v>644002</v>
      </c>
      <c r="H159" s="329">
        <v>-1.4210854715202004E-14</v>
      </c>
      <c r="I159" s="157"/>
      <c r="J159" s="330">
        <v>644002</v>
      </c>
      <c r="K159" s="329">
        <v>-1.4210854715202004E-14</v>
      </c>
      <c r="L159" s="157"/>
      <c r="M159" s="360">
        <f t="shared" si="17"/>
        <v>644002</v>
      </c>
      <c r="N159" s="237">
        <f t="shared" si="18"/>
        <v>-1.4210854715202004E-14</v>
      </c>
      <c r="O159" s="361"/>
      <c r="P159" s="361"/>
      <c r="Q159" s="361" t="s">
        <v>698</v>
      </c>
      <c r="R159" s="362">
        <v>35</v>
      </c>
      <c r="S159" s="236"/>
      <c r="T159" s="364">
        <f t="shared" si="22"/>
        <v>644002</v>
      </c>
      <c r="U159" s="365">
        <f>N159</f>
        <v>-1.4210854715202004E-14</v>
      </c>
      <c r="V159" s="365">
        <f>IF($Q159="ekrk",IF($R159="data",IFERROR(INDEX(data!$A:$ALL,MATCH($M159,data!$A:$A,0),MATCH(V$2,data!$1:$1,0)),"#data"),IFERROR(U159*INDEX(indexy_SDcast!$A:$ALI,MATCH($R159,indexy_SDcast!$K:$K,0),MATCH(V$2,indexy_SDcast!$2:$2,0)),"#ekrk")),"#popis")</f>
        <v>-1.8193192990276228E-14</v>
      </c>
      <c r="W159" s="365">
        <f>IF($Q159="ekrk",IF($R159="data",IFERROR(INDEX(data!$A:$ALL,MATCH($M159,data!$A:$A,0),MATCH(W$2,data!$1:$1,0)),"#data"),IFERROR(V159*INDEX(indexy_SDcast!$A:$ALI,MATCH($R159,indexy_SDcast!$K:$K,0),MATCH(W$2,indexy_SDcast!$2:$2,0)),"#ekrk")),"#popis")</f>
        <v>-1.839770823394362E-14</v>
      </c>
      <c r="X159" s="365">
        <f>IF($Q159="ekrk",IF($R159="data",IFERROR(INDEX(data!$A:$ALL,MATCH($M159,data!$A:$A,0),MATCH(X$2,data!$1:$1,0)),"#data"),IFERROR(W159*INDEX(indexy_SDcast!$A:$ALI,MATCH($R159,indexy_SDcast!$K:$K,0),MATCH(X$2,indexy_SDcast!$2:$2,0)),"#ekrk")),"#popis")</f>
        <v>-1.1817326147208444E-14</v>
      </c>
      <c r="Y159" s="362">
        <f>IF($Q159="ekrk",IF($R159="data",IFERROR(INDEX(data!$A:$ALL,MATCH($M159,data!$A:$A,0),MATCH(Y$2,data!$1:$1,0)),"#data"),IFERROR(X159*INDEX(indexy_SDcast!$A:$ALI,MATCH($R159,indexy_SDcast!$K:$K,0),MATCH(Y$2,indexy_SDcast!$2:$2,0)),"#ekrk")),"#popis")</f>
        <v>-1.5987045624575606E-14</v>
      </c>
    </row>
    <row r="160" spans="1:44" s="18" customFormat="1" x14ac:dyDescent="0.25">
      <c r="A160" s="333" t="s">
        <v>709</v>
      </c>
      <c r="B160" s="334">
        <v>0</v>
      </c>
      <c r="C160" s="164"/>
      <c r="D160" s="333" t="s">
        <v>709</v>
      </c>
      <c r="E160" s="334">
        <v>0</v>
      </c>
      <c r="F160" s="164"/>
      <c r="G160" s="333" t="s">
        <v>709</v>
      </c>
      <c r="H160" s="334">
        <v>0</v>
      </c>
      <c r="I160" s="164"/>
      <c r="J160" s="333" t="s">
        <v>709</v>
      </c>
      <c r="K160" s="334">
        <v>0</v>
      </c>
      <c r="L160" s="164"/>
      <c r="M160" s="358" t="str">
        <f t="shared" si="17"/>
        <v>D39PAY</v>
      </c>
      <c r="N160" s="239">
        <f t="shared" si="18"/>
        <v>0</v>
      </c>
      <c r="O160" s="243"/>
      <c r="P160" s="243">
        <f>MATCH(Q160,Q161:Q$1550,0)</f>
        <v>2</v>
      </c>
      <c r="Q160" s="243" t="s">
        <v>697</v>
      </c>
      <c r="R160" s="359" t="str">
        <f>IF(Q160="ekrk",INDEX(indexy_SDcast!$A:$C,MATCH($M160,indexy_SDcast!$A:$A,0),2),"")</f>
        <v/>
      </c>
      <c r="S160" s="240"/>
      <c r="T160" s="363" t="str">
        <f t="shared" si="22"/>
        <v>D39PAY</v>
      </c>
      <c r="U160" s="244">
        <f>SUM(U161:U161)</f>
        <v>0</v>
      </c>
      <c r="V160" s="244">
        <f>SUM(V161:V161)</f>
        <v>0</v>
      </c>
      <c r="W160" s="244">
        <f>SUM(W161:W161)</f>
        <v>0</v>
      </c>
      <c r="X160" s="244">
        <f>SUM(X161:X161)</f>
        <v>0</v>
      </c>
      <c r="Y160" s="359">
        <f>SUM(Y161:Y161)</f>
        <v>0</v>
      </c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</row>
    <row r="161" spans="1:44" x14ac:dyDescent="0.25">
      <c r="A161" s="330">
        <v>644002</v>
      </c>
      <c r="B161" s="329">
        <v>0</v>
      </c>
      <c r="C161" s="157"/>
      <c r="D161" s="330">
        <v>644002</v>
      </c>
      <c r="E161" s="329">
        <v>0</v>
      </c>
      <c r="F161" s="157"/>
      <c r="G161" s="330">
        <v>644002</v>
      </c>
      <c r="H161" s="329">
        <v>0</v>
      </c>
      <c r="I161" s="157"/>
      <c r="J161" s="330">
        <v>644002</v>
      </c>
      <c r="K161" s="329">
        <v>0</v>
      </c>
      <c r="L161" s="157"/>
      <c r="M161" s="360">
        <f t="shared" si="17"/>
        <v>644002</v>
      </c>
      <c r="N161" s="237">
        <f t="shared" si="18"/>
        <v>0</v>
      </c>
      <c r="O161" s="361"/>
      <c r="P161" s="361"/>
      <c r="Q161" s="361" t="s">
        <v>698</v>
      </c>
      <c r="R161" s="362">
        <v>35</v>
      </c>
      <c r="S161" s="236"/>
      <c r="T161" s="364">
        <f t="shared" si="22"/>
        <v>644002</v>
      </c>
      <c r="U161" s="365">
        <f>N161</f>
        <v>0</v>
      </c>
      <c r="V161" s="365">
        <f>IF($Q161="ekrk",IF($R161="data",IFERROR(INDEX(data!$A:$ALL,MATCH($M161,data!$A:$A,0),MATCH(V$2,data!$1:$1,0)),"#data"),IFERROR(U161*INDEX(indexy_SDcast!$A:$ALI,MATCH($R161,indexy_SDcast!$K:$K,0),MATCH(V$2,indexy_SDcast!$2:$2,0)),"#ekrk")),"#popis")</f>
        <v>0</v>
      </c>
      <c r="W161" s="365">
        <f>IF($Q161="ekrk",IF($R161="data",IFERROR(INDEX(data!$A:$ALL,MATCH($M161,data!$A:$A,0),MATCH(W$2,data!$1:$1,0)),"#data"),IFERROR(V161*INDEX(indexy_SDcast!$A:$ALI,MATCH($R161,indexy_SDcast!$K:$K,0),MATCH(W$2,indexy_SDcast!$2:$2,0)),"#ekrk")),"#popis")</f>
        <v>0</v>
      </c>
      <c r="X161" s="365">
        <f>IF($Q161="ekrk",IF($R161="data",IFERROR(INDEX(data!$A:$ALL,MATCH($M161,data!$A:$A,0),MATCH(X$2,data!$1:$1,0)),"#data"),IFERROR(W161*INDEX(indexy_SDcast!$A:$ALI,MATCH($R161,indexy_SDcast!$K:$K,0),MATCH(X$2,indexy_SDcast!$2:$2,0)),"#ekrk")),"#popis")</f>
        <v>0</v>
      </c>
      <c r="Y161" s="362">
        <f>IF($Q161="ekrk",IF($R161="data",IFERROR(INDEX(data!$A:$ALL,MATCH($M161,data!$A:$A,0),MATCH(Y$2,data!$1:$1,0)),"#data"),IFERROR(X161*INDEX(indexy_SDcast!$A:$ALI,MATCH($R161,indexy_SDcast!$K:$K,0),MATCH(Y$2,indexy_SDcast!$2:$2,0)),"#ekrk")),"#popis")</f>
        <v>0</v>
      </c>
    </row>
    <row r="162" spans="1:44" s="18" customFormat="1" x14ac:dyDescent="0.25">
      <c r="A162" s="333" t="s">
        <v>713</v>
      </c>
      <c r="B162" s="334">
        <v>-1.6284799999999999</v>
      </c>
      <c r="C162" s="164"/>
      <c r="D162" s="333" t="s">
        <v>713</v>
      </c>
      <c r="E162" s="334">
        <v>-1.6284799999999999</v>
      </c>
      <c r="F162" s="164"/>
      <c r="G162" s="333" t="s">
        <v>713</v>
      </c>
      <c r="H162" s="334">
        <v>-1.6284799999999999</v>
      </c>
      <c r="I162" s="164"/>
      <c r="J162" s="333" t="s">
        <v>713</v>
      </c>
      <c r="K162" s="334">
        <v>-1.6284799999999999</v>
      </c>
      <c r="L162" s="164"/>
      <c r="M162" s="358" t="str">
        <f t="shared" si="17"/>
        <v>D41PUBPAY</v>
      </c>
      <c r="N162" s="239">
        <f t="shared" si="18"/>
        <v>-1.6284799999999999</v>
      </c>
      <c r="O162" s="243"/>
      <c r="P162" s="243">
        <f>MATCH(Q162,Q163:Q$1550,0)</f>
        <v>2</v>
      </c>
      <c r="Q162" s="243" t="s">
        <v>697</v>
      </c>
      <c r="R162" s="359" t="str">
        <f>IF(Q162="ekrk",INDEX(indexy_SDcast!$A:$C,MATCH($M162,indexy_SDcast!$A:$A,0),2),"")</f>
        <v/>
      </c>
      <c r="S162" s="240"/>
      <c r="T162" s="363" t="str">
        <f t="shared" si="22"/>
        <v>D41PUBPAY</v>
      </c>
      <c r="U162" s="244">
        <f>SUM(U163:U163)</f>
        <v>-1.6284799999999999</v>
      </c>
      <c r="V162" s="244">
        <f>SUM(V163:V163)</f>
        <v>-2.0848324407335892</v>
      </c>
      <c r="W162" s="244">
        <f>SUM(W163:W163)</f>
        <v>-2.1082686794878418</v>
      </c>
      <c r="X162" s="244">
        <f>SUM(X163:X163)</f>
        <v>-1.3541957658338111</v>
      </c>
      <c r="Y162" s="359">
        <f>SUM(Y163:Y163)</f>
        <v>-1.8320209853991742</v>
      </c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</row>
    <row r="163" spans="1:44" x14ac:dyDescent="0.25">
      <c r="A163" s="330">
        <v>651002</v>
      </c>
      <c r="B163" s="329">
        <v>-1.6284799999999999</v>
      </c>
      <c r="C163" s="157"/>
      <c r="D163" s="330">
        <v>651002</v>
      </c>
      <c r="E163" s="329">
        <v>-1.6284799999999999</v>
      </c>
      <c r="F163" s="157"/>
      <c r="G163" s="330">
        <v>651002</v>
      </c>
      <c r="H163" s="329">
        <v>-1.6284799999999999</v>
      </c>
      <c r="I163" s="157"/>
      <c r="J163" s="330">
        <v>651002</v>
      </c>
      <c r="K163" s="329">
        <v>-1.6284799999999999</v>
      </c>
      <c r="L163" s="157"/>
      <c r="M163" s="360">
        <f t="shared" si="17"/>
        <v>651002</v>
      </c>
      <c r="N163" s="237">
        <f t="shared" si="18"/>
        <v>-1.6284799999999999</v>
      </c>
      <c r="O163" s="361"/>
      <c r="P163" s="361"/>
      <c r="Q163" s="361" t="s">
        <v>698</v>
      </c>
      <c r="R163" s="362">
        <v>35</v>
      </c>
      <c r="S163" s="236"/>
      <c r="T163" s="364">
        <f t="shared" si="22"/>
        <v>651002</v>
      </c>
      <c r="U163" s="365">
        <f>N163</f>
        <v>-1.6284799999999999</v>
      </c>
      <c r="V163" s="365">
        <f>IF($Q163="ekrk",IF($R163="data",IFERROR(INDEX(data!$A:$ALL,MATCH($M163,data!$A:$A,0),MATCH(V$2,data!$1:$1,0)),"#data"),IFERROR(U163*INDEX(indexy_SDcast!$A:$ALI,MATCH($R163,indexy_SDcast!$K:$K,0),MATCH(V$2,indexy_SDcast!$2:$2,0)),"#ekrk")),"#popis")</f>
        <v>-2.0848324407335892</v>
      </c>
      <c r="W163" s="365">
        <f>IF($Q163="ekrk",IF($R163="data",IFERROR(INDEX(data!$A:$ALL,MATCH($M163,data!$A:$A,0),MATCH(W$2,data!$1:$1,0)),"#data"),IFERROR(V163*INDEX(indexy_SDcast!$A:$ALI,MATCH($R163,indexy_SDcast!$K:$K,0),MATCH(W$2,indexy_SDcast!$2:$2,0)),"#ekrk")),"#popis")</f>
        <v>-2.1082686794878418</v>
      </c>
      <c r="X163" s="365">
        <f>IF($Q163="ekrk",IF($R163="data",IFERROR(INDEX(data!$A:$ALL,MATCH($M163,data!$A:$A,0),MATCH(X$2,data!$1:$1,0)),"#data"),IFERROR(W163*INDEX(indexy_SDcast!$A:$ALI,MATCH($R163,indexy_SDcast!$K:$K,0),MATCH(X$2,indexy_SDcast!$2:$2,0)),"#ekrk")),"#popis")</f>
        <v>-1.3541957658338111</v>
      </c>
      <c r="Y163" s="362">
        <f>IF($Q163="ekrk",IF($R163="data",IFERROR(INDEX(data!$A:$ALL,MATCH($M163,data!$A:$A,0),MATCH(Y$2,data!$1:$1,0)),"#data"),IFERROR(X163*INDEX(indexy_SDcast!$A:$ALI,MATCH($R163,indexy_SDcast!$K:$K,0),MATCH(Y$2,indexy_SDcast!$2:$2,0)),"#ekrk")),"#popis")</f>
        <v>-1.8320209853991742</v>
      </c>
    </row>
    <row r="164" spans="1:44" s="18" customFormat="1" x14ac:dyDescent="0.25">
      <c r="A164" s="333" t="s">
        <v>728</v>
      </c>
      <c r="B164" s="334">
        <v>-610.40735000000018</v>
      </c>
      <c r="C164" s="164"/>
      <c r="D164" s="333" t="s">
        <v>728</v>
      </c>
      <c r="E164" s="334">
        <v>-610.40735000000018</v>
      </c>
      <c r="F164" s="164"/>
      <c r="G164" s="333" t="s">
        <v>728</v>
      </c>
      <c r="H164" s="334">
        <v>-610.40735000000018</v>
      </c>
      <c r="I164" s="164"/>
      <c r="J164" s="333" t="s">
        <v>728</v>
      </c>
      <c r="K164" s="334">
        <v>-610.40735000000018</v>
      </c>
      <c r="L164" s="164"/>
      <c r="M164" s="358" t="str">
        <f t="shared" si="17"/>
        <v>D624PAY</v>
      </c>
      <c r="N164" s="239">
        <f t="shared" si="18"/>
        <v>-610.40735000000018</v>
      </c>
      <c r="O164" s="243"/>
      <c r="P164" s="243">
        <f>MATCH(Q164,Q165:Q$1550,0)</f>
        <v>6</v>
      </c>
      <c r="Q164" s="243" t="s">
        <v>697</v>
      </c>
      <c r="R164" s="359" t="str">
        <f>IF(Q164="ekrk",INDEX(indexy_SDcast!$A:$C,MATCH($M164,indexy_SDcast!$A:$A,0),2),"")</f>
        <v/>
      </c>
      <c r="S164" s="240"/>
      <c r="T164" s="363" t="str">
        <f t="shared" si="22"/>
        <v>D624PAY</v>
      </c>
      <c r="U164" s="244">
        <f>SUM(U165:U169)</f>
        <v>-610.40735000000018</v>
      </c>
      <c r="V164" s="244">
        <f>SUM(V165:V169)</f>
        <v>-781.4631099812234</v>
      </c>
      <c r="W164" s="244">
        <f>SUM(W165:W169)</f>
        <v>-790.24777567681099</v>
      </c>
      <c r="X164" s="244">
        <f>SUM(X165:X169)</f>
        <v>-507.59668451797842</v>
      </c>
      <c r="Y164" s="359">
        <f>SUM(Y165:Y169)</f>
        <v>-686.7011414582305</v>
      </c>
      <c r="Z164" s="58"/>
      <c r="AA164" s="58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</row>
    <row r="165" spans="1:44" x14ac:dyDescent="0.25">
      <c r="A165" s="330">
        <v>642014</v>
      </c>
      <c r="B165" s="329">
        <v>-413.24976000000009</v>
      </c>
      <c r="C165" s="157"/>
      <c r="D165" s="330">
        <v>642014</v>
      </c>
      <c r="E165" s="329">
        <v>-413.24976000000009</v>
      </c>
      <c r="F165" s="157"/>
      <c r="G165" s="330">
        <v>642014</v>
      </c>
      <c r="H165" s="329">
        <v>-413.24976000000009</v>
      </c>
      <c r="I165" s="157"/>
      <c r="J165" s="330">
        <v>642014</v>
      </c>
      <c r="K165" s="329">
        <v>-413.24976000000009</v>
      </c>
      <c r="L165" s="157"/>
      <c r="M165" s="360">
        <f t="shared" si="17"/>
        <v>642014</v>
      </c>
      <c r="N165" s="237">
        <f t="shared" si="18"/>
        <v>-413.24976000000009</v>
      </c>
      <c r="O165" s="361"/>
      <c r="P165" s="361"/>
      <c r="Q165" s="361" t="s">
        <v>698</v>
      </c>
      <c r="R165" s="362">
        <v>35</v>
      </c>
      <c r="S165" s="236"/>
      <c r="T165" s="364">
        <f t="shared" si="22"/>
        <v>642014</v>
      </c>
      <c r="U165" s="365">
        <f>N165</f>
        <v>-413.24976000000009</v>
      </c>
      <c r="V165" s="365">
        <f>IF($Q165="ekrk",IF($R165="data",IFERROR(INDEX(data!$A:$ALL,MATCH($M165,data!$A:$A,0),MATCH(V$2,data!$1:$1,0)),"#data"),IFERROR(U165*INDEX(indexy_SDcast!$A:$ALI,MATCH($R165,indexy_SDcast!$K:$K,0),MATCH(V$2,indexy_SDcast!$2:$2,0)),"#ekrk")),"#popis")</f>
        <v>-529.0556259661588</v>
      </c>
      <c r="W165" s="365">
        <f>IF($Q165="ekrk",IF($R165="data",IFERROR(INDEX(data!$A:$ALL,MATCH($M165,data!$A:$A,0),MATCH(W$2,data!$1:$1,0)),"#data"),IFERROR(V165*INDEX(indexy_SDcast!$A:$ALI,MATCH($R165,indexy_SDcast!$K:$K,0),MATCH(W$2,indexy_SDcast!$2:$2,0)),"#ekrk")),"#popis")</f>
        <v>-535.00290197845106</v>
      </c>
      <c r="X165" s="365">
        <f>IF($Q165="ekrk",IF($R165="data",IFERROR(INDEX(data!$A:$ALL,MATCH($M165,data!$A:$A,0),MATCH(X$2,data!$1:$1,0)),"#data"),IFERROR(W165*INDEX(indexy_SDcast!$A:$ALI,MATCH($R165,indexy_SDcast!$K:$K,0),MATCH(X$2,indexy_SDcast!$2:$2,0)),"#ekrk")),"#popis")</f>
        <v>-343.64626843672562</v>
      </c>
      <c r="Y165" s="362">
        <f>IF($Q165="ekrk",IF($R165="data",IFERROR(INDEX(data!$A:$ALL,MATCH($M165,data!$A:$A,0),MATCH(Y$2,data!$1:$1,0)),"#data"),IFERROR(X165*INDEX(indexy_SDcast!$A:$ALI,MATCH($R165,indexy_SDcast!$K:$K,0),MATCH(Y$2,indexy_SDcast!$2:$2,0)),"#ekrk")),"#popis")</f>
        <v>-464.90115477695315</v>
      </c>
    </row>
    <row r="166" spans="1:44" x14ac:dyDescent="0.25">
      <c r="A166" s="330">
        <v>642029</v>
      </c>
      <c r="B166" s="329">
        <v>-0.12572</v>
      </c>
      <c r="C166" s="157"/>
      <c r="D166" s="330">
        <v>642029</v>
      </c>
      <c r="E166" s="329">
        <v>-0.12572</v>
      </c>
      <c r="F166" s="157"/>
      <c r="G166" s="330">
        <v>642029</v>
      </c>
      <c r="H166" s="329">
        <v>-0.12572</v>
      </c>
      <c r="I166" s="157"/>
      <c r="J166" s="330">
        <v>642029</v>
      </c>
      <c r="K166" s="329">
        <v>-0.12572</v>
      </c>
      <c r="L166" s="157"/>
      <c r="M166" s="360">
        <f t="shared" si="17"/>
        <v>642029</v>
      </c>
      <c r="N166" s="237">
        <f t="shared" si="18"/>
        <v>-0.12572</v>
      </c>
      <c r="O166" s="361"/>
      <c r="P166" s="361"/>
      <c r="Q166" s="361" t="s">
        <v>698</v>
      </c>
      <c r="R166" s="362">
        <v>35</v>
      </c>
      <c r="S166" s="236"/>
      <c r="T166" s="364">
        <f t="shared" si="22"/>
        <v>642029</v>
      </c>
      <c r="U166" s="365">
        <f>N166</f>
        <v>-0.12572</v>
      </c>
      <c r="V166" s="365">
        <f>IF($Q166="ekrk",IF($R166="data",IFERROR(INDEX(data!$A:$ALL,MATCH($M166,data!$A:$A,0),MATCH(V$2,data!$1:$1,0)),"#data"),IFERROR(U166*INDEX(indexy_SDcast!$A:$ALI,MATCH($R166,indexy_SDcast!$K:$K,0),MATCH(V$2,indexy_SDcast!$2:$2,0)),"#ekrk")),"#popis")</f>
        <v>-0.16095078505663371</v>
      </c>
      <c r="W166" s="365">
        <f>IF($Q166="ekrk",IF($R166="data",IFERROR(INDEX(data!$A:$ALL,MATCH($M166,data!$A:$A,0),MATCH(W$2,data!$1:$1,0)),"#data"),IFERROR(V166*INDEX(indexy_SDcast!$A:$ALI,MATCH($R166,indexy_SDcast!$K:$K,0),MATCH(W$2,indexy_SDcast!$2:$2,0)),"#ekrk")),"#popis")</f>
        <v>-0.16276008203061229</v>
      </c>
      <c r="X166" s="365">
        <f>IF($Q166="ekrk",IF($R166="data",IFERROR(INDEX(data!$A:$ALL,MATCH($M166,data!$A:$A,0),MATCH(X$2,data!$1:$1,0)),"#data"),IFERROR(W166*INDEX(indexy_SDcast!$A:$ALI,MATCH($R166,indexy_SDcast!$K:$K,0),MATCH(X$2,indexy_SDcast!$2:$2,0)),"#ekrk")),"#popis")</f>
        <v>-0.10454503075298853</v>
      </c>
      <c r="Y166" s="362">
        <f>IF($Q166="ekrk",IF($R166="data",IFERROR(INDEX(data!$A:$ALL,MATCH($M166,data!$A:$A,0),MATCH(Y$2,data!$1:$1,0)),"#data"),IFERROR(X166*INDEX(indexy_SDcast!$A:$ALI,MATCH($R166,indexy_SDcast!$K:$K,0),MATCH(Y$2,indexy_SDcast!$2:$2,0)),"#ekrk")),"#popis")</f>
        <v>-0.14143353205712333</v>
      </c>
    </row>
    <row r="167" spans="1:44" x14ac:dyDescent="0.25">
      <c r="A167" s="330">
        <v>642030</v>
      </c>
      <c r="B167" s="329">
        <v>-0.48252</v>
      </c>
      <c r="C167" s="157"/>
      <c r="D167" s="330">
        <v>642030</v>
      </c>
      <c r="E167" s="329">
        <v>-0.48252</v>
      </c>
      <c r="F167" s="157"/>
      <c r="G167" s="330">
        <v>642030</v>
      </c>
      <c r="H167" s="329">
        <v>-0.48252</v>
      </c>
      <c r="I167" s="157"/>
      <c r="J167" s="330">
        <v>642030</v>
      </c>
      <c r="K167" s="329">
        <v>-0.48252</v>
      </c>
      <c r="L167" s="157"/>
      <c r="M167" s="360">
        <f t="shared" si="17"/>
        <v>642030</v>
      </c>
      <c r="N167" s="237">
        <f t="shared" si="18"/>
        <v>-0.48252</v>
      </c>
      <c r="O167" s="361"/>
      <c r="P167" s="361"/>
      <c r="Q167" s="361" t="s">
        <v>698</v>
      </c>
      <c r="R167" s="362">
        <v>35</v>
      </c>
      <c r="S167" s="236"/>
      <c r="T167" s="364">
        <f t="shared" si="22"/>
        <v>642030</v>
      </c>
      <c r="U167" s="365">
        <f>N167</f>
        <v>-0.48252</v>
      </c>
      <c r="V167" s="365">
        <f>IF($Q167="ekrk",IF($R167="data",IFERROR(INDEX(data!$A:$ALL,MATCH($M167,data!$A:$A,0),MATCH(V$2,data!$1:$1,0)),"#data"),IFERROR(U167*INDEX(indexy_SDcast!$A:$ALI,MATCH($R167,indexy_SDcast!$K:$K,0),MATCH(V$2,indexy_SDcast!$2:$2,0)),"#ekrk")),"#popis")</f>
        <v>-0.61773761378879177</v>
      </c>
      <c r="W167" s="365">
        <f>IF($Q167="ekrk",IF($R167="data",IFERROR(INDEX(data!$A:$ALL,MATCH($M167,data!$A:$A,0),MATCH(W$2,data!$1:$1,0)),"#data"),IFERROR(V167*INDEX(indexy_SDcast!$A:$ALI,MATCH($R167,indexy_SDcast!$K:$K,0),MATCH(W$2,indexy_SDcast!$2:$2,0)),"#ekrk")),"#popis")</f>
        <v>-0.62468179113435451</v>
      </c>
      <c r="X167" s="365">
        <f>IF($Q167="ekrk",IF($R167="data",IFERROR(INDEX(data!$A:$ALL,MATCH($M167,data!$A:$A,0),MATCH(X$2,data!$1:$1,0)),"#data"),IFERROR(W167*INDEX(indexy_SDcast!$A:$ALI,MATCH($R167,indexy_SDcast!$K:$K,0),MATCH(X$2,indexy_SDcast!$2:$2,0)),"#ekrk")),"#popis")</f>
        <v>-0.40124934965742942</v>
      </c>
      <c r="Y167" s="362">
        <f>IF($Q167="ekrk",IF($R167="data",IFERROR(INDEX(data!$A:$ALL,MATCH($M167,data!$A:$A,0),MATCH(Y$2,data!$1:$1,0)),"#data"),IFERROR(X167*INDEX(indexy_SDcast!$A:$ALI,MATCH($R167,indexy_SDcast!$K:$K,0),MATCH(Y$2,indexy_SDcast!$2:$2,0)),"#ekrk")),"#popis")</f>
        <v>-0.54282936595770881</v>
      </c>
    </row>
    <row r="168" spans="1:44" x14ac:dyDescent="0.25">
      <c r="A168" s="330">
        <v>642032</v>
      </c>
      <c r="B168" s="329">
        <v>-0.19669999999999999</v>
      </c>
      <c r="C168" s="157"/>
      <c r="D168" s="330">
        <v>642032</v>
      </c>
      <c r="E168" s="329">
        <v>-0.19669999999999999</v>
      </c>
      <c r="F168" s="157"/>
      <c r="G168" s="330">
        <v>642032</v>
      </c>
      <c r="H168" s="329">
        <v>-0.19669999999999999</v>
      </c>
      <c r="I168" s="157"/>
      <c r="J168" s="330">
        <v>642032</v>
      </c>
      <c r="K168" s="329">
        <v>-0.19669999999999999</v>
      </c>
      <c r="L168" s="157"/>
      <c r="M168" s="360">
        <f t="shared" si="17"/>
        <v>642032</v>
      </c>
      <c r="N168" s="237">
        <f t="shared" si="18"/>
        <v>-0.19669999999999999</v>
      </c>
      <c r="O168" s="361"/>
      <c r="P168" s="361"/>
      <c r="Q168" s="361" t="s">
        <v>698</v>
      </c>
      <c r="R168" s="362">
        <v>35</v>
      </c>
      <c r="S168" s="236"/>
      <c r="T168" s="364">
        <f t="shared" si="22"/>
        <v>642032</v>
      </c>
      <c r="U168" s="365">
        <f>N168</f>
        <v>-0.19669999999999999</v>
      </c>
      <c r="V168" s="365">
        <f>IF($Q168="ekrk",IF($R168="data",IFERROR(INDEX(data!$A:$ALL,MATCH($M168,data!$A:$A,0),MATCH(V$2,data!$1:$1,0)),"#data"),IFERROR(U168*INDEX(indexy_SDcast!$A:$ALI,MATCH($R168,indexy_SDcast!$K:$K,0),MATCH(V$2,indexy_SDcast!$2:$2,0)),"#ekrk")),"#popis")</f>
        <v>-0.25182166258860839</v>
      </c>
      <c r="W168" s="365">
        <f>IF($Q168="ekrk",IF($R168="data",IFERROR(INDEX(data!$A:$ALL,MATCH($M168,data!$A:$A,0),MATCH(W$2,data!$1:$1,0)),"#data"),IFERROR(V168*INDEX(indexy_SDcast!$A:$ALI,MATCH($R168,indexy_SDcast!$K:$K,0),MATCH(W$2,indexy_SDcast!$2:$2,0)),"#ekrk")),"#popis")</f>
        <v>-0.25465246687417625</v>
      </c>
      <c r="X168" s="365">
        <f>IF($Q168="ekrk",IF($R168="data",IFERROR(INDEX(data!$A:$ALL,MATCH($M168,data!$A:$A,0),MATCH(X$2,data!$1:$1,0)),"#data"),IFERROR(W168*INDEX(indexy_SDcast!$A:$ALI,MATCH($R168,indexy_SDcast!$K:$K,0),MATCH(X$2,indexy_SDcast!$2:$2,0)),"#ekrk")),"#popis")</f>
        <v>-0.16356989778168027</v>
      </c>
      <c r="Y168" s="362">
        <f>IF($Q168="ekrk",IF($R168="data",IFERROR(INDEX(data!$A:$ALL,MATCH($M168,data!$A:$A,0),MATCH(Y$2,data!$1:$1,0)),"#data"),IFERROR(X168*INDEX(indexy_SDcast!$A:$ALI,MATCH($R168,indexy_SDcast!$K:$K,0),MATCH(Y$2,indexy_SDcast!$2:$2,0)),"#ekrk")),"#popis")</f>
        <v>-0.22128520327422974</v>
      </c>
    </row>
    <row r="169" spans="1:44" x14ac:dyDescent="0.25">
      <c r="A169" s="330">
        <v>642036</v>
      </c>
      <c r="B169" s="329">
        <v>-196.35264999999998</v>
      </c>
      <c r="C169" s="157"/>
      <c r="D169" s="330">
        <v>642036</v>
      </c>
      <c r="E169" s="329">
        <v>-196.35264999999998</v>
      </c>
      <c r="F169" s="157"/>
      <c r="G169" s="330">
        <v>642036</v>
      </c>
      <c r="H169" s="329">
        <v>-196.35264999999998</v>
      </c>
      <c r="I169" s="157"/>
      <c r="J169" s="330">
        <v>642036</v>
      </c>
      <c r="K169" s="329">
        <v>-196.35264999999998</v>
      </c>
      <c r="L169" s="157"/>
      <c r="M169" s="360">
        <f t="shared" si="17"/>
        <v>642036</v>
      </c>
      <c r="N169" s="237">
        <f t="shared" si="18"/>
        <v>-196.35264999999998</v>
      </c>
      <c r="O169" s="361"/>
      <c r="P169" s="361"/>
      <c r="Q169" s="361" t="s">
        <v>698</v>
      </c>
      <c r="R169" s="362">
        <v>35</v>
      </c>
      <c r="S169" s="236"/>
      <c r="T169" s="364">
        <f t="shared" si="22"/>
        <v>642036</v>
      </c>
      <c r="U169" s="365">
        <f>N169</f>
        <v>-196.35264999999998</v>
      </c>
      <c r="V169" s="365">
        <f>IF($Q169="ekrk",IF($R169="data",IFERROR(INDEX(data!$A:$ALL,MATCH($M169,data!$A:$A,0),MATCH(V$2,data!$1:$1,0)),"#data"),IFERROR(U169*INDEX(indexy_SDcast!$A:$ALI,MATCH($R169,indexy_SDcast!$K:$K,0),MATCH(V$2,indexy_SDcast!$2:$2,0)),"#ekrk")),"#popis")</f>
        <v>-251.37697395363051</v>
      </c>
      <c r="W169" s="365">
        <f>IF($Q169="ekrk",IF($R169="data",IFERROR(INDEX(data!$A:$ALL,MATCH($M169,data!$A:$A,0),MATCH(W$2,data!$1:$1,0)),"#data"),IFERROR(V169*INDEX(indexy_SDcast!$A:$ALI,MATCH($R169,indexy_SDcast!$K:$K,0),MATCH(W$2,indexy_SDcast!$2:$2,0)),"#ekrk")),"#popis")</f>
        <v>-254.20277935832092</v>
      </c>
      <c r="X169" s="365">
        <f>IF($Q169="ekrk",IF($R169="data",IFERROR(INDEX(data!$A:$ALL,MATCH($M169,data!$A:$A,0),MATCH(X$2,data!$1:$1,0)),"#data"),IFERROR(W169*INDEX(indexy_SDcast!$A:$ALI,MATCH($R169,indexy_SDcast!$K:$K,0),MATCH(X$2,indexy_SDcast!$2:$2,0)),"#ekrk")),"#popis")</f>
        <v>-163.28105180306073</v>
      </c>
      <c r="Y169" s="362">
        <f>IF($Q169="ekrk",IF($R169="data",IFERROR(INDEX(data!$A:$ALL,MATCH($M169,data!$A:$A,0),MATCH(Y$2,data!$1:$1,0)),"#data"),IFERROR(X169*INDEX(indexy_SDcast!$A:$ALI,MATCH($R169,indexy_SDcast!$K:$K,0),MATCH(Y$2,indexy_SDcast!$2:$2,0)),"#ekrk")),"#popis")</f>
        <v>-220.89443857998825</v>
      </c>
    </row>
    <row r="170" spans="1:44" s="18" customFormat="1" x14ac:dyDescent="0.25">
      <c r="A170" s="333" t="s">
        <v>730</v>
      </c>
      <c r="B170" s="334">
        <v>-16.712299999999999</v>
      </c>
      <c r="C170" s="164"/>
      <c r="D170" s="333" t="s">
        <v>730</v>
      </c>
      <c r="E170" s="334">
        <v>-16.712299999999999</v>
      </c>
      <c r="F170" s="164"/>
      <c r="G170" s="333" t="s">
        <v>730</v>
      </c>
      <c r="H170" s="334">
        <v>-16.712299999999999</v>
      </c>
      <c r="I170" s="164"/>
      <c r="J170" s="333" t="s">
        <v>730</v>
      </c>
      <c r="K170" s="334">
        <v>-16.712299999999999</v>
      </c>
      <c r="L170" s="164"/>
      <c r="M170" s="358" t="str">
        <f t="shared" si="17"/>
        <v>D632PAY</v>
      </c>
      <c r="N170" s="239">
        <f t="shared" si="18"/>
        <v>-16.712299999999999</v>
      </c>
      <c r="O170" s="243"/>
      <c r="P170" s="243">
        <f>MATCH(Q170,Q171:Q$1550,0)</f>
        <v>3</v>
      </c>
      <c r="Q170" s="243" t="s">
        <v>697</v>
      </c>
      <c r="R170" s="359" t="str">
        <f>IF(Q170="ekrk",INDEX(indexy_SDcast!$A:$C,MATCH($M170,indexy_SDcast!$A:$A,0),2),"")</f>
        <v/>
      </c>
      <c r="S170" s="240"/>
      <c r="T170" s="363" t="str">
        <f t="shared" si="22"/>
        <v>D632PAY</v>
      </c>
      <c r="U170" s="244">
        <f>SUM(U171:U172)</f>
        <v>-16.712299999999999</v>
      </c>
      <c r="V170" s="244">
        <f>SUM(V171:V172)</f>
        <v>-21.395623648599901</v>
      </c>
      <c r="W170" s="244">
        <f>SUM(W171:W172)</f>
        <v>-21.63613839421096</v>
      </c>
      <c r="X170" s="244">
        <f>SUM(X171:X172)</f>
        <v>-13.8974540045591</v>
      </c>
      <c r="Y170" s="359">
        <f>SUM(Y171:Y172)</f>
        <v>-18.801142362378798</v>
      </c>
      <c r="Z170" s="58"/>
      <c r="AA170" s="58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</row>
    <row r="171" spans="1:44" x14ac:dyDescent="0.25">
      <c r="A171" s="330">
        <v>637016</v>
      </c>
      <c r="B171" s="329">
        <v>-0.89784999999999993</v>
      </c>
      <c r="C171" s="157"/>
      <c r="D171" s="330">
        <v>637016</v>
      </c>
      <c r="E171" s="329">
        <v>-0.89784999999999993</v>
      </c>
      <c r="F171" s="157"/>
      <c r="G171" s="330">
        <v>637016</v>
      </c>
      <c r="H171" s="329">
        <v>-0.89784999999999993</v>
      </c>
      <c r="I171" s="157"/>
      <c r="J171" s="330">
        <v>637016</v>
      </c>
      <c r="K171" s="329">
        <v>-0.89784999999999993</v>
      </c>
      <c r="L171" s="157"/>
      <c r="M171" s="360">
        <f t="shared" si="17"/>
        <v>637016</v>
      </c>
      <c r="N171" s="237">
        <f t="shared" si="18"/>
        <v>-0.89784999999999993</v>
      </c>
      <c r="O171" s="361"/>
      <c r="P171" s="361"/>
      <c r="Q171" s="361" t="s">
        <v>698</v>
      </c>
      <c r="R171" s="362">
        <v>35</v>
      </c>
      <c r="S171" s="236"/>
      <c r="T171" s="364">
        <f t="shared" si="22"/>
        <v>637016</v>
      </c>
      <c r="U171" s="365">
        <f>N171</f>
        <v>-0.89784999999999993</v>
      </c>
      <c r="V171" s="365">
        <f>IF($Q171="ekrk",IF($R171="data",IFERROR(INDEX(data!$A:$ALL,MATCH($M171,data!$A:$A,0),MATCH(V$2,data!$1:$1,0)),"#data"),IFERROR(U171*INDEX(indexy_SDcast!$A:$ALI,MATCH($R171,indexy_SDcast!$K:$K,0),MATCH(V$2,indexy_SDcast!$2:$2,0)),"#ekrk")),"#popis")</f>
        <v>-1.1494564298687446</v>
      </c>
      <c r="W171" s="365">
        <f>IF($Q171="ekrk",IF($R171="data",IFERROR(INDEX(data!$A:$ALL,MATCH($M171,data!$A:$A,0),MATCH(W$2,data!$1:$1,0)),"#data"),IFERROR(V171*INDEX(indexy_SDcast!$A:$ALI,MATCH($R171,indexy_SDcast!$K:$K,0),MATCH(W$2,indexy_SDcast!$2:$2,0)),"#ekrk")),"#popis")</f>
        <v>-1.162377820960748</v>
      </c>
      <c r="X171" s="365">
        <f>IF($Q171="ekrk",IF($R171="data",IFERROR(INDEX(data!$A:$ALL,MATCH($M171,data!$A:$A,0),MATCH(X$2,data!$1:$1,0)),"#data"),IFERROR(W171*INDEX(indexy_SDcast!$A:$ALI,MATCH($R171,indexy_SDcast!$K:$K,0),MATCH(X$2,indexy_SDcast!$2:$2,0)),"#ekrk")),"#popis")</f>
        <v>-0.74662548410412621</v>
      </c>
      <c r="Y171" s="362">
        <f>IF($Q171="ekrk",IF($R171="data",IFERROR(INDEX(data!$A:$ALL,MATCH($M171,data!$A:$A,0),MATCH(Y$2,data!$1:$1,0)),"#data"),IFERROR(X171*INDEX(indexy_SDcast!$A:$ALI,MATCH($R171,indexy_SDcast!$K:$K,0),MATCH(Y$2,indexy_SDcast!$2:$2,0)),"#ekrk")),"#popis")</f>
        <v>-1.0100707664451813</v>
      </c>
    </row>
    <row r="172" spans="1:44" x14ac:dyDescent="0.25">
      <c r="A172" s="330">
        <v>642015</v>
      </c>
      <c r="B172" s="329">
        <v>-15.814449999999999</v>
      </c>
      <c r="C172" s="157"/>
      <c r="D172" s="330">
        <v>642015</v>
      </c>
      <c r="E172" s="329">
        <v>-15.814449999999999</v>
      </c>
      <c r="F172" s="157"/>
      <c r="G172" s="330">
        <v>642015</v>
      </c>
      <c r="H172" s="329">
        <v>-15.814449999999999</v>
      </c>
      <c r="I172" s="157"/>
      <c r="J172" s="330">
        <v>642015</v>
      </c>
      <c r="K172" s="329">
        <v>-15.814449999999999</v>
      </c>
      <c r="L172" s="157"/>
      <c r="M172" s="360">
        <f t="shared" si="17"/>
        <v>642015</v>
      </c>
      <c r="N172" s="237">
        <f t="shared" si="18"/>
        <v>-15.814449999999999</v>
      </c>
      <c r="O172" s="361"/>
      <c r="P172" s="361"/>
      <c r="Q172" s="361" t="s">
        <v>698</v>
      </c>
      <c r="R172" s="362">
        <v>35</v>
      </c>
      <c r="S172" s="236"/>
      <c r="T172" s="364">
        <f t="shared" si="22"/>
        <v>642015</v>
      </c>
      <c r="U172" s="365">
        <f>N172</f>
        <v>-15.814449999999999</v>
      </c>
      <c r="V172" s="365">
        <f>IF($Q172="ekrk",IF($R172="data",IFERROR(INDEX(data!$A:$ALL,MATCH($M172,data!$A:$A,0),MATCH(V$2,data!$1:$1,0)),"#data"),IFERROR(U172*INDEX(indexy_SDcast!$A:$ALI,MATCH($R172,indexy_SDcast!$K:$K,0),MATCH(V$2,indexy_SDcast!$2:$2,0)),"#ekrk")),"#popis")</f>
        <v>-20.246167218731156</v>
      </c>
      <c r="W172" s="365">
        <f>IF($Q172="ekrk",IF($R172="data",IFERROR(INDEX(data!$A:$ALL,MATCH($M172,data!$A:$A,0),MATCH(W$2,data!$1:$1,0)),"#data"),IFERROR(V172*INDEX(indexy_SDcast!$A:$ALI,MATCH($R172,indexy_SDcast!$K:$K,0),MATCH(W$2,indexy_SDcast!$2:$2,0)),"#ekrk")),"#popis")</f>
        <v>-20.47376057325021</v>
      </c>
      <c r="X172" s="365">
        <f>IF($Q172="ekrk",IF($R172="data",IFERROR(INDEX(data!$A:$ALL,MATCH($M172,data!$A:$A,0),MATCH(X$2,data!$1:$1,0)),"#data"),IFERROR(W172*INDEX(indexy_SDcast!$A:$ALI,MATCH($R172,indexy_SDcast!$K:$K,0),MATCH(X$2,indexy_SDcast!$2:$2,0)),"#ekrk")),"#popis")</f>
        <v>-13.150828520454974</v>
      </c>
      <c r="Y172" s="362">
        <f>IF($Q172="ekrk",IF($R172="data",IFERROR(INDEX(data!$A:$ALL,MATCH($M172,data!$A:$A,0),MATCH(Y$2,data!$1:$1,0)),"#data"),IFERROR(X172*INDEX(indexy_SDcast!$A:$ALI,MATCH($R172,indexy_SDcast!$K:$K,0),MATCH(Y$2,indexy_SDcast!$2:$2,0)),"#ekrk")),"#popis")</f>
        <v>-17.791071595933616</v>
      </c>
    </row>
    <row r="173" spans="1:44" s="18" customFormat="1" x14ac:dyDescent="0.25">
      <c r="A173" s="333" t="s">
        <v>731</v>
      </c>
      <c r="B173" s="334">
        <v>-35.588390000000011</v>
      </c>
      <c r="C173" s="164"/>
      <c r="D173" s="333" t="s">
        <v>731</v>
      </c>
      <c r="E173" s="334">
        <v>-35.588390000000011</v>
      </c>
      <c r="F173" s="164"/>
      <c r="G173" s="333" t="s">
        <v>731</v>
      </c>
      <c r="H173" s="334">
        <v>-35.588390000000011</v>
      </c>
      <c r="I173" s="164"/>
      <c r="J173" s="333" t="s">
        <v>731</v>
      </c>
      <c r="K173" s="334">
        <v>-35.588390000000011</v>
      </c>
      <c r="L173" s="164"/>
      <c r="M173" s="358" t="str">
        <f t="shared" si="17"/>
        <v>D71PAY</v>
      </c>
      <c r="N173" s="239">
        <f t="shared" si="18"/>
        <v>-35.588390000000011</v>
      </c>
      <c r="O173" s="243"/>
      <c r="P173" s="243">
        <f>MATCH(Q173,Q174:Q$1550,0)</f>
        <v>3</v>
      </c>
      <c r="Q173" s="243" t="s">
        <v>697</v>
      </c>
      <c r="R173" s="359" t="str">
        <f>IF(Q173="ekrk",INDEX(indexy_SDcast!$A:$C,MATCH($M173,indexy_SDcast!$A:$A,0),2),"")</f>
        <v/>
      </c>
      <c r="S173" s="240"/>
      <c r="T173" s="363" t="str">
        <f t="shared" si="22"/>
        <v>D71PAY</v>
      </c>
      <c r="U173" s="244">
        <f>SUM(U174:U175)</f>
        <v>-35.588390000000011</v>
      </c>
      <c r="V173" s="244">
        <f>SUM(V174:V175)</f>
        <v>-45.561400806567406</v>
      </c>
      <c r="W173" s="244">
        <f>SUM(W174:W175)</f>
        <v>-46.073570440164048</v>
      </c>
      <c r="X173" s="244">
        <f>SUM(X174:X175)</f>
        <v>-29.59425172605274</v>
      </c>
      <c r="Y173" s="359">
        <f>SUM(Y174:Y175)</f>
        <v>-40.036523209723271</v>
      </c>
      <c r="Z173" s="58"/>
      <c r="AA173" s="58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</row>
    <row r="174" spans="1:44" x14ac:dyDescent="0.25">
      <c r="A174" s="330">
        <v>634003</v>
      </c>
      <c r="B174" s="329">
        <v>-1.7829999999999999</v>
      </c>
      <c r="C174" s="157"/>
      <c r="D174" s="330">
        <v>634003</v>
      </c>
      <c r="E174" s="329">
        <v>-1.7829999999999999</v>
      </c>
      <c r="F174" s="157"/>
      <c r="G174" s="330">
        <v>634003</v>
      </c>
      <c r="H174" s="329">
        <v>-1.7829999999999999</v>
      </c>
      <c r="I174" s="157"/>
      <c r="J174" s="330">
        <v>634003</v>
      </c>
      <c r="K174" s="329">
        <v>-1.7829999999999999</v>
      </c>
      <c r="L174" s="157"/>
      <c r="M174" s="360">
        <f t="shared" si="17"/>
        <v>634003</v>
      </c>
      <c r="N174" s="237">
        <f t="shared" si="18"/>
        <v>-1.7829999999999999</v>
      </c>
      <c r="O174" s="361"/>
      <c r="P174" s="361"/>
      <c r="Q174" s="361" t="s">
        <v>698</v>
      </c>
      <c r="R174" s="362">
        <v>35</v>
      </c>
      <c r="S174" s="236"/>
      <c r="T174" s="364">
        <f t="shared" si="22"/>
        <v>634003</v>
      </c>
      <c r="U174" s="365">
        <f>N174</f>
        <v>-1.7829999999999999</v>
      </c>
      <c r="V174" s="365">
        <f>IF($Q174="ekrk",IF($R174="data",IFERROR(INDEX(data!$A:$ALL,MATCH($M174,data!$A:$A,0),MATCH(V$2,data!$1:$1,0)),"#data"),IFERROR(U174*INDEX(indexy_SDcast!$A:$ALI,MATCH($R174,indexy_SDcast!$K:$K,0),MATCH(V$2,indexy_SDcast!$2:$2,0)),"#ekrk")),"#popis")</f>
        <v>-2.2826539115174826</v>
      </c>
      <c r="W174" s="365">
        <f>IF($Q174="ekrk",IF($R174="data",IFERROR(INDEX(data!$A:$ALL,MATCH($M174,data!$A:$A,0),MATCH(W$2,data!$1:$1,0)),"#data"),IFERROR(V174*INDEX(indexy_SDcast!$A:$ALI,MATCH($R174,indexy_SDcast!$K:$K,0),MATCH(W$2,indexy_SDcast!$2:$2,0)),"#ekrk")),"#popis")</f>
        <v>-2.3083139218945417</v>
      </c>
      <c r="X174" s="365">
        <f>IF($Q174="ekrk",IF($R174="data",IFERROR(INDEX(data!$A:$ALL,MATCH($M174,data!$A:$A,0),MATCH(X$2,data!$1:$1,0)),"#data"),IFERROR(W174*INDEX(indexy_SDcast!$A:$ALI,MATCH($R174,indexy_SDcast!$K:$K,0),MATCH(X$2,indexy_SDcast!$2:$2,0)),"#ekrk")),"#popis")</f>
        <v>-1.4826900241216878</v>
      </c>
      <c r="Y174" s="362">
        <f>IF($Q174="ekrk",IF($R174="data",IFERROR(INDEX(data!$A:$ALL,MATCH($M174,data!$A:$A,0),MATCH(Y$2,data!$1:$1,0)),"#data"),IFERROR(X174*INDEX(indexy_SDcast!$A:$ALI,MATCH($R174,indexy_SDcast!$K:$K,0),MATCH(Y$2,indexy_SDcast!$2:$2,0)),"#ekrk")),"#popis")</f>
        <v>-2.0058541811792154</v>
      </c>
    </row>
    <row r="175" spans="1:44" x14ac:dyDescent="0.25">
      <c r="A175" s="330">
        <v>637015</v>
      </c>
      <c r="B175" s="329">
        <v>-33.80539000000001</v>
      </c>
      <c r="C175" s="157"/>
      <c r="D175" s="330">
        <v>637015</v>
      </c>
      <c r="E175" s="329">
        <v>-33.80539000000001</v>
      </c>
      <c r="F175" s="157"/>
      <c r="G175" s="330">
        <v>637015</v>
      </c>
      <c r="H175" s="329">
        <v>-33.80539000000001</v>
      </c>
      <c r="I175" s="157"/>
      <c r="J175" s="330">
        <v>637015</v>
      </c>
      <c r="K175" s="329">
        <v>-33.80539000000001</v>
      </c>
      <c r="L175" s="157"/>
      <c r="M175" s="360">
        <f t="shared" si="17"/>
        <v>637015</v>
      </c>
      <c r="N175" s="237">
        <f t="shared" si="18"/>
        <v>-33.80539000000001</v>
      </c>
      <c r="O175" s="361"/>
      <c r="P175" s="361"/>
      <c r="Q175" s="361" t="s">
        <v>698</v>
      </c>
      <c r="R175" s="362">
        <v>35</v>
      </c>
      <c r="S175" s="236"/>
      <c r="T175" s="364">
        <f t="shared" si="22"/>
        <v>637015</v>
      </c>
      <c r="U175" s="365">
        <f>N175</f>
        <v>-33.80539000000001</v>
      </c>
      <c r="V175" s="365">
        <f>IF($Q175="ekrk",IF($R175="data",IFERROR(INDEX(data!$A:$ALL,MATCH($M175,data!$A:$A,0),MATCH(V$2,data!$1:$1,0)),"#data"),IFERROR(U175*INDEX(indexy_SDcast!$A:$ALI,MATCH($R175,indexy_SDcast!$K:$K,0),MATCH(V$2,indexy_SDcast!$2:$2,0)),"#ekrk")),"#popis")</f>
        <v>-43.27874689504992</v>
      </c>
      <c r="W175" s="365">
        <f>IF($Q175="ekrk",IF($R175="data",IFERROR(INDEX(data!$A:$ALL,MATCH($M175,data!$A:$A,0),MATCH(W$2,data!$1:$1,0)),"#data"),IFERROR(V175*INDEX(indexy_SDcast!$A:$ALI,MATCH($R175,indexy_SDcast!$K:$K,0),MATCH(W$2,indexy_SDcast!$2:$2,0)),"#ekrk")),"#popis")</f>
        <v>-43.765256518269503</v>
      </c>
      <c r="X175" s="365">
        <f>IF($Q175="ekrk",IF($R175="data",IFERROR(INDEX(data!$A:$ALL,MATCH($M175,data!$A:$A,0),MATCH(X$2,data!$1:$1,0)),"#data"),IFERROR(W175*INDEX(indexy_SDcast!$A:$ALI,MATCH($R175,indexy_SDcast!$K:$K,0),MATCH(X$2,indexy_SDcast!$2:$2,0)),"#ekrk")),"#popis")</f>
        <v>-28.111561701931052</v>
      </c>
      <c r="Y175" s="362">
        <f>IF($Q175="ekrk",IF($R175="data",IFERROR(INDEX(data!$A:$ALL,MATCH($M175,data!$A:$A,0),MATCH(Y$2,data!$1:$1,0)),"#data"),IFERROR(X175*INDEX(indexy_SDcast!$A:$ALI,MATCH($R175,indexy_SDcast!$K:$K,0),MATCH(Y$2,indexy_SDcast!$2:$2,0)),"#ekrk")),"#popis")</f>
        <v>-38.030669028544054</v>
      </c>
    </row>
    <row r="176" spans="1:44" s="18" customFormat="1" x14ac:dyDescent="0.25">
      <c r="A176" s="333" t="s">
        <v>736</v>
      </c>
      <c r="B176" s="334">
        <v>-4.0482499999999213</v>
      </c>
      <c r="C176" s="164"/>
      <c r="D176" s="333" t="s">
        <v>736</v>
      </c>
      <c r="E176" s="334">
        <v>-4.0482499999999213</v>
      </c>
      <c r="F176" s="164"/>
      <c r="G176" s="333" t="s">
        <v>736</v>
      </c>
      <c r="H176" s="334">
        <v>-4.0482499999999213</v>
      </c>
      <c r="I176" s="164"/>
      <c r="J176" s="333" t="s">
        <v>736</v>
      </c>
      <c r="K176" s="334">
        <v>-4.0482499999999213</v>
      </c>
      <c r="L176" s="164"/>
      <c r="M176" s="358" t="str">
        <f t="shared" si="17"/>
        <v>D75PAY</v>
      </c>
      <c r="N176" s="239">
        <f t="shared" si="18"/>
        <v>-4.0482499999999213</v>
      </c>
      <c r="O176" s="243"/>
      <c r="P176" s="243">
        <f>MATCH(Q176,Q177:Q$1550,0)</f>
        <v>8</v>
      </c>
      <c r="Q176" s="243" t="s">
        <v>697</v>
      </c>
      <c r="R176" s="359" t="str">
        <f>IF(Q176="ekrk",INDEX(indexy_SDcast!$A:$C,MATCH($M176,indexy_SDcast!$A:$A,0),2),"")</f>
        <v/>
      </c>
      <c r="S176" s="240"/>
      <c r="T176" s="363" t="str">
        <f t="shared" si="22"/>
        <v>D75PAY</v>
      </c>
      <c r="U176" s="244">
        <f>SUM(U177:U183)</f>
        <v>-4.0482499999999213</v>
      </c>
      <c r="V176" s="244">
        <f>SUM(V177:V183)</f>
        <v>-5.1826997741449627</v>
      </c>
      <c r="W176" s="244">
        <f>SUM(W177:W183)</f>
        <v>-5.2409600865448089</v>
      </c>
      <c r="X176" s="244">
        <f>SUM(X177:X183)</f>
        <v>-3.3664048738925989</v>
      </c>
      <c r="Y176" s="359">
        <f>SUM(Y177:Y183)</f>
        <v>-4.5542339814686477</v>
      </c>
      <c r="Z176" s="58"/>
      <c r="AA176" s="58"/>
      <c r="AB176" s="58"/>
      <c r="AC176" s="58"/>
      <c r="AD176" s="58"/>
      <c r="AE176" s="58"/>
      <c r="AF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8"/>
      <c r="AQ176" s="58"/>
      <c r="AR176" s="58"/>
    </row>
    <row r="177" spans="1:44" x14ac:dyDescent="0.25">
      <c r="A177" s="330">
        <v>637034</v>
      </c>
      <c r="B177" s="329">
        <v>-1.4449999999999999E-2</v>
      </c>
      <c r="C177" s="157"/>
      <c r="D177" s="330">
        <v>637034</v>
      </c>
      <c r="E177" s="329">
        <v>-1.4449999999999999E-2</v>
      </c>
      <c r="F177" s="157"/>
      <c r="G177" s="330">
        <v>637034</v>
      </c>
      <c r="H177" s="329">
        <v>-1.4449999999999999E-2</v>
      </c>
      <c r="I177" s="157"/>
      <c r="J177" s="330">
        <v>637034</v>
      </c>
      <c r="K177" s="329">
        <v>-1.4449999999999999E-2</v>
      </c>
      <c r="L177" s="157"/>
      <c r="M177" s="360">
        <f t="shared" si="17"/>
        <v>637034</v>
      </c>
      <c r="N177" s="237">
        <f t="shared" si="18"/>
        <v>-1.4449999999999999E-2</v>
      </c>
      <c r="O177" s="361"/>
      <c r="P177" s="361"/>
      <c r="Q177" s="361" t="s">
        <v>698</v>
      </c>
      <c r="R177" s="362">
        <v>35</v>
      </c>
      <c r="S177" s="236"/>
      <c r="T177" s="364">
        <f t="shared" si="22"/>
        <v>637034</v>
      </c>
      <c r="U177" s="365">
        <f t="shared" ref="U177:U183" si="23">N177</f>
        <v>-1.4449999999999999E-2</v>
      </c>
      <c r="V177" s="365">
        <f>IF($Q177="ekrk",IF($R177="data",IFERROR(INDEX(data!$A:$ALL,MATCH($M177,data!$A:$A,0),MATCH(V$2,data!$1:$1,0)),"#data"),IFERROR(U177*INDEX(indexy_SDcast!$A:$ALI,MATCH($R177,indexy_SDcast!$K:$K,0),MATCH(V$2,indexy_SDcast!$2:$2,0)),"#ekrk")),"#popis")</f>
        <v>-1.8499354470795076E-2</v>
      </c>
      <c r="W177" s="365">
        <f>IF($Q177="ekrk",IF($R177="data",IFERROR(INDEX(data!$A:$ALL,MATCH($M177,data!$A:$A,0),MATCH(W$2,data!$1:$1,0)),"#data"),IFERROR(V177*INDEX(indexy_SDcast!$A:$ALI,MATCH($R177,indexy_SDcast!$K:$K,0),MATCH(W$2,indexy_SDcast!$2:$2,0)),"#ekrk")),"#popis")</f>
        <v>-1.870731136925189E-2</v>
      </c>
      <c r="X177" s="365">
        <f>IF($Q177="ekrk",IF($R177="data",IFERROR(INDEX(data!$A:$ALL,MATCH($M177,data!$A:$A,0),MATCH(X$2,data!$1:$1,0)),"#data"),IFERROR(W177*INDEX(indexy_SDcast!$A:$ALI,MATCH($R177,indexy_SDcast!$K:$K,0),MATCH(X$2,indexy_SDcast!$2:$2,0)),"#ekrk")),"#popis")</f>
        <v>-1.2016192287469649E-2</v>
      </c>
      <c r="Y177" s="362">
        <f>IF($Q177="ekrk",IF($R177="data",IFERROR(INDEX(data!$A:$ALL,MATCH($M177,data!$A:$A,0),MATCH(Y$2,data!$1:$1,0)),"#data"),IFERROR(X177*INDEX(indexy_SDcast!$A:$ALI,MATCH($R177,indexy_SDcast!$K:$K,0),MATCH(Y$2,indexy_SDcast!$2:$2,0)),"#ekrk")),"#popis")</f>
        <v>-1.6256081277644229E-2</v>
      </c>
    </row>
    <row r="178" spans="1:44" x14ac:dyDescent="0.25">
      <c r="A178" s="330">
        <v>642001</v>
      </c>
      <c r="B178" s="329">
        <v>0</v>
      </c>
      <c r="C178" s="157"/>
      <c r="D178" s="330">
        <v>642001</v>
      </c>
      <c r="E178" s="329">
        <v>0</v>
      </c>
      <c r="F178" s="157"/>
      <c r="G178" s="330">
        <v>642001</v>
      </c>
      <c r="H178" s="329">
        <v>0</v>
      </c>
      <c r="I178" s="157"/>
      <c r="J178" s="330">
        <v>642001</v>
      </c>
      <c r="K178" s="329">
        <v>0</v>
      </c>
      <c r="L178" s="157"/>
      <c r="M178" s="360">
        <f t="shared" si="17"/>
        <v>642001</v>
      </c>
      <c r="N178" s="237">
        <f t="shared" si="18"/>
        <v>0</v>
      </c>
      <c r="O178" s="361"/>
      <c r="P178" s="361"/>
      <c r="Q178" s="361" t="s">
        <v>698</v>
      </c>
      <c r="R178" s="362">
        <v>35</v>
      </c>
      <c r="S178" s="236"/>
      <c r="T178" s="364">
        <f t="shared" si="22"/>
        <v>642001</v>
      </c>
      <c r="U178" s="365">
        <f t="shared" si="23"/>
        <v>0</v>
      </c>
      <c r="V178" s="365">
        <f>IF($Q178="ekrk",IF($R178="data",IFERROR(INDEX(data!$A:$ALL,MATCH($M178,data!$A:$A,0),MATCH(V$2,data!$1:$1,0)),"#data"),IFERROR(U178*INDEX(indexy_SDcast!$A:$ALI,MATCH($R178,indexy_SDcast!$K:$K,0),MATCH(V$2,indexy_SDcast!$2:$2,0)),"#ekrk")),"#popis")</f>
        <v>0</v>
      </c>
      <c r="W178" s="365">
        <f>IF($Q178="ekrk",IF($R178="data",IFERROR(INDEX(data!$A:$ALL,MATCH($M178,data!$A:$A,0),MATCH(W$2,data!$1:$1,0)),"#data"),IFERROR(V178*INDEX(indexy_SDcast!$A:$ALI,MATCH($R178,indexy_SDcast!$K:$K,0),MATCH(W$2,indexy_SDcast!$2:$2,0)),"#ekrk")),"#popis")</f>
        <v>0</v>
      </c>
      <c r="X178" s="365">
        <f>IF($Q178="ekrk",IF($R178="data",IFERROR(INDEX(data!$A:$ALL,MATCH($M178,data!$A:$A,0),MATCH(X$2,data!$1:$1,0)),"#data"),IFERROR(W178*INDEX(indexy_SDcast!$A:$ALI,MATCH($R178,indexy_SDcast!$K:$K,0),MATCH(X$2,indexy_SDcast!$2:$2,0)),"#ekrk")),"#popis")</f>
        <v>0</v>
      </c>
      <c r="Y178" s="362">
        <f>IF($Q178="ekrk",IF($R178="data",IFERROR(INDEX(data!$A:$ALL,MATCH($M178,data!$A:$A,0),MATCH(Y$2,data!$1:$1,0)),"#data"),IFERROR(X178*INDEX(indexy_SDcast!$A:$ALI,MATCH($R178,indexy_SDcast!$K:$K,0),MATCH(Y$2,indexy_SDcast!$2:$2,0)),"#ekrk")),"#popis")</f>
        <v>0</v>
      </c>
    </row>
    <row r="179" spans="1:44" x14ac:dyDescent="0.25">
      <c r="A179" s="330">
        <v>642002</v>
      </c>
      <c r="B179" s="329">
        <v>0</v>
      </c>
      <c r="C179" s="157"/>
      <c r="D179" s="330">
        <v>642002</v>
      </c>
      <c r="E179" s="329">
        <v>0</v>
      </c>
      <c r="F179" s="157"/>
      <c r="G179" s="330">
        <v>642002</v>
      </c>
      <c r="H179" s="329">
        <v>0</v>
      </c>
      <c r="I179" s="157"/>
      <c r="J179" s="330">
        <v>642002</v>
      </c>
      <c r="K179" s="329">
        <v>0</v>
      </c>
      <c r="L179" s="157"/>
      <c r="M179" s="360">
        <f t="shared" si="17"/>
        <v>642002</v>
      </c>
      <c r="N179" s="237">
        <f t="shared" si="18"/>
        <v>0</v>
      </c>
      <c r="O179" s="361"/>
      <c r="P179" s="361"/>
      <c r="Q179" s="361" t="s">
        <v>698</v>
      </c>
      <c r="R179" s="362">
        <v>35</v>
      </c>
      <c r="S179" s="236"/>
      <c r="T179" s="364">
        <f t="shared" si="22"/>
        <v>642002</v>
      </c>
      <c r="U179" s="365">
        <f t="shared" si="23"/>
        <v>0</v>
      </c>
      <c r="V179" s="365">
        <f>IF($Q179="ekrk",IF($R179="data",IFERROR(INDEX(data!$A:$ALL,MATCH($M179,data!$A:$A,0),MATCH(V$2,data!$1:$1,0)),"#data"),IFERROR(U179*INDEX(indexy_SDcast!$A:$ALI,MATCH($R179,indexy_SDcast!$K:$K,0),MATCH(V$2,indexy_SDcast!$2:$2,0)),"#ekrk")),"#popis")</f>
        <v>0</v>
      </c>
      <c r="W179" s="365">
        <f>IF($Q179="ekrk",IF($R179="data",IFERROR(INDEX(data!$A:$ALL,MATCH($M179,data!$A:$A,0),MATCH(W$2,data!$1:$1,0)),"#data"),IFERROR(V179*INDEX(indexy_SDcast!$A:$ALI,MATCH($R179,indexy_SDcast!$K:$K,0),MATCH(W$2,indexy_SDcast!$2:$2,0)),"#ekrk")),"#popis")</f>
        <v>0</v>
      </c>
      <c r="X179" s="365">
        <f>IF($Q179="ekrk",IF($R179="data",IFERROR(INDEX(data!$A:$ALL,MATCH($M179,data!$A:$A,0),MATCH(X$2,data!$1:$1,0)),"#data"),IFERROR(W179*INDEX(indexy_SDcast!$A:$ALI,MATCH($R179,indexy_SDcast!$K:$K,0),MATCH(X$2,indexy_SDcast!$2:$2,0)),"#ekrk")),"#popis")</f>
        <v>0</v>
      </c>
      <c r="Y179" s="362">
        <f>IF($Q179="ekrk",IF($R179="data",IFERROR(INDEX(data!$A:$ALL,MATCH($M179,data!$A:$A,0),MATCH(Y$2,data!$1:$1,0)),"#data"),IFERROR(X179*INDEX(indexy_SDcast!$A:$ALI,MATCH($R179,indexy_SDcast!$K:$K,0),MATCH(Y$2,indexy_SDcast!$2:$2,0)),"#ekrk")),"#popis")</f>
        <v>0</v>
      </c>
    </row>
    <row r="180" spans="1:44" x14ac:dyDescent="0.25">
      <c r="A180" s="330">
        <v>642004</v>
      </c>
      <c r="B180" s="329">
        <v>0</v>
      </c>
      <c r="C180" s="157"/>
      <c r="D180" s="330">
        <v>642004</v>
      </c>
      <c r="E180" s="329">
        <v>0</v>
      </c>
      <c r="F180" s="157"/>
      <c r="G180" s="330">
        <v>642004</v>
      </c>
      <c r="H180" s="329">
        <v>0</v>
      </c>
      <c r="I180" s="157"/>
      <c r="J180" s="330">
        <v>642004</v>
      </c>
      <c r="K180" s="329">
        <v>0</v>
      </c>
      <c r="L180" s="157"/>
      <c r="M180" s="360">
        <f t="shared" si="17"/>
        <v>642004</v>
      </c>
      <c r="N180" s="237">
        <f t="shared" si="18"/>
        <v>0</v>
      </c>
      <c r="O180" s="361"/>
      <c r="P180" s="361"/>
      <c r="Q180" s="361" t="s">
        <v>698</v>
      </c>
      <c r="R180" s="362">
        <v>35</v>
      </c>
      <c r="S180" s="236"/>
      <c r="T180" s="364">
        <f t="shared" si="22"/>
        <v>642004</v>
      </c>
      <c r="U180" s="365">
        <f t="shared" si="23"/>
        <v>0</v>
      </c>
      <c r="V180" s="365">
        <f>IF($Q180="ekrk",IF($R180="data",IFERROR(INDEX(data!$A:$ALL,MATCH($M180,data!$A:$A,0),MATCH(V$2,data!$1:$1,0)),"#data"),IFERROR(U180*INDEX(indexy_SDcast!$A:$ALI,MATCH($R180,indexy_SDcast!$K:$K,0),MATCH(V$2,indexy_SDcast!$2:$2,0)),"#ekrk")),"#popis")</f>
        <v>0</v>
      </c>
      <c r="W180" s="365">
        <f>IF($Q180="ekrk",IF($R180="data",IFERROR(INDEX(data!$A:$ALL,MATCH($M180,data!$A:$A,0),MATCH(W$2,data!$1:$1,0)),"#data"),IFERROR(V180*INDEX(indexy_SDcast!$A:$ALI,MATCH($R180,indexy_SDcast!$K:$K,0),MATCH(W$2,indexy_SDcast!$2:$2,0)),"#ekrk")),"#popis")</f>
        <v>0</v>
      </c>
      <c r="X180" s="365">
        <f>IF($Q180="ekrk",IF($R180="data",IFERROR(INDEX(data!$A:$ALL,MATCH($M180,data!$A:$A,0),MATCH(X$2,data!$1:$1,0)),"#data"),IFERROR(W180*INDEX(indexy_SDcast!$A:$ALI,MATCH($R180,indexy_SDcast!$K:$K,0),MATCH(X$2,indexy_SDcast!$2:$2,0)),"#ekrk")),"#popis")</f>
        <v>0</v>
      </c>
      <c r="Y180" s="362">
        <f>IF($Q180="ekrk",IF($R180="data",IFERROR(INDEX(data!$A:$ALL,MATCH($M180,data!$A:$A,0),MATCH(Y$2,data!$1:$1,0)),"#data"),IFERROR(X180*INDEX(indexy_SDcast!$A:$ALI,MATCH($R180,indexy_SDcast!$K:$K,0),MATCH(Y$2,indexy_SDcast!$2:$2,0)),"#ekrk")),"#popis")</f>
        <v>0</v>
      </c>
    </row>
    <row r="181" spans="1:44" x14ac:dyDescent="0.25">
      <c r="A181" s="330">
        <v>642005</v>
      </c>
      <c r="B181" s="329">
        <v>-4.0337999999999212</v>
      </c>
      <c r="C181" s="157"/>
      <c r="D181" s="330">
        <v>642005</v>
      </c>
      <c r="E181" s="329">
        <v>-4.0337999999999212</v>
      </c>
      <c r="F181" s="157"/>
      <c r="G181" s="330">
        <v>642005</v>
      </c>
      <c r="H181" s="329">
        <v>-4.0337999999999212</v>
      </c>
      <c r="I181" s="157"/>
      <c r="J181" s="330">
        <v>642005</v>
      </c>
      <c r="K181" s="329">
        <v>-4.0337999999999212</v>
      </c>
      <c r="L181" s="157"/>
      <c r="M181" s="360">
        <f t="shared" si="17"/>
        <v>642005</v>
      </c>
      <c r="N181" s="237">
        <f t="shared" si="18"/>
        <v>-4.0337999999999212</v>
      </c>
      <c r="O181" s="361"/>
      <c r="P181" s="361"/>
      <c r="Q181" s="361" t="s">
        <v>698</v>
      </c>
      <c r="R181" s="362">
        <v>35</v>
      </c>
      <c r="S181" s="236"/>
      <c r="T181" s="364">
        <f t="shared" si="22"/>
        <v>642005</v>
      </c>
      <c r="U181" s="365">
        <f t="shared" si="23"/>
        <v>-4.0337999999999212</v>
      </c>
      <c r="V181" s="365">
        <f>IF($Q181="ekrk",IF($R181="data",IFERROR(INDEX(data!$A:$ALL,MATCH($M181,data!$A:$A,0),MATCH(V$2,data!$1:$1,0)),"#data"),IFERROR(U181*INDEX(indexy_SDcast!$A:$ALI,MATCH($R181,indexy_SDcast!$K:$K,0),MATCH(V$2,indexy_SDcast!$2:$2,0)),"#ekrk")),"#popis")</f>
        <v>-5.1642004196741675</v>
      </c>
      <c r="W181" s="365">
        <f>IF($Q181="ekrk",IF($R181="data",IFERROR(INDEX(data!$A:$ALL,MATCH($M181,data!$A:$A,0),MATCH(W$2,data!$1:$1,0)),"#data"),IFERROR(V181*INDEX(indexy_SDcast!$A:$ALI,MATCH($R181,indexy_SDcast!$K:$K,0),MATCH(W$2,indexy_SDcast!$2:$2,0)),"#ekrk")),"#popis")</f>
        <v>-5.2222527751755567</v>
      </c>
      <c r="X181" s="365">
        <f>IF($Q181="ekrk",IF($R181="data",IFERROR(INDEX(data!$A:$ALL,MATCH($M181,data!$A:$A,0),MATCH(X$2,data!$1:$1,0)),"#data"),IFERROR(W181*INDEX(indexy_SDcast!$A:$ALI,MATCH($R181,indexy_SDcast!$K:$K,0),MATCH(X$2,indexy_SDcast!$2:$2,0)),"#ekrk")),"#popis")</f>
        <v>-3.3543886816051294</v>
      </c>
      <c r="Y181" s="362">
        <f>IF($Q181="ekrk",IF($R181="data",IFERROR(INDEX(data!$A:$ALL,MATCH($M181,data!$A:$A,0),MATCH(Y$2,data!$1:$1,0)),"#data"),IFERROR(X181*INDEX(indexy_SDcast!$A:$ALI,MATCH($R181,indexy_SDcast!$K:$K,0),MATCH(Y$2,indexy_SDcast!$2:$2,0)),"#ekrk")),"#popis")</f>
        <v>-4.5379779001910032</v>
      </c>
    </row>
    <row r="182" spans="1:44" x14ac:dyDescent="0.25">
      <c r="A182" s="330">
        <v>642007</v>
      </c>
      <c r="B182" s="329">
        <v>0</v>
      </c>
      <c r="C182" s="157"/>
      <c r="D182" s="330">
        <v>642007</v>
      </c>
      <c r="E182" s="329">
        <v>0</v>
      </c>
      <c r="F182" s="157"/>
      <c r="G182" s="330">
        <v>642007</v>
      </c>
      <c r="H182" s="329">
        <v>0</v>
      </c>
      <c r="I182" s="157"/>
      <c r="J182" s="330">
        <v>642007</v>
      </c>
      <c r="K182" s="329">
        <v>0</v>
      </c>
      <c r="L182" s="157"/>
      <c r="M182" s="360">
        <f t="shared" si="17"/>
        <v>642007</v>
      </c>
      <c r="N182" s="237">
        <f t="shared" si="18"/>
        <v>0</v>
      </c>
      <c r="O182" s="361"/>
      <c r="P182" s="361"/>
      <c r="Q182" s="361" t="s">
        <v>698</v>
      </c>
      <c r="R182" s="362">
        <v>35</v>
      </c>
      <c r="S182" s="236"/>
      <c r="T182" s="364">
        <f t="shared" si="22"/>
        <v>642007</v>
      </c>
      <c r="U182" s="365">
        <f t="shared" si="23"/>
        <v>0</v>
      </c>
      <c r="V182" s="365">
        <f>IF($Q182="ekrk",IF($R182="data",IFERROR(INDEX(data!$A:$ALL,MATCH($M182,data!$A:$A,0),MATCH(V$2,data!$1:$1,0)),"#data"),IFERROR(U182*INDEX(indexy_SDcast!$A:$ALI,MATCH($R182,indexy_SDcast!$K:$K,0),MATCH(V$2,indexy_SDcast!$2:$2,0)),"#ekrk")),"#popis")</f>
        <v>0</v>
      </c>
      <c r="W182" s="365">
        <f>IF($Q182="ekrk",IF($R182="data",IFERROR(INDEX(data!$A:$ALL,MATCH($M182,data!$A:$A,0),MATCH(W$2,data!$1:$1,0)),"#data"),IFERROR(V182*INDEX(indexy_SDcast!$A:$ALI,MATCH($R182,indexy_SDcast!$K:$K,0),MATCH(W$2,indexy_SDcast!$2:$2,0)),"#ekrk")),"#popis")</f>
        <v>0</v>
      </c>
      <c r="X182" s="365">
        <f>IF($Q182="ekrk",IF($R182="data",IFERROR(INDEX(data!$A:$ALL,MATCH($M182,data!$A:$A,0),MATCH(X$2,data!$1:$1,0)),"#data"),IFERROR(W182*INDEX(indexy_SDcast!$A:$ALI,MATCH($R182,indexy_SDcast!$K:$K,0),MATCH(X$2,indexy_SDcast!$2:$2,0)),"#ekrk")),"#popis")</f>
        <v>0</v>
      </c>
      <c r="Y182" s="362">
        <f>IF($Q182="ekrk",IF($R182="data",IFERROR(INDEX(data!$A:$ALL,MATCH($M182,data!$A:$A,0),MATCH(Y$2,data!$1:$1,0)),"#data"),IFERROR(X182*INDEX(indexy_SDcast!$A:$ALI,MATCH($R182,indexy_SDcast!$K:$K,0),MATCH(Y$2,indexy_SDcast!$2:$2,0)),"#ekrk")),"#popis")</f>
        <v>0</v>
      </c>
    </row>
    <row r="183" spans="1:44" x14ac:dyDescent="0.25">
      <c r="A183" s="330">
        <v>642009</v>
      </c>
      <c r="B183" s="329">
        <v>0</v>
      </c>
      <c r="C183" s="157"/>
      <c r="D183" s="330">
        <v>642009</v>
      </c>
      <c r="E183" s="329">
        <v>0</v>
      </c>
      <c r="F183" s="157"/>
      <c r="G183" s="330">
        <v>642009</v>
      </c>
      <c r="H183" s="329">
        <v>0</v>
      </c>
      <c r="I183" s="157"/>
      <c r="J183" s="330">
        <v>642009</v>
      </c>
      <c r="K183" s="329">
        <v>0</v>
      </c>
      <c r="L183" s="157"/>
      <c r="M183" s="360">
        <f t="shared" ref="M183:M246" si="24">J183</f>
        <v>642009</v>
      </c>
      <c r="N183" s="237">
        <f t="shared" ref="N183:N246" si="25">K183</f>
        <v>0</v>
      </c>
      <c r="O183" s="361"/>
      <c r="P183" s="361"/>
      <c r="Q183" s="361" t="s">
        <v>698</v>
      </c>
      <c r="R183" s="362">
        <v>35</v>
      </c>
      <c r="S183" s="236"/>
      <c r="T183" s="364">
        <f t="shared" ref="T183:T214" si="26">M183</f>
        <v>642009</v>
      </c>
      <c r="U183" s="365">
        <f t="shared" si="23"/>
        <v>0</v>
      </c>
      <c r="V183" s="365">
        <f>IF($Q183="ekrk",IF($R183="data",IFERROR(INDEX(data!$A:$ALL,MATCH($M183,data!$A:$A,0),MATCH(V$2,data!$1:$1,0)),"#data"),IFERROR(U183*INDEX(indexy_SDcast!$A:$ALI,MATCH($R183,indexy_SDcast!$K:$K,0),MATCH(V$2,indexy_SDcast!$2:$2,0)),"#ekrk")),"#popis")</f>
        <v>0</v>
      </c>
      <c r="W183" s="365">
        <f>IF($Q183="ekrk",IF($R183="data",IFERROR(INDEX(data!$A:$ALL,MATCH($M183,data!$A:$A,0),MATCH(W$2,data!$1:$1,0)),"#data"),IFERROR(V183*INDEX(indexy_SDcast!$A:$ALI,MATCH($R183,indexy_SDcast!$K:$K,0),MATCH(W$2,indexy_SDcast!$2:$2,0)),"#ekrk")),"#popis")</f>
        <v>0</v>
      </c>
      <c r="X183" s="365">
        <f>IF($Q183="ekrk",IF($R183="data",IFERROR(INDEX(data!$A:$ALL,MATCH($M183,data!$A:$A,0),MATCH(X$2,data!$1:$1,0)),"#data"),IFERROR(W183*INDEX(indexy_SDcast!$A:$ALI,MATCH($R183,indexy_SDcast!$K:$K,0),MATCH(X$2,indexy_SDcast!$2:$2,0)),"#ekrk")),"#popis")</f>
        <v>0</v>
      </c>
      <c r="Y183" s="362">
        <f>IF($Q183="ekrk",IF($R183="data",IFERROR(INDEX(data!$A:$ALL,MATCH($M183,data!$A:$A,0),MATCH(Y$2,data!$1:$1,0)),"#data"),IFERROR(X183*INDEX(indexy_SDcast!$A:$ALI,MATCH($R183,indexy_SDcast!$K:$K,0),MATCH(Y$2,indexy_SDcast!$2:$2,0)),"#ekrk")),"#popis")</f>
        <v>0</v>
      </c>
    </row>
    <row r="184" spans="1:44" s="18" customFormat="1" x14ac:dyDescent="0.25">
      <c r="A184" s="333" t="s">
        <v>741</v>
      </c>
      <c r="B184" s="334">
        <v>0</v>
      </c>
      <c r="C184" s="164"/>
      <c r="D184" s="333" t="s">
        <v>741</v>
      </c>
      <c r="E184" s="334">
        <v>0</v>
      </c>
      <c r="F184" s="164"/>
      <c r="G184" s="333" t="s">
        <v>741</v>
      </c>
      <c r="H184" s="334">
        <v>0</v>
      </c>
      <c r="I184" s="164"/>
      <c r="J184" s="333" t="s">
        <v>741</v>
      </c>
      <c r="K184" s="334">
        <v>0</v>
      </c>
      <c r="L184" s="164"/>
      <c r="M184" s="358" t="str">
        <f t="shared" si="24"/>
        <v>D92PAY</v>
      </c>
      <c r="N184" s="239">
        <f t="shared" si="25"/>
        <v>0</v>
      </c>
      <c r="O184" s="243"/>
      <c r="P184" s="243">
        <f>MATCH(Q184,Q185:Q$1550,0)</f>
        <v>2</v>
      </c>
      <c r="Q184" s="243" t="s">
        <v>697</v>
      </c>
      <c r="R184" s="359" t="str">
        <f>IF(Q184="ekrk",INDEX(indexy_SDcast!$A:$C,MATCH($M184,indexy_SDcast!$A:$A,0),2),"")</f>
        <v/>
      </c>
      <c r="S184" s="240"/>
      <c r="T184" s="363" t="str">
        <f t="shared" si="26"/>
        <v>D92PAY</v>
      </c>
      <c r="U184" s="244">
        <f>SUM(U185:U185)</f>
        <v>0</v>
      </c>
      <c r="V184" s="244">
        <f>SUM(V185:V185)</f>
        <v>0</v>
      </c>
      <c r="W184" s="244">
        <f>SUM(W185:W185)</f>
        <v>0</v>
      </c>
      <c r="X184" s="244">
        <f>SUM(X185:X185)</f>
        <v>0</v>
      </c>
      <c r="Y184" s="359">
        <f>SUM(Y185:Y185)</f>
        <v>0</v>
      </c>
      <c r="Z184" s="58"/>
      <c r="AA184" s="58"/>
      <c r="AB184" s="58"/>
      <c r="AC184" s="58"/>
      <c r="AD184" s="58"/>
      <c r="AE184" s="58"/>
      <c r="AF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8"/>
      <c r="AQ184" s="58"/>
      <c r="AR184" s="58"/>
    </row>
    <row r="185" spans="1:44" x14ac:dyDescent="0.25">
      <c r="A185" s="330">
        <v>722003</v>
      </c>
      <c r="B185" s="329">
        <v>0</v>
      </c>
      <c r="C185" s="157"/>
      <c r="D185" s="330">
        <v>722003</v>
      </c>
      <c r="E185" s="329">
        <v>0</v>
      </c>
      <c r="F185" s="157"/>
      <c r="G185" s="330">
        <v>722003</v>
      </c>
      <c r="H185" s="329">
        <v>0</v>
      </c>
      <c r="I185" s="157"/>
      <c r="J185" s="330">
        <v>722003</v>
      </c>
      <c r="K185" s="329">
        <v>0</v>
      </c>
      <c r="L185" s="157"/>
      <c r="M185" s="360">
        <f t="shared" si="24"/>
        <v>722003</v>
      </c>
      <c r="N185" s="237">
        <f t="shared" si="25"/>
        <v>0</v>
      </c>
      <c r="O185" s="361"/>
      <c r="P185" s="361"/>
      <c r="Q185" s="361" t="s">
        <v>698</v>
      </c>
      <c r="R185" s="362">
        <v>35</v>
      </c>
      <c r="S185" s="236"/>
      <c r="T185" s="364">
        <f t="shared" si="26"/>
        <v>722003</v>
      </c>
      <c r="U185" s="365">
        <f>N185</f>
        <v>0</v>
      </c>
      <c r="V185" s="365">
        <f>IF($Q185="ekrk",IF($R185="data",IFERROR(INDEX(data!$A:$ALL,MATCH($M185,data!$A:$A,0),MATCH(V$2,data!$1:$1,0)),"#data"),IFERROR(U185*INDEX(indexy_SDcast!$A:$ALI,MATCH($R185,indexy_SDcast!$K:$K,0),MATCH(V$2,indexy_SDcast!$2:$2,0)),"#ekrk")),"#popis")</f>
        <v>0</v>
      </c>
      <c r="W185" s="365">
        <f>IF($Q185="ekrk",IF($R185="data",IFERROR(INDEX(data!$A:$ALL,MATCH($M185,data!$A:$A,0),MATCH(W$2,data!$1:$1,0)),"#data"),IFERROR(V185*INDEX(indexy_SDcast!$A:$ALI,MATCH($R185,indexy_SDcast!$K:$K,0),MATCH(W$2,indexy_SDcast!$2:$2,0)),"#ekrk")),"#popis")</f>
        <v>0</v>
      </c>
      <c r="X185" s="365">
        <f>IF($Q185="ekrk",IF($R185="data",IFERROR(INDEX(data!$A:$ALL,MATCH($M185,data!$A:$A,0),MATCH(X$2,data!$1:$1,0)),"#data"),IFERROR(W185*INDEX(indexy_SDcast!$A:$ALI,MATCH($R185,indexy_SDcast!$K:$K,0),MATCH(X$2,indexy_SDcast!$2:$2,0)),"#ekrk")),"#popis")</f>
        <v>0</v>
      </c>
      <c r="Y185" s="362">
        <f>IF($Q185="ekrk",IF($R185="data",IFERROR(INDEX(data!$A:$ALL,MATCH($M185,data!$A:$A,0),MATCH(Y$2,data!$1:$1,0)),"#data"),IFERROR(X185*INDEX(indexy_SDcast!$A:$ALI,MATCH($R185,indexy_SDcast!$K:$K,0),MATCH(Y$2,indexy_SDcast!$2:$2,0)),"#ekrk")),"#popis")</f>
        <v>0</v>
      </c>
    </row>
    <row r="186" spans="1:44" s="18" customFormat="1" x14ac:dyDescent="0.25">
      <c r="A186" s="333" t="s">
        <v>747</v>
      </c>
      <c r="B186" s="334">
        <v>-55.382600000000004</v>
      </c>
      <c r="C186" s="164"/>
      <c r="D186" s="333" t="s">
        <v>747</v>
      </c>
      <c r="E186" s="334">
        <v>-55.382600000000004</v>
      </c>
      <c r="F186" s="164"/>
      <c r="G186" s="333" t="s">
        <v>747</v>
      </c>
      <c r="H186" s="334">
        <v>-55.382600000000004</v>
      </c>
      <c r="I186" s="164"/>
      <c r="J186" s="333" t="s">
        <v>747</v>
      </c>
      <c r="K186" s="334">
        <v>-55.382600000000004</v>
      </c>
      <c r="L186" s="164"/>
      <c r="M186" s="358" t="str">
        <f t="shared" si="24"/>
        <v>K22A</v>
      </c>
      <c r="N186" s="239">
        <f t="shared" si="25"/>
        <v>-55.382600000000004</v>
      </c>
      <c r="O186" s="243"/>
      <c r="P186" s="243">
        <f>MATCH(Q186,Q187:Q$1550,0)</f>
        <v>2</v>
      </c>
      <c r="Q186" s="243" t="s">
        <v>697</v>
      </c>
      <c r="R186" s="359" t="str">
        <f>IF(Q186="ekrk",INDEX(indexy_SDcast!$A:$C,MATCH($M186,indexy_SDcast!$A:$A,0),2),"")</f>
        <v/>
      </c>
      <c r="S186" s="240"/>
      <c r="T186" s="363" t="str">
        <f t="shared" si="26"/>
        <v>K22A</v>
      </c>
      <c r="U186" s="244">
        <f>SUM(U187:U187)</f>
        <v>-55.382600000000004</v>
      </c>
      <c r="V186" s="244">
        <f>SUM(V187:V187)</f>
        <v>-70.902584699948477</v>
      </c>
      <c r="W186" s="244">
        <f>SUM(W187:W187)</f>
        <v>-71.699622327939778</v>
      </c>
      <c r="X186" s="244">
        <f>SUM(X187:X187)</f>
        <v>-46.054530863668973</v>
      </c>
      <c r="Y186" s="359">
        <f>SUM(Y187:Y187)</f>
        <v>-62.304778336834552</v>
      </c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</row>
    <row r="187" spans="1:44" x14ac:dyDescent="0.25">
      <c r="A187" s="330">
        <v>711004</v>
      </c>
      <c r="B187" s="329">
        <v>-55.382600000000004</v>
      </c>
      <c r="C187" s="157"/>
      <c r="D187" s="330">
        <v>711004</v>
      </c>
      <c r="E187" s="329">
        <v>-55.382600000000004</v>
      </c>
      <c r="F187" s="157"/>
      <c r="G187" s="330">
        <v>711004</v>
      </c>
      <c r="H187" s="329">
        <v>-55.382600000000004</v>
      </c>
      <c r="I187" s="157"/>
      <c r="J187" s="330">
        <v>711004</v>
      </c>
      <c r="K187" s="329">
        <v>-55.382600000000004</v>
      </c>
      <c r="L187" s="157"/>
      <c r="M187" s="360">
        <f t="shared" si="24"/>
        <v>711004</v>
      </c>
      <c r="N187" s="237">
        <f t="shared" si="25"/>
        <v>-55.382600000000004</v>
      </c>
      <c r="O187" s="361"/>
      <c r="P187" s="361"/>
      <c r="Q187" s="361" t="s">
        <v>698</v>
      </c>
      <c r="R187" s="362">
        <v>35</v>
      </c>
      <c r="S187" s="236"/>
      <c r="T187" s="364">
        <f t="shared" si="26"/>
        <v>711004</v>
      </c>
      <c r="U187" s="365">
        <f>N187</f>
        <v>-55.382600000000004</v>
      </c>
      <c r="V187" s="365">
        <f>IF($Q187="ekrk",IF($R187="data",IFERROR(INDEX(data!$A:$ALL,MATCH($M187,data!$A:$A,0),MATCH(V$2,data!$1:$1,0)),"#data"),IFERROR(U187*INDEX(indexy_SDcast!$A:$ALI,MATCH($R187,indexy_SDcast!$K:$K,0),MATCH(V$2,indexy_SDcast!$2:$2,0)),"#ekrk")),"#popis")</f>
        <v>-70.902584699948477</v>
      </c>
      <c r="W187" s="365">
        <f>IF($Q187="ekrk",IF($R187="data",IFERROR(INDEX(data!$A:$ALL,MATCH($M187,data!$A:$A,0),MATCH(W$2,data!$1:$1,0)),"#data"),IFERROR(V187*INDEX(indexy_SDcast!$A:$ALI,MATCH($R187,indexy_SDcast!$K:$K,0),MATCH(W$2,indexy_SDcast!$2:$2,0)),"#ekrk")),"#popis")</f>
        <v>-71.699622327939778</v>
      </c>
      <c r="X187" s="365">
        <f>IF($Q187="ekrk",IF($R187="data",IFERROR(INDEX(data!$A:$ALL,MATCH($M187,data!$A:$A,0),MATCH(X$2,data!$1:$1,0)),"#data"),IFERROR(W187*INDEX(indexy_SDcast!$A:$ALI,MATCH($R187,indexy_SDcast!$K:$K,0),MATCH(X$2,indexy_SDcast!$2:$2,0)),"#ekrk")),"#popis")</f>
        <v>-46.054530863668973</v>
      </c>
      <c r="Y187" s="362">
        <f>IF($Q187="ekrk",IF($R187="data",IFERROR(INDEX(data!$A:$ALL,MATCH($M187,data!$A:$A,0),MATCH(Y$2,data!$1:$1,0)),"#data"),IFERROR(X187*INDEX(indexy_SDcast!$A:$ALI,MATCH($R187,indexy_SDcast!$K:$K,0),MATCH(Y$2,indexy_SDcast!$2:$2,0)),"#ekrk")),"#popis")</f>
        <v>-62.304778336834552</v>
      </c>
    </row>
    <row r="188" spans="1:44" s="18" customFormat="1" x14ac:dyDescent="0.25">
      <c r="A188" s="333" t="s">
        <v>753</v>
      </c>
      <c r="B188" s="334">
        <v>-46828.986830000002</v>
      </c>
      <c r="C188" s="164"/>
      <c r="D188" s="333" t="s">
        <v>753</v>
      </c>
      <c r="E188" s="334">
        <v>-46828.986830000002</v>
      </c>
      <c r="F188" s="164"/>
      <c r="G188" s="333" t="s">
        <v>753</v>
      </c>
      <c r="H188" s="334">
        <v>-46828.986830000002</v>
      </c>
      <c r="I188" s="164"/>
      <c r="J188" s="333" t="s">
        <v>753</v>
      </c>
      <c r="K188" s="334">
        <v>-46828.986830000002</v>
      </c>
      <c r="L188" s="164"/>
      <c r="M188" s="358" t="str">
        <f t="shared" si="24"/>
        <v>P2</v>
      </c>
      <c r="N188" s="239">
        <f t="shared" si="25"/>
        <v>-46828.986830000002</v>
      </c>
      <c r="O188" s="243"/>
      <c r="P188" s="243">
        <f>MATCH(Q188,Q189:Q$1550,0)</f>
        <v>48</v>
      </c>
      <c r="Q188" s="243" t="s">
        <v>697</v>
      </c>
      <c r="R188" s="359" t="str">
        <f>IF(Q188="ekrk",INDEX(indexy_SDcast!$A:$C,MATCH($M188,indexy_SDcast!$A:$A,0),2),"")</f>
        <v/>
      </c>
      <c r="S188" s="240"/>
      <c r="T188" s="363" t="str">
        <f t="shared" si="26"/>
        <v>P2</v>
      </c>
      <c r="U188" s="244">
        <f>SUM(U189:U235)</f>
        <v>-46828.986830000002</v>
      </c>
      <c r="V188" s="244">
        <f>SUM(V189:V235)</f>
        <v>-59951.974178295124</v>
      </c>
      <c r="W188" s="244">
        <f>SUM(W189:W235)</f>
        <v>-60625.91264604887</v>
      </c>
      <c r="X188" s="244">
        <f>SUM(X189:X235)</f>
        <v>-38941.599334025181</v>
      </c>
      <c r="Y188" s="359">
        <f>SUM(Y189:Y235)</f>
        <v>-52682.06339503191</v>
      </c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</row>
    <row r="189" spans="1:44" x14ac:dyDescent="0.25">
      <c r="A189" s="330">
        <v>631001</v>
      </c>
      <c r="B189" s="329">
        <v>-331.28917000000007</v>
      </c>
      <c r="C189" s="157"/>
      <c r="D189" s="330">
        <v>631001</v>
      </c>
      <c r="E189" s="329">
        <v>-331.28917000000007</v>
      </c>
      <c r="F189" s="157"/>
      <c r="G189" s="330">
        <v>631001</v>
      </c>
      <c r="H189" s="329">
        <v>-331.28917000000007</v>
      </c>
      <c r="I189" s="157"/>
      <c r="J189" s="330">
        <v>631001</v>
      </c>
      <c r="K189" s="329">
        <v>-331.28917000000007</v>
      </c>
      <c r="L189" s="157"/>
      <c r="M189" s="360">
        <f t="shared" si="24"/>
        <v>631001</v>
      </c>
      <c r="N189" s="237">
        <f t="shared" si="25"/>
        <v>-331.28917000000007</v>
      </c>
      <c r="O189" s="361"/>
      <c r="P189" s="361"/>
      <c r="Q189" s="361" t="s">
        <v>698</v>
      </c>
      <c r="R189" s="362">
        <v>35</v>
      </c>
      <c r="S189" s="236"/>
      <c r="T189" s="364">
        <f t="shared" si="26"/>
        <v>631001</v>
      </c>
      <c r="U189" s="365">
        <f t="shared" ref="U189:U235" si="27">N189</f>
        <v>-331.28917000000007</v>
      </c>
      <c r="V189" s="365">
        <f>IF($Q189="ekrk",IF($R189="data",IFERROR(INDEX(data!$A:$ALL,MATCH($M189,data!$A:$A,0),MATCH(V$2,data!$1:$1,0)),"#data"),IFERROR(U189*INDEX(indexy_SDcast!$A:$ALI,MATCH($R189,indexy_SDcast!$K:$K,0),MATCH(V$2,indexy_SDcast!$2:$2,0)),"#ekrk")),"#popis")</f>
        <v>-424.12704416370184</v>
      </c>
      <c r="W189" s="365">
        <f>IF($Q189="ekrk",IF($R189="data",IFERROR(INDEX(data!$A:$ALL,MATCH($M189,data!$A:$A,0),MATCH(W$2,data!$1:$1,0)),"#data"),IFERROR(V189*INDEX(indexy_SDcast!$A:$ALI,MATCH($R189,indexy_SDcast!$K:$K,0),MATCH(W$2,indexy_SDcast!$2:$2,0)),"#ekrk")),"#popis")</f>
        <v>-428.89478591356567</v>
      </c>
      <c r="X189" s="365">
        <f>IF($Q189="ekrk",IF($R189="data",IFERROR(INDEX(data!$A:$ALL,MATCH($M189,data!$A:$A,0),MATCH(X$2,data!$1:$1,0)),"#data"),IFERROR(W189*INDEX(indexy_SDcast!$A:$ALI,MATCH($R189,indexy_SDcast!$K:$K,0),MATCH(X$2,indexy_SDcast!$2:$2,0)),"#ekrk")),"#popis")</f>
        <v>-275.49026778382159</v>
      </c>
      <c r="Y189" s="362">
        <f>IF($Q189="ekrk",IF($R189="data",IFERROR(INDEX(data!$A:$ALL,MATCH($M189,data!$A:$A,0),MATCH(Y$2,data!$1:$1,0)),"#data"),IFERROR(X189*INDEX(indexy_SDcast!$A:$ALI,MATCH($R189,indexy_SDcast!$K:$K,0),MATCH(Y$2,indexy_SDcast!$2:$2,0)),"#ekrk")),"#popis")</f>
        <v>-372.69644802237349</v>
      </c>
    </row>
    <row r="190" spans="1:44" x14ac:dyDescent="0.25">
      <c r="A190" s="330">
        <v>631002</v>
      </c>
      <c r="B190" s="329">
        <v>-550.28769000000011</v>
      </c>
      <c r="C190" s="157"/>
      <c r="D190" s="330">
        <v>631002</v>
      </c>
      <c r="E190" s="329">
        <v>-550.28769000000011</v>
      </c>
      <c r="F190" s="157"/>
      <c r="G190" s="330">
        <v>631002</v>
      </c>
      <c r="H190" s="329">
        <v>-550.28769000000011</v>
      </c>
      <c r="I190" s="157"/>
      <c r="J190" s="330">
        <v>631002</v>
      </c>
      <c r="K190" s="329">
        <v>-550.28769000000011</v>
      </c>
      <c r="L190" s="157"/>
      <c r="M190" s="360">
        <f t="shared" si="24"/>
        <v>631002</v>
      </c>
      <c r="N190" s="237">
        <f t="shared" si="25"/>
        <v>-550.28769000000011</v>
      </c>
      <c r="O190" s="361"/>
      <c r="P190" s="361"/>
      <c r="Q190" s="361" t="s">
        <v>698</v>
      </c>
      <c r="R190" s="362">
        <v>35</v>
      </c>
      <c r="S190" s="236"/>
      <c r="T190" s="364">
        <f t="shared" si="26"/>
        <v>631002</v>
      </c>
      <c r="U190" s="365">
        <f t="shared" si="27"/>
        <v>-550.28769000000011</v>
      </c>
      <c r="V190" s="365">
        <f>IF($Q190="ekrk",IF($R190="data",IFERROR(INDEX(data!$A:$ALL,MATCH($M190,data!$A:$A,0),MATCH(V$2,data!$1:$1,0)),"#data"),IFERROR(U190*INDEX(indexy_SDcast!$A:$ALI,MATCH($R190,indexy_SDcast!$K:$K,0),MATCH(V$2,indexy_SDcast!$2:$2,0)),"#ekrk")),"#popis")</f>
        <v>-704.4959888044981</v>
      </c>
      <c r="W190" s="365">
        <f>IF($Q190="ekrk",IF($R190="data",IFERROR(INDEX(data!$A:$ALL,MATCH($M190,data!$A:$A,0),MATCH(W$2,data!$1:$1,0)),"#data"),IFERROR(V190*INDEX(indexy_SDcast!$A:$ALI,MATCH($R190,indexy_SDcast!$K:$K,0),MATCH(W$2,indexy_SDcast!$2:$2,0)),"#ekrk")),"#popis")</f>
        <v>-712.4154435637621</v>
      </c>
      <c r="X190" s="365">
        <f>IF($Q190="ekrk",IF($R190="data",IFERROR(INDEX(data!$A:$ALL,MATCH($M190,data!$A:$A,0),MATCH(X$2,data!$1:$1,0)),"#data"),IFERROR(W190*INDEX(indexy_SDcast!$A:$ALI,MATCH($R190,indexy_SDcast!$K:$K,0),MATCH(X$2,indexy_SDcast!$2:$2,0)),"#ekrk")),"#popis")</f>
        <v>-457.60295477283671</v>
      </c>
      <c r="Y190" s="362">
        <f>IF($Q190="ekrk",IF($R190="data",IFERROR(INDEX(data!$A:$ALL,MATCH($M190,data!$A:$A,0),MATCH(Y$2,data!$1:$1,0)),"#data"),IFERROR(X190*INDEX(indexy_SDcast!$A:$ALI,MATCH($R190,indexy_SDcast!$K:$K,0),MATCH(Y$2,indexy_SDcast!$2:$2,0)),"#ekrk")),"#popis")</f>
        <v>-619.06722593267079</v>
      </c>
    </row>
    <row r="191" spans="1:44" x14ac:dyDescent="0.25">
      <c r="A191" s="330">
        <v>631004</v>
      </c>
      <c r="B191" s="329">
        <v>-2.2799999999999999E-3</v>
      </c>
      <c r="C191" s="157"/>
      <c r="D191" s="330">
        <v>631004</v>
      </c>
      <c r="E191" s="329">
        <v>-2.2799999999999999E-3</v>
      </c>
      <c r="F191" s="157"/>
      <c r="G191" s="330">
        <v>631004</v>
      </c>
      <c r="H191" s="329">
        <v>-2.2799999999999999E-3</v>
      </c>
      <c r="I191" s="157"/>
      <c r="J191" s="330">
        <v>631004</v>
      </c>
      <c r="K191" s="329">
        <v>-2.2799999999999999E-3</v>
      </c>
      <c r="L191" s="157"/>
      <c r="M191" s="360">
        <f t="shared" si="24"/>
        <v>631004</v>
      </c>
      <c r="N191" s="237">
        <f t="shared" si="25"/>
        <v>-2.2799999999999999E-3</v>
      </c>
      <c r="O191" s="361"/>
      <c r="P191" s="361"/>
      <c r="Q191" s="361" t="s">
        <v>698</v>
      </c>
      <c r="R191" s="362">
        <v>35</v>
      </c>
      <c r="S191" s="236"/>
      <c r="T191" s="364">
        <f t="shared" si="26"/>
        <v>631004</v>
      </c>
      <c r="U191" s="365">
        <f t="shared" si="27"/>
        <v>-2.2799999999999999E-3</v>
      </c>
      <c r="V191" s="365">
        <f>IF($Q191="ekrk",IF($R191="data",IFERROR(INDEX(data!$A:$ALL,MATCH($M191,data!$A:$A,0),MATCH(V$2,data!$1:$1,0)),"#data"),IFERROR(U191*INDEX(indexy_SDcast!$A:$ALI,MATCH($R191,indexy_SDcast!$K:$K,0),MATCH(V$2,indexy_SDcast!$2:$2,0)),"#ekrk")),"#popis")</f>
        <v>-2.9189292867413683E-3</v>
      </c>
      <c r="W191" s="365">
        <f>IF($Q191="ekrk",IF($R191="data",IFERROR(INDEX(data!$A:$ALL,MATCH($M191,data!$A:$A,0),MATCH(W$2,data!$1:$1,0)),"#data"),IFERROR(V191*INDEX(indexy_SDcast!$A:$ALI,MATCH($R191,indexy_SDcast!$K:$K,0),MATCH(W$2,indexy_SDcast!$2:$2,0)),"#ekrk")),"#popis")</f>
        <v>-2.9517418631068723E-3</v>
      </c>
      <c r="X191" s="365">
        <f>IF($Q191="ekrk",IF($R191="data",IFERROR(INDEX(data!$A:$ALL,MATCH($M191,data!$A:$A,0),MATCH(X$2,data!$1:$1,0)),"#data"),IFERROR(W191*INDEX(indexy_SDcast!$A:$ALI,MATCH($R191,indexy_SDcast!$K:$K,0),MATCH(X$2,indexy_SDcast!$2:$2,0)),"#ekrk")),"#popis")</f>
        <v>-1.8959805131786018E-3</v>
      </c>
      <c r="Y191" s="362">
        <f>IF($Q191="ekrk",IF($R191="data",IFERROR(INDEX(data!$A:$ALL,MATCH($M191,data!$A:$A,0),MATCH(Y$2,data!$1:$1,0)),"#data"),IFERROR(X191*INDEX(indexy_SDcast!$A:$ALI,MATCH($R191,indexy_SDcast!$K:$K,0),MATCH(Y$2,indexy_SDcast!$2:$2,0)),"#ekrk")),"#popis")</f>
        <v>-2.5649733780642794E-3</v>
      </c>
    </row>
    <row r="192" spans="1:44" x14ac:dyDescent="0.25">
      <c r="A192" s="330">
        <v>632001</v>
      </c>
      <c r="B192" s="329">
        <v>-191.17868999999999</v>
      </c>
      <c r="C192" s="157"/>
      <c r="D192" s="330">
        <v>632001</v>
      </c>
      <c r="E192" s="329">
        <v>-191.17868999999999</v>
      </c>
      <c r="F192" s="157"/>
      <c r="G192" s="330">
        <v>632001</v>
      </c>
      <c r="H192" s="329">
        <v>-191.17868999999999</v>
      </c>
      <c r="I192" s="157"/>
      <c r="J192" s="330">
        <v>632001</v>
      </c>
      <c r="K192" s="329">
        <v>-191.17868999999999</v>
      </c>
      <c r="L192" s="157"/>
      <c r="M192" s="360">
        <f t="shared" si="24"/>
        <v>632001</v>
      </c>
      <c r="N192" s="237">
        <f t="shared" si="25"/>
        <v>-191.17868999999999</v>
      </c>
      <c r="O192" s="361"/>
      <c r="P192" s="361"/>
      <c r="Q192" s="361" t="s">
        <v>698</v>
      </c>
      <c r="R192" s="362">
        <v>35</v>
      </c>
      <c r="S192" s="236"/>
      <c r="T192" s="364">
        <f t="shared" si="26"/>
        <v>632001</v>
      </c>
      <c r="U192" s="365">
        <f t="shared" si="27"/>
        <v>-191.17868999999999</v>
      </c>
      <c r="V192" s="365">
        <f>IF($Q192="ekrk",IF($R192="data",IFERROR(INDEX(data!$A:$ALL,MATCH($M192,data!$A:$A,0),MATCH(V$2,data!$1:$1,0)),"#data"),IFERROR(U192*INDEX(indexy_SDcast!$A:$ALI,MATCH($R192,indexy_SDcast!$K:$K,0),MATCH(V$2,indexy_SDcast!$2:$2,0)),"#ekrk")),"#popis")</f>
        <v>-244.75310405344263</v>
      </c>
      <c r="W192" s="365">
        <f>IF($Q192="ekrk",IF($R192="data",IFERROR(INDEX(data!$A:$ALL,MATCH($M192,data!$A:$A,0),MATCH(W$2,data!$1:$1,0)),"#data"),IFERROR(V192*INDEX(indexy_SDcast!$A:$ALI,MATCH($R192,indexy_SDcast!$K:$K,0),MATCH(W$2,indexy_SDcast!$2:$2,0)),"#ekrk")),"#popis")</f>
        <v>-247.50444851181194</v>
      </c>
      <c r="X192" s="365">
        <f>IF($Q192="ekrk",IF($R192="data",IFERROR(INDEX(data!$A:$ALL,MATCH($M192,data!$A:$A,0),MATCH(X$2,data!$1:$1,0)),"#data"),IFERROR(W192*INDEX(indexy_SDcast!$A:$ALI,MATCH($R192,indexy_SDcast!$K:$K,0),MATCH(X$2,indexy_SDcast!$2:$2,0)),"#ekrk")),"#popis")</f>
        <v>-158.97853981360214</v>
      </c>
      <c r="Y192" s="362">
        <f>IF($Q192="ekrk",IF($R192="data",IFERROR(INDEX(data!$A:$ALL,MATCH($M192,data!$A:$A,0),MATCH(Y$2,data!$1:$1,0)),"#data"),IFERROR(X192*INDEX(indexy_SDcast!$A:$ALI,MATCH($R192,indexy_SDcast!$K:$K,0),MATCH(Y$2,indexy_SDcast!$2:$2,0)),"#ekrk")),"#popis")</f>
        <v>-215.0737939926332</v>
      </c>
    </row>
    <row r="193" spans="1:25" x14ac:dyDescent="0.25">
      <c r="A193" s="330">
        <v>632002</v>
      </c>
      <c r="B193" s="329">
        <v>-6.8680900000000005</v>
      </c>
      <c r="C193" s="157"/>
      <c r="D193" s="330">
        <v>632002</v>
      </c>
      <c r="E193" s="329">
        <v>-6.8680900000000005</v>
      </c>
      <c r="F193" s="157"/>
      <c r="G193" s="330">
        <v>632002</v>
      </c>
      <c r="H193" s="329">
        <v>-6.8680900000000005</v>
      </c>
      <c r="I193" s="157"/>
      <c r="J193" s="330">
        <v>632002</v>
      </c>
      <c r="K193" s="329">
        <v>-6.8680900000000005</v>
      </c>
      <c r="L193" s="157"/>
      <c r="M193" s="360">
        <f t="shared" si="24"/>
        <v>632002</v>
      </c>
      <c r="N193" s="237">
        <f t="shared" si="25"/>
        <v>-6.8680900000000005</v>
      </c>
      <c r="O193" s="361"/>
      <c r="P193" s="361"/>
      <c r="Q193" s="361" t="s">
        <v>698</v>
      </c>
      <c r="R193" s="362">
        <v>35</v>
      </c>
      <c r="S193" s="236"/>
      <c r="T193" s="364">
        <f t="shared" si="26"/>
        <v>632002</v>
      </c>
      <c r="U193" s="365">
        <f t="shared" si="27"/>
        <v>-6.8680900000000005</v>
      </c>
      <c r="V193" s="365">
        <f>IF($Q193="ekrk",IF($R193="data",IFERROR(INDEX(data!$A:$ALL,MATCH($M193,data!$A:$A,0),MATCH(V$2,data!$1:$1,0)),"#data"),IFERROR(U193*INDEX(indexy_SDcast!$A:$ALI,MATCH($R193,indexy_SDcast!$K:$K,0),MATCH(V$2,indexy_SDcast!$2:$2,0)),"#ekrk")),"#popis")</f>
        <v>-8.7927495811296179</v>
      </c>
      <c r="W193" s="365">
        <f>IF($Q193="ekrk",IF($R193="data",IFERROR(INDEX(data!$A:$ALL,MATCH($M193,data!$A:$A,0),MATCH(W$2,data!$1:$1,0)),"#data"),IFERROR(V193*INDEX(indexy_SDcast!$A:$ALI,MATCH($R193,indexy_SDcast!$K:$K,0),MATCH(W$2,indexy_SDcast!$2:$2,0)),"#ekrk")),"#popis")</f>
        <v>-8.8915915669235464</v>
      </c>
      <c r="X193" s="365">
        <f>IF($Q193="ekrk",IF($R193="data",IFERROR(INDEX(data!$A:$ALL,MATCH($M193,data!$A:$A,0),MATCH(X$2,data!$1:$1,0)),"#data"),IFERROR(W193*INDEX(indexy_SDcast!$A:$ALI,MATCH($R193,indexy_SDcast!$K:$K,0),MATCH(X$2,indexy_SDcast!$2:$2,0)),"#ekrk")),"#popis")</f>
        <v>-5.7113003520863277</v>
      </c>
      <c r="Y193" s="362">
        <f>IF($Q193="ekrk",IF($R193="data",IFERROR(INDEX(data!$A:$ALL,MATCH($M193,data!$A:$A,0),MATCH(Y$2,data!$1:$1,0)),"#data"),IFERROR(X193*INDEX(indexy_SDcast!$A:$ALI,MATCH($R193,indexy_SDcast!$K:$K,0),MATCH(Y$2,indexy_SDcast!$2:$2,0)),"#ekrk")),"#popis")</f>
        <v>-7.7265210562059217</v>
      </c>
    </row>
    <row r="194" spans="1:25" x14ac:dyDescent="0.25">
      <c r="A194" s="330">
        <v>632003</v>
      </c>
      <c r="B194" s="329">
        <v>-244.67026999999999</v>
      </c>
      <c r="C194" s="157"/>
      <c r="D194" s="330">
        <v>632003</v>
      </c>
      <c r="E194" s="329">
        <v>-244.67026999999999</v>
      </c>
      <c r="F194" s="157"/>
      <c r="G194" s="330">
        <v>632003</v>
      </c>
      <c r="H194" s="329">
        <v>-244.67026999999999</v>
      </c>
      <c r="I194" s="157"/>
      <c r="J194" s="330">
        <v>632003</v>
      </c>
      <c r="K194" s="329">
        <v>-244.67026999999999</v>
      </c>
      <c r="L194" s="157"/>
      <c r="M194" s="360">
        <f t="shared" si="24"/>
        <v>632003</v>
      </c>
      <c r="N194" s="237">
        <f t="shared" si="25"/>
        <v>-244.67026999999999</v>
      </c>
      <c r="O194" s="361"/>
      <c r="P194" s="361"/>
      <c r="Q194" s="361" t="s">
        <v>698</v>
      </c>
      <c r="R194" s="362">
        <v>35</v>
      </c>
      <c r="S194" s="236"/>
      <c r="T194" s="364">
        <f t="shared" si="26"/>
        <v>632003</v>
      </c>
      <c r="U194" s="365">
        <f t="shared" si="27"/>
        <v>-244.67026999999999</v>
      </c>
      <c r="V194" s="365">
        <f>IF($Q194="ekrk",IF($R194="data",IFERROR(INDEX(data!$A:$ALL,MATCH($M194,data!$A:$A,0),MATCH(V$2,data!$1:$1,0)),"#data"),IFERROR(U194*INDEX(indexy_SDcast!$A:$ALI,MATCH($R194,indexy_SDcast!$K:$K,0),MATCH(V$2,indexy_SDcast!$2:$2,0)),"#ekrk")),"#popis")</f>
        <v>-313.23474416575351</v>
      </c>
      <c r="W194" s="365">
        <f>IF($Q194="ekrk",IF($R194="data",IFERROR(INDEX(data!$A:$ALL,MATCH($M194,data!$A:$A,0),MATCH(W$2,data!$1:$1,0)),"#data"),IFERROR(V194*INDEX(indexy_SDcast!$A:$ALI,MATCH($R194,indexy_SDcast!$K:$K,0),MATCH(W$2,indexy_SDcast!$2:$2,0)),"#ekrk")),"#popis")</f>
        <v>-316.75591167397437</v>
      </c>
      <c r="X194" s="365">
        <f>IF($Q194="ekrk",IF($R194="data",IFERROR(INDEX(data!$A:$ALL,MATCH($M194,data!$A:$A,0),MATCH(X$2,data!$1:$1,0)),"#data"),IFERROR(W194*INDEX(indexy_SDcast!$A:$ALI,MATCH($R194,indexy_SDcast!$K:$K,0),MATCH(X$2,indexy_SDcast!$2:$2,0)),"#ekrk")),"#popis")</f>
        <v>-203.46055441848557</v>
      </c>
      <c r="Y194" s="362">
        <f>IF($Q194="ekrk",IF($R194="data",IFERROR(INDEX(data!$A:$ALL,MATCH($M194,data!$A:$A,0),MATCH(Y$2,data!$1:$1,0)),"#data"),IFERROR(X194*INDEX(indexy_SDcast!$A:$ALI,MATCH($R194,indexy_SDcast!$K:$K,0),MATCH(Y$2,indexy_SDcast!$2:$2,0)),"#ekrk")),"#popis")</f>
        <v>-275.25119690956109</v>
      </c>
    </row>
    <row r="195" spans="1:25" x14ac:dyDescent="0.25">
      <c r="A195" s="330">
        <v>632004</v>
      </c>
      <c r="B195" s="329">
        <v>-6.0817900000000007</v>
      </c>
      <c r="C195" s="157"/>
      <c r="D195" s="330">
        <v>632004</v>
      </c>
      <c r="E195" s="329">
        <v>-6.0817900000000007</v>
      </c>
      <c r="F195" s="157"/>
      <c r="G195" s="330">
        <v>632004</v>
      </c>
      <c r="H195" s="329">
        <v>-6.0817900000000007</v>
      </c>
      <c r="I195" s="157"/>
      <c r="J195" s="330">
        <v>632004</v>
      </c>
      <c r="K195" s="329">
        <v>-6.0817900000000007</v>
      </c>
      <c r="L195" s="157"/>
      <c r="M195" s="360">
        <f t="shared" si="24"/>
        <v>632004</v>
      </c>
      <c r="N195" s="237">
        <f t="shared" si="25"/>
        <v>-6.0817900000000007</v>
      </c>
      <c r="O195" s="361"/>
      <c r="P195" s="361"/>
      <c r="Q195" s="361" t="s">
        <v>698</v>
      </c>
      <c r="R195" s="362">
        <v>35</v>
      </c>
      <c r="S195" s="236"/>
      <c r="T195" s="364">
        <f t="shared" si="26"/>
        <v>632004</v>
      </c>
      <c r="U195" s="365">
        <f t="shared" si="27"/>
        <v>-6.0817900000000007</v>
      </c>
      <c r="V195" s="365">
        <f>IF($Q195="ekrk",IF($R195="data",IFERROR(INDEX(data!$A:$ALL,MATCH($M195,data!$A:$A,0),MATCH(V$2,data!$1:$1,0)),"#data"),IFERROR(U195*INDEX(indexy_SDcast!$A:$ALI,MATCH($R195,indexy_SDcast!$K:$K,0),MATCH(V$2,indexy_SDcast!$2:$2,0)),"#ekrk")),"#popis")</f>
        <v>-7.7861030468468382</v>
      </c>
      <c r="W195" s="365">
        <f>IF($Q195="ekrk",IF($R195="data",IFERROR(INDEX(data!$A:$ALL,MATCH($M195,data!$A:$A,0),MATCH(W$2,data!$1:$1,0)),"#data"),IFERROR(V195*INDEX(indexy_SDcast!$A:$ALI,MATCH($R195,indexy_SDcast!$K:$K,0),MATCH(W$2,indexy_SDcast!$2:$2,0)),"#ekrk")),"#popis")</f>
        <v>-7.8736290112389256</v>
      </c>
      <c r="X195" s="365">
        <f>IF($Q195="ekrk",IF($R195="data",IFERROR(INDEX(data!$A:$ALL,MATCH($M195,data!$A:$A,0),MATCH(X$2,data!$1:$1,0)),"#data"),IFERROR(W195*INDEX(indexy_SDcast!$A:$ALI,MATCH($R195,indexy_SDcast!$K:$K,0),MATCH(X$2,indexy_SDcast!$2:$2,0)),"#ekrk")),"#popis")</f>
        <v>-5.0574365461598649</v>
      </c>
      <c r="Y195" s="362">
        <f>IF($Q195="ekrk",IF($R195="data",IFERROR(INDEX(data!$A:$ALL,MATCH($M195,data!$A:$A,0),MATCH(Y$2,data!$1:$1,0)),"#data"),IFERROR(X195*INDEX(indexy_SDcast!$A:$ALI,MATCH($R195,indexy_SDcast!$K:$K,0),MATCH(Y$2,indexy_SDcast!$2:$2,0)),"#ekrk")),"#popis")</f>
        <v>-6.8419427372708581</v>
      </c>
    </row>
    <row r="196" spans="1:25" x14ac:dyDescent="0.25">
      <c r="A196" s="330">
        <v>633001</v>
      </c>
      <c r="B196" s="329">
        <v>-943.08404999999993</v>
      </c>
      <c r="C196" s="157"/>
      <c r="D196" s="330">
        <v>633001</v>
      </c>
      <c r="E196" s="329">
        <v>-943.08404999999993</v>
      </c>
      <c r="F196" s="157"/>
      <c r="G196" s="330">
        <v>633001</v>
      </c>
      <c r="H196" s="329">
        <v>-943.08404999999993</v>
      </c>
      <c r="I196" s="157"/>
      <c r="J196" s="330">
        <v>633001</v>
      </c>
      <c r="K196" s="329">
        <v>-943.08404999999993</v>
      </c>
      <c r="L196" s="157"/>
      <c r="M196" s="360">
        <f t="shared" si="24"/>
        <v>633001</v>
      </c>
      <c r="N196" s="237">
        <f t="shared" si="25"/>
        <v>-943.08404999999993</v>
      </c>
      <c r="O196" s="361"/>
      <c r="P196" s="361"/>
      <c r="Q196" s="361" t="s">
        <v>698</v>
      </c>
      <c r="R196" s="362">
        <v>35</v>
      </c>
      <c r="S196" s="236"/>
      <c r="T196" s="364">
        <f t="shared" si="26"/>
        <v>633001</v>
      </c>
      <c r="U196" s="365">
        <f t="shared" si="27"/>
        <v>-943.08404999999993</v>
      </c>
      <c r="V196" s="365">
        <f>IF($Q196="ekrk",IF($R196="data",IFERROR(INDEX(data!$A:$ALL,MATCH($M196,data!$A:$A,0),MATCH(V$2,data!$1:$1,0)),"#data"),IFERROR(U196*INDEX(indexy_SDcast!$A:$ALI,MATCH($R196,indexy_SDcast!$K:$K,0),MATCH(V$2,indexy_SDcast!$2:$2,0)),"#ekrk")),"#popis")</f>
        <v>-1207.3665146507285</v>
      </c>
      <c r="W196" s="365">
        <f>IF($Q196="ekrk",IF($R196="data",IFERROR(INDEX(data!$A:$ALL,MATCH($M196,data!$A:$A,0),MATCH(W$2,data!$1:$1,0)),"#data"),IFERROR(V196*INDEX(indexy_SDcast!$A:$ALI,MATCH($R196,indexy_SDcast!$K:$K,0),MATCH(W$2,indexy_SDcast!$2:$2,0)),"#ekrk")),"#popis")</f>
        <v>-1220.9388907076207</v>
      </c>
      <c r="X196" s="365">
        <f>IF($Q196="ekrk",IF($R196="data",IFERROR(INDEX(data!$A:$ALL,MATCH($M196,data!$A:$A,0),MATCH(X$2,data!$1:$1,0)),"#data"),IFERROR(W196*INDEX(indexy_SDcast!$A:$ALI,MATCH($R196,indexy_SDcast!$K:$K,0),MATCH(X$2,indexy_SDcast!$2:$2,0)),"#ekrk")),"#popis")</f>
        <v>-784.24078117962915</v>
      </c>
      <c r="Y196" s="362">
        <f>IF($Q196="ekrk",IF($R196="data",IFERROR(INDEX(data!$A:$ALL,MATCH($M196,data!$A:$A,0),MATCH(Y$2,data!$1:$1,0)),"#data"),IFERROR(X196*INDEX(indexy_SDcast!$A:$ALI,MATCH($R196,indexy_SDcast!$K:$K,0),MATCH(Y$2,indexy_SDcast!$2:$2,0)),"#ekrk")),"#popis")</f>
        <v>-1060.9585445294044</v>
      </c>
    </row>
    <row r="197" spans="1:25" x14ac:dyDescent="0.25">
      <c r="A197" s="330">
        <v>633002</v>
      </c>
      <c r="B197" s="329">
        <v>-3820.9992400000001</v>
      </c>
      <c r="C197" s="157"/>
      <c r="D197" s="330">
        <v>633002</v>
      </c>
      <c r="E197" s="329">
        <v>-3820.9992400000001</v>
      </c>
      <c r="F197" s="157"/>
      <c r="G197" s="330">
        <v>633002</v>
      </c>
      <c r="H197" s="329">
        <v>-3820.9992400000001</v>
      </c>
      <c r="I197" s="157"/>
      <c r="J197" s="330">
        <v>633002</v>
      </c>
      <c r="K197" s="329">
        <v>-3820.9992400000001</v>
      </c>
      <c r="L197" s="157"/>
      <c r="M197" s="360">
        <f t="shared" si="24"/>
        <v>633002</v>
      </c>
      <c r="N197" s="237">
        <f t="shared" si="25"/>
        <v>-3820.9992400000001</v>
      </c>
      <c r="O197" s="361"/>
      <c r="P197" s="361"/>
      <c r="Q197" s="361" t="s">
        <v>698</v>
      </c>
      <c r="R197" s="362">
        <v>35</v>
      </c>
      <c r="S197" s="236"/>
      <c r="T197" s="364">
        <f t="shared" si="26"/>
        <v>633002</v>
      </c>
      <c r="U197" s="365">
        <f t="shared" si="27"/>
        <v>-3820.9992400000001</v>
      </c>
      <c r="V197" s="365">
        <f>IF($Q197="ekrk",IF($R197="data",IFERROR(INDEX(data!$A:$ALL,MATCH($M197,data!$A:$A,0),MATCH(V$2,data!$1:$1,0)),"#data"),IFERROR(U197*INDEX(indexy_SDcast!$A:$ALI,MATCH($R197,indexy_SDcast!$K:$K,0),MATCH(V$2,indexy_SDcast!$2:$2,0)),"#ekrk")),"#popis")</f>
        <v>-4891.7660466019788</v>
      </c>
      <c r="W197" s="365">
        <f>IF($Q197="ekrk",IF($R197="data",IFERROR(INDEX(data!$A:$ALL,MATCH($M197,data!$A:$A,0),MATCH(W$2,data!$1:$1,0)),"#data"),IFERROR(V197*INDEX(indexy_SDcast!$A:$ALI,MATCH($R197,indexy_SDcast!$K:$K,0),MATCH(W$2,indexy_SDcast!$2:$2,0)),"#ekrk")),"#popis")</f>
        <v>-4946.7558840383972</v>
      </c>
      <c r="X197" s="365">
        <f>IF($Q197="ekrk",IF($R197="data",IFERROR(INDEX(data!$A:$ALL,MATCH($M197,data!$A:$A,0),MATCH(X$2,data!$1:$1,0)),"#data"),IFERROR(W197*INDEX(indexy_SDcast!$A:$ALI,MATCH($R197,indexy_SDcast!$K:$K,0),MATCH(X$2,indexy_SDcast!$2:$2,0)),"#ekrk")),"#popis")</f>
        <v>-3177.4298683816883</v>
      </c>
      <c r="Y197" s="362">
        <f>IF($Q197="ekrk",IF($R197="data",IFERROR(INDEX(data!$A:$ALL,MATCH($M197,data!$A:$A,0),MATCH(Y$2,data!$1:$1,0)),"#data"),IFERROR(X197*INDEX(indexy_SDcast!$A:$ALI,MATCH($R197,indexy_SDcast!$K:$K,0),MATCH(Y$2,indexy_SDcast!$2:$2,0)),"#ekrk")),"#popis")</f>
        <v>-4298.5795299139672</v>
      </c>
    </row>
    <row r="198" spans="1:25" x14ac:dyDescent="0.25">
      <c r="A198" s="330">
        <v>633003</v>
      </c>
      <c r="B198" s="329">
        <v>-51.54757</v>
      </c>
      <c r="C198" s="157"/>
      <c r="D198" s="330">
        <v>633003</v>
      </c>
      <c r="E198" s="329">
        <v>-51.54757</v>
      </c>
      <c r="F198" s="157"/>
      <c r="G198" s="330">
        <v>633003</v>
      </c>
      <c r="H198" s="329">
        <v>-51.54757</v>
      </c>
      <c r="I198" s="157"/>
      <c r="J198" s="330">
        <v>633003</v>
      </c>
      <c r="K198" s="329">
        <v>-51.54757</v>
      </c>
      <c r="L198" s="157"/>
      <c r="M198" s="360">
        <f t="shared" si="24"/>
        <v>633003</v>
      </c>
      <c r="N198" s="237">
        <f t="shared" si="25"/>
        <v>-51.54757</v>
      </c>
      <c r="O198" s="361"/>
      <c r="P198" s="361"/>
      <c r="Q198" s="361" t="s">
        <v>698</v>
      </c>
      <c r="R198" s="362">
        <v>35</v>
      </c>
      <c r="S198" s="236"/>
      <c r="T198" s="364">
        <f t="shared" si="26"/>
        <v>633003</v>
      </c>
      <c r="U198" s="365">
        <f t="shared" si="27"/>
        <v>-51.54757</v>
      </c>
      <c r="V198" s="365">
        <f>IF($Q198="ekrk",IF($R198="data",IFERROR(INDEX(data!$A:$ALL,MATCH($M198,data!$A:$A,0),MATCH(V$2,data!$1:$1,0)),"#data"),IFERROR(U198*INDEX(indexy_SDcast!$A:$ALI,MATCH($R198,indexy_SDcast!$K:$K,0),MATCH(V$2,indexy_SDcast!$2:$2,0)),"#ekrk")),"#popis")</f>
        <v>-65.992856023399455</v>
      </c>
      <c r="W198" s="365">
        <f>IF($Q198="ekrk",IF($R198="data",IFERROR(INDEX(data!$A:$ALL,MATCH($M198,data!$A:$A,0),MATCH(W$2,data!$1:$1,0)),"#data"),IFERROR(V198*INDEX(indexy_SDcast!$A:$ALI,MATCH($R198,indexy_SDcast!$K:$K,0),MATCH(W$2,indexy_SDcast!$2:$2,0)),"#ekrk")),"#popis")</f>
        <v>-66.734701890540322</v>
      </c>
      <c r="X198" s="365">
        <f>IF($Q198="ekrk",IF($R198="data",IFERROR(INDEX(data!$A:$ALL,MATCH($M198,data!$A:$A,0),MATCH(X$2,data!$1:$1,0)),"#data"),IFERROR(W198*INDEX(indexy_SDcast!$A:$ALI,MATCH($R198,indexy_SDcast!$K:$K,0),MATCH(X$2,indexy_SDcast!$2:$2,0)),"#ekrk")),"#popis")</f>
        <v>-42.865433430574519</v>
      </c>
      <c r="Y198" s="362">
        <f>IF($Q198="ekrk",IF($R198="data",IFERROR(INDEX(data!$A:$ALL,MATCH($M198,data!$A:$A,0),MATCH(Y$2,data!$1:$1,0)),"#data"),IFERROR(X198*INDEX(indexy_SDcast!$A:$ALI,MATCH($R198,indexy_SDcast!$K:$K,0),MATCH(Y$2,indexy_SDcast!$2:$2,0)),"#ekrk")),"#popis")</f>
        <v>-57.990414365747768</v>
      </c>
    </row>
    <row r="199" spans="1:25" x14ac:dyDescent="0.25">
      <c r="A199" s="330">
        <v>633004</v>
      </c>
      <c r="B199" s="329">
        <v>-4870.7106699999986</v>
      </c>
      <c r="C199" s="157"/>
      <c r="D199" s="330">
        <v>633004</v>
      </c>
      <c r="E199" s="329">
        <v>-4870.7106699999986</v>
      </c>
      <c r="F199" s="157"/>
      <c r="G199" s="330">
        <v>633004</v>
      </c>
      <c r="H199" s="329">
        <v>-4870.7106699999986</v>
      </c>
      <c r="I199" s="157"/>
      <c r="J199" s="330">
        <v>633004</v>
      </c>
      <c r="K199" s="329">
        <v>-4870.7106699999986</v>
      </c>
      <c r="L199" s="157"/>
      <c r="M199" s="360">
        <f t="shared" si="24"/>
        <v>633004</v>
      </c>
      <c r="N199" s="237">
        <f t="shared" si="25"/>
        <v>-4870.7106699999986</v>
      </c>
      <c r="O199" s="361"/>
      <c r="P199" s="361"/>
      <c r="Q199" s="361" t="s">
        <v>698</v>
      </c>
      <c r="R199" s="362">
        <v>35</v>
      </c>
      <c r="S199" s="236"/>
      <c r="T199" s="364">
        <f t="shared" si="26"/>
        <v>633004</v>
      </c>
      <c r="U199" s="365">
        <f t="shared" si="27"/>
        <v>-4870.7106699999986</v>
      </c>
      <c r="V199" s="365">
        <f>IF($Q199="ekrk",IF($R199="data",IFERROR(INDEX(data!$A:$ALL,MATCH($M199,data!$A:$A,0),MATCH(V$2,data!$1:$1,0)),"#data"),IFERROR(U199*INDEX(indexy_SDcast!$A:$ALI,MATCH($R199,indexy_SDcast!$K:$K,0),MATCH(V$2,indexy_SDcast!$2:$2,0)),"#ekrk")),"#popis")</f>
        <v>-6235.6403604853813</v>
      </c>
      <c r="W199" s="365">
        <f>IF($Q199="ekrk",IF($R199="data",IFERROR(INDEX(data!$A:$ALL,MATCH($M199,data!$A:$A,0),MATCH(W$2,data!$1:$1,0)),"#data"),IFERROR(V199*INDEX(indexy_SDcast!$A:$ALI,MATCH($R199,indexy_SDcast!$K:$K,0),MATCH(W$2,indexy_SDcast!$2:$2,0)),"#ekrk")),"#popis")</f>
        <v>-6305.737099877334</v>
      </c>
      <c r="X199" s="365">
        <f>IF($Q199="ekrk",IF($R199="data",IFERROR(INDEX(data!$A:$ALL,MATCH($M199,data!$A:$A,0),MATCH(X$2,data!$1:$1,0)),"#data"),IFERROR(W199*INDEX(indexy_SDcast!$A:$ALI,MATCH($R199,indexy_SDcast!$K:$K,0),MATCH(X$2,indexy_SDcast!$2:$2,0)),"#ekrk")),"#popis")</f>
        <v>-4050.3388226539873</v>
      </c>
      <c r="Y199" s="362">
        <f>IF($Q199="ekrk",IF($R199="data",IFERROR(INDEX(data!$A:$ALL,MATCH($M199,data!$A:$A,0),MATCH(Y$2,data!$1:$1,0)),"#data"),IFERROR(X199*INDEX(indexy_SDcast!$A:$ALI,MATCH($R199,indexy_SDcast!$K:$K,0),MATCH(Y$2,indexy_SDcast!$2:$2,0)),"#ekrk")),"#popis")</f>
        <v>-5479.4926319314163</v>
      </c>
    </row>
    <row r="200" spans="1:25" x14ac:dyDescent="0.25">
      <c r="A200" s="330">
        <v>633005</v>
      </c>
      <c r="B200" s="329">
        <v>-54.18394</v>
      </c>
      <c r="C200" s="157"/>
      <c r="D200" s="330">
        <v>633005</v>
      </c>
      <c r="E200" s="329">
        <v>-54.18394</v>
      </c>
      <c r="F200" s="157"/>
      <c r="G200" s="330">
        <v>633005</v>
      </c>
      <c r="H200" s="329">
        <v>-54.18394</v>
      </c>
      <c r="I200" s="157"/>
      <c r="J200" s="330">
        <v>633005</v>
      </c>
      <c r="K200" s="329">
        <v>-54.18394</v>
      </c>
      <c r="L200" s="157"/>
      <c r="M200" s="360">
        <f t="shared" si="24"/>
        <v>633005</v>
      </c>
      <c r="N200" s="237">
        <f t="shared" si="25"/>
        <v>-54.18394</v>
      </c>
      <c r="O200" s="361"/>
      <c r="P200" s="361"/>
      <c r="Q200" s="361" t="s">
        <v>698</v>
      </c>
      <c r="R200" s="362">
        <v>35</v>
      </c>
      <c r="S200" s="236"/>
      <c r="T200" s="364">
        <f t="shared" si="26"/>
        <v>633005</v>
      </c>
      <c r="U200" s="365">
        <f t="shared" si="27"/>
        <v>-54.18394</v>
      </c>
      <c r="V200" s="365">
        <f>IF($Q200="ekrk",IF($R200="data",IFERROR(INDEX(data!$A:$ALL,MATCH($M200,data!$A:$A,0),MATCH(V$2,data!$1:$1,0)),"#data"),IFERROR(U200*INDEX(indexy_SDcast!$A:$ALI,MATCH($R200,indexy_SDcast!$K:$K,0),MATCH(V$2,indexy_SDcast!$2:$2,0)),"#ekrk")),"#popis")</f>
        <v>-69.368021639051364</v>
      </c>
      <c r="W200" s="365">
        <f>IF($Q200="ekrk",IF($R200="data",IFERROR(INDEX(data!$A:$ALL,MATCH($M200,data!$A:$A,0),MATCH(W$2,data!$1:$1,0)),"#data"),IFERROR(V200*INDEX(indexy_SDcast!$A:$ALI,MATCH($R200,indexy_SDcast!$K:$K,0),MATCH(W$2,indexy_SDcast!$2:$2,0)),"#ekrk")),"#popis")</f>
        <v>-70.147808774592548</v>
      </c>
      <c r="X200" s="365">
        <f>IF($Q200="ekrk",IF($R200="data",IFERROR(INDEX(data!$A:$ALL,MATCH($M200,data!$A:$A,0),MATCH(X$2,data!$1:$1,0)),"#data"),IFERROR(W200*INDEX(indexy_SDcast!$A:$ALI,MATCH($R200,indexy_SDcast!$K:$K,0),MATCH(X$2,indexy_SDcast!$2:$2,0)),"#ekrk")),"#popis")</f>
        <v>-45.057760687385347</v>
      </c>
      <c r="Y200" s="362">
        <f>IF($Q200="ekrk",IF($R200="data",IFERROR(INDEX(data!$A:$ALL,MATCH($M200,data!$A:$A,0),MATCH(Y$2,data!$1:$1,0)),"#data"),IFERROR(X200*INDEX(indexy_SDcast!$A:$ALI,MATCH($R200,indexy_SDcast!$K:$K,0),MATCH(Y$2,indexy_SDcast!$2:$2,0)),"#ekrk")),"#popis")</f>
        <v>-60.956299832733443</v>
      </c>
    </row>
    <row r="201" spans="1:25" x14ac:dyDescent="0.25">
      <c r="A201" s="330">
        <v>633006</v>
      </c>
      <c r="B201" s="329">
        <v>-2990.70424</v>
      </c>
      <c r="C201" s="157"/>
      <c r="D201" s="330">
        <v>633006</v>
      </c>
      <c r="E201" s="329">
        <v>-2990.70424</v>
      </c>
      <c r="F201" s="157"/>
      <c r="G201" s="330">
        <v>633006</v>
      </c>
      <c r="H201" s="329">
        <v>-2990.70424</v>
      </c>
      <c r="I201" s="157"/>
      <c r="J201" s="330">
        <v>633006</v>
      </c>
      <c r="K201" s="329">
        <v>-2990.70424</v>
      </c>
      <c r="L201" s="157"/>
      <c r="M201" s="360">
        <f t="shared" si="24"/>
        <v>633006</v>
      </c>
      <c r="N201" s="237">
        <f t="shared" si="25"/>
        <v>-2990.70424</v>
      </c>
      <c r="O201" s="361"/>
      <c r="P201" s="361"/>
      <c r="Q201" s="361" t="s">
        <v>698</v>
      </c>
      <c r="R201" s="362">
        <v>35</v>
      </c>
      <c r="S201" s="236"/>
      <c r="T201" s="364">
        <f t="shared" si="26"/>
        <v>633006</v>
      </c>
      <c r="U201" s="365">
        <f t="shared" si="27"/>
        <v>-2990.70424</v>
      </c>
      <c r="V201" s="365">
        <f>IF($Q201="ekrk",IF($R201="data",IFERROR(INDEX(data!$A:$ALL,MATCH($M201,data!$A:$A,0),MATCH(V$2,data!$1:$1,0)),"#data"),IFERROR(U201*INDEX(indexy_SDcast!$A:$ALI,MATCH($R201,indexy_SDcast!$K:$K,0),MATCH(V$2,indexy_SDcast!$2:$2,0)),"#ekrk")),"#popis")</f>
        <v>-3828.7956991743804</v>
      </c>
      <c r="W201" s="365">
        <f>IF($Q201="ekrk",IF($R201="data",IFERROR(INDEX(data!$A:$ALL,MATCH($M201,data!$A:$A,0),MATCH(W$2,data!$1:$1,0)),"#data"),IFERROR(V201*INDEX(indexy_SDcast!$A:$ALI,MATCH($R201,indexy_SDcast!$K:$K,0),MATCH(W$2,indexy_SDcast!$2:$2,0)),"#ekrk")),"#popis")</f>
        <v>-3871.8363620084319</v>
      </c>
      <c r="X201" s="365">
        <f>IF($Q201="ekrk",IF($R201="data",IFERROR(INDEX(data!$A:$ALL,MATCH($M201,data!$A:$A,0),MATCH(X$2,data!$1:$1,0)),"#data"),IFERROR(W201*INDEX(indexy_SDcast!$A:$ALI,MATCH($R201,indexy_SDcast!$K:$K,0),MATCH(X$2,indexy_SDcast!$2:$2,0)),"#ekrk")),"#popis")</f>
        <v>-2486.9811226844831</v>
      </c>
      <c r="Y201" s="362">
        <f>IF($Q201="ekrk",IF($R201="data",IFERROR(INDEX(data!$A:$ALL,MATCH($M201,data!$A:$A,0),MATCH(Y$2,data!$1:$1,0)),"#data"),IFERROR(X201*INDEX(indexy_SDcast!$A:$ALI,MATCH($R201,indexy_SDcast!$K:$K,0),MATCH(Y$2,indexy_SDcast!$2:$2,0)),"#ekrk")),"#popis")</f>
        <v>-3364.5073496771774</v>
      </c>
    </row>
    <row r="202" spans="1:25" x14ac:dyDescent="0.25">
      <c r="A202" s="330">
        <v>633007</v>
      </c>
      <c r="B202" s="329">
        <v>-51.779699999999998</v>
      </c>
      <c r="C202" s="157"/>
      <c r="D202" s="330">
        <v>633007</v>
      </c>
      <c r="E202" s="329">
        <v>-51.779699999999998</v>
      </c>
      <c r="F202" s="157"/>
      <c r="G202" s="330">
        <v>633007</v>
      </c>
      <c r="H202" s="329">
        <v>-51.779699999999998</v>
      </c>
      <c r="I202" s="157"/>
      <c r="J202" s="330">
        <v>633007</v>
      </c>
      <c r="K202" s="329">
        <v>-51.779699999999998</v>
      </c>
      <c r="L202" s="157"/>
      <c r="M202" s="360">
        <f t="shared" si="24"/>
        <v>633007</v>
      </c>
      <c r="N202" s="237">
        <f t="shared" si="25"/>
        <v>-51.779699999999998</v>
      </c>
      <c r="O202" s="361"/>
      <c r="P202" s="361"/>
      <c r="Q202" s="361" t="s">
        <v>698</v>
      </c>
      <c r="R202" s="362">
        <v>35</v>
      </c>
      <c r="S202" s="236"/>
      <c r="T202" s="364">
        <f t="shared" si="26"/>
        <v>633007</v>
      </c>
      <c r="U202" s="365">
        <f t="shared" si="27"/>
        <v>-51.779699999999998</v>
      </c>
      <c r="V202" s="365">
        <f>IF($Q202="ekrk",IF($R202="data",IFERROR(INDEX(data!$A:$ALL,MATCH($M202,data!$A:$A,0),MATCH(V$2,data!$1:$1,0)),"#data"),IFERROR(U202*INDEX(indexy_SDcast!$A:$ALI,MATCH($R202,indexy_SDcast!$K:$K,0),MATCH(V$2,indexy_SDcast!$2:$2,0)),"#ekrk")),"#popis")</f>
        <v>-66.290036310825457</v>
      </c>
      <c r="W202" s="365">
        <f>IF($Q202="ekrk",IF($R202="data",IFERROR(INDEX(data!$A:$ALL,MATCH($M202,data!$A:$A,0),MATCH(W$2,data!$1:$1,0)),"#data"),IFERROR(V202*INDEX(indexy_SDcast!$A:$ALI,MATCH($R202,indexy_SDcast!$K:$K,0),MATCH(W$2,indexy_SDcast!$2:$2,0)),"#ekrk")),"#popis")</f>
        <v>-67.035222872418828</v>
      </c>
      <c r="X202" s="365">
        <f>IF($Q202="ekrk",IF($R202="data",IFERROR(INDEX(data!$A:$ALL,MATCH($M202,data!$A:$A,0),MATCH(X$2,data!$1:$1,0)),"#data"),IFERROR(W202*INDEX(indexy_SDcast!$A:$ALI,MATCH($R202,indexy_SDcast!$K:$K,0),MATCH(X$2,indexy_SDcast!$2:$2,0)),"#ekrk")),"#popis")</f>
        <v>-43.058465867646518</v>
      </c>
      <c r="Y202" s="362">
        <f>IF($Q202="ekrk",IF($R202="data",IFERROR(INDEX(data!$A:$ALL,MATCH($M202,data!$A:$A,0),MATCH(Y$2,data!$1:$1,0)),"#data"),IFERROR(X202*INDEX(indexy_SDcast!$A:$ALI,MATCH($R202,indexy_SDcast!$K:$K,0),MATCH(Y$2,indexy_SDcast!$2:$2,0)),"#ekrk")),"#popis")</f>
        <v>-58.251557905331133</v>
      </c>
    </row>
    <row r="203" spans="1:25" x14ac:dyDescent="0.25">
      <c r="A203" s="330">
        <v>633009</v>
      </c>
      <c r="B203" s="329">
        <v>-3219.0239700000006</v>
      </c>
      <c r="C203" s="157"/>
      <c r="D203" s="330">
        <v>633009</v>
      </c>
      <c r="E203" s="329">
        <v>-3219.0239700000006</v>
      </c>
      <c r="F203" s="157"/>
      <c r="G203" s="330">
        <v>633009</v>
      </c>
      <c r="H203" s="329">
        <v>-3219.0239700000006</v>
      </c>
      <c r="I203" s="157"/>
      <c r="J203" s="330">
        <v>633009</v>
      </c>
      <c r="K203" s="329">
        <v>-3219.0239700000006</v>
      </c>
      <c r="L203" s="157"/>
      <c r="M203" s="360">
        <f t="shared" si="24"/>
        <v>633009</v>
      </c>
      <c r="N203" s="237">
        <f t="shared" si="25"/>
        <v>-3219.0239700000006</v>
      </c>
      <c r="O203" s="361"/>
      <c r="P203" s="361"/>
      <c r="Q203" s="361" t="s">
        <v>698</v>
      </c>
      <c r="R203" s="362">
        <v>35</v>
      </c>
      <c r="S203" s="236"/>
      <c r="T203" s="364">
        <f t="shared" si="26"/>
        <v>633009</v>
      </c>
      <c r="U203" s="365">
        <f t="shared" si="27"/>
        <v>-3219.0239700000006</v>
      </c>
      <c r="V203" s="365">
        <f>IF($Q203="ekrk",IF($R203="data",IFERROR(INDEX(data!$A:$ALL,MATCH($M203,data!$A:$A,0),MATCH(V$2,data!$1:$1,0)),"#data"),IFERROR(U203*INDEX(indexy_SDcast!$A:$ALI,MATCH($R203,indexy_SDcast!$K:$K,0),MATCH(V$2,indexy_SDcast!$2:$2,0)),"#ekrk")),"#popis")</f>
        <v>-4121.0979564716972</v>
      </c>
      <c r="W203" s="365">
        <f>IF($Q203="ekrk",IF($R203="data",IFERROR(INDEX(data!$A:$ALL,MATCH($M203,data!$A:$A,0),MATCH(W$2,data!$1:$1,0)),"#data"),IFERROR(V203*INDEX(indexy_SDcast!$A:$ALI,MATCH($R203,indexy_SDcast!$K:$K,0),MATCH(W$2,indexy_SDcast!$2:$2,0)),"#ekrk")),"#popis")</f>
        <v>-4167.4244783304748</v>
      </c>
      <c r="X203" s="365">
        <f>IF($Q203="ekrk",IF($R203="data",IFERROR(INDEX(data!$A:$ALL,MATCH($M203,data!$A:$A,0),MATCH(X$2,data!$1:$1,0)),"#data"),IFERROR(W203*INDEX(indexy_SDcast!$A:$ALI,MATCH($R203,indexy_SDcast!$K:$K,0),MATCH(X$2,indexy_SDcast!$2:$2,0)),"#ekrk")),"#popis")</f>
        <v>-2676.8450520065007</v>
      </c>
      <c r="Y203" s="362">
        <f>IF($Q203="ekrk",IF($R203="data",IFERROR(INDEX(data!$A:$ALL,MATCH($M203,data!$A:$A,0),MATCH(Y$2,data!$1:$1,0)),"#data"),IFERROR(X203*INDEX(indexy_SDcast!$A:$ALI,MATCH($R203,indexy_SDcast!$K:$K,0),MATCH(Y$2,indexy_SDcast!$2:$2,0)),"#ekrk")),"#popis")</f>
        <v>-3621.364380000346</v>
      </c>
    </row>
    <row r="204" spans="1:25" x14ac:dyDescent="0.25">
      <c r="A204" s="330">
        <v>633010</v>
      </c>
      <c r="B204" s="329">
        <v>-28.799300000000002</v>
      </c>
      <c r="C204" s="157"/>
      <c r="D204" s="330">
        <v>633010</v>
      </c>
      <c r="E204" s="329">
        <v>-28.799300000000002</v>
      </c>
      <c r="F204" s="157"/>
      <c r="G204" s="330">
        <v>633010</v>
      </c>
      <c r="H204" s="329">
        <v>-28.799300000000002</v>
      </c>
      <c r="I204" s="157"/>
      <c r="J204" s="330">
        <v>633010</v>
      </c>
      <c r="K204" s="329">
        <v>-28.799300000000002</v>
      </c>
      <c r="L204" s="157"/>
      <c r="M204" s="360">
        <f t="shared" si="24"/>
        <v>633010</v>
      </c>
      <c r="N204" s="237">
        <f t="shared" si="25"/>
        <v>-28.799300000000002</v>
      </c>
      <c r="O204" s="361"/>
      <c r="P204" s="361"/>
      <c r="Q204" s="361" t="s">
        <v>698</v>
      </c>
      <c r="R204" s="362">
        <v>35</v>
      </c>
      <c r="S204" s="236"/>
      <c r="T204" s="364">
        <f t="shared" si="26"/>
        <v>633010</v>
      </c>
      <c r="U204" s="365">
        <f t="shared" si="27"/>
        <v>-28.799300000000002</v>
      </c>
      <c r="V204" s="365">
        <f>IF($Q204="ekrk",IF($R204="data",IFERROR(INDEX(data!$A:$ALL,MATCH($M204,data!$A:$A,0),MATCH(V$2,data!$1:$1,0)),"#data"),IFERROR(U204*INDEX(indexy_SDcast!$A:$ALI,MATCH($R204,indexy_SDcast!$K:$K,0),MATCH(V$2,indexy_SDcast!$2:$2,0)),"#ekrk")),"#popis")</f>
        <v>-36.869789564759081</v>
      </c>
      <c r="W204" s="365">
        <f>IF($Q204="ekrk",IF($R204="data",IFERROR(INDEX(data!$A:$ALL,MATCH($M204,data!$A:$A,0),MATCH(W$2,data!$1:$1,0)),"#data"),IFERROR(V204*INDEX(indexy_SDcast!$A:$ALI,MATCH($R204,indexy_SDcast!$K:$K,0),MATCH(W$2,indexy_SDcast!$2:$2,0)),"#ekrk")),"#popis")</f>
        <v>-37.284254139549901</v>
      </c>
      <c r="X204" s="365">
        <f>IF($Q204="ekrk",IF($R204="data",IFERROR(INDEX(data!$A:$ALL,MATCH($M204,data!$A:$A,0),MATCH(X$2,data!$1:$1,0)),"#data"),IFERROR(W204*INDEX(indexy_SDcast!$A:$ALI,MATCH($R204,indexy_SDcast!$K:$K,0),MATCH(X$2,indexy_SDcast!$2:$2,0)),"#ekrk")),"#popis")</f>
        <v>-23.948645435607247</v>
      </c>
      <c r="Y204" s="362">
        <f>IF($Q204="ekrk",IF($R204="data",IFERROR(INDEX(data!$A:$ALL,MATCH($M204,data!$A:$A,0),MATCH(Y$2,data!$1:$1,0)),"#data"),IFERROR(X204*INDEX(indexy_SDcast!$A:$ALI,MATCH($R204,indexy_SDcast!$K:$K,0),MATCH(Y$2,indexy_SDcast!$2:$2,0)),"#ekrk")),"#popis")</f>
        <v>-32.398876231090625</v>
      </c>
    </row>
    <row r="205" spans="1:25" x14ac:dyDescent="0.25">
      <c r="A205" s="330">
        <v>633011</v>
      </c>
      <c r="B205" s="329">
        <v>-25.316400000000002</v>
      </c>
      <c r="C205" s="157"/>
      <c r="D205" s="330">
        <v>633011</v>
      </c>
      <c r="E205" s="329">
        <v>-25.316400000000002</v>
      </c>
      <c r="F205" s="157"/>
      <c r="G205" s="330">
        <v>633011</v>
      </c>
      <c r="H205" s="329">
        <v>-25.316400000000002</v>
      </c>
      <c r="I205" s="157"/>
      <c r="J205" s="330">
        <v>633011</v>
      </c>
      <c r="K205" s="329">
        <v>-25.316400000000002</v>
      </c>
      <c r="L205" s="157"/>
      <c r="M205" s="360">
        <f t="shared" si="24"/>
        <v>633011</v>
      </c>
      <c r="N205" s="237">
        <f t="shared" si="25"/>
        <v>-25.316400000000002</v>
      </c>
      <c r="O205" s="361"/>
      <c r="P205" s="361"/>
      <c r="Q205" s="361" t="s">
        <v>698</v>
      </c>
      <c r="R205" s="362">
        <v>35</v>
      </c>
      <c r="S205" s="236"/>
      <c r="T205" s="364">
        <f t="shared" si="26"/>
        <v>633011</v>
      </c>
      <c r="U205" s="365">
        <f t="shared" si="27"/>
        <v>-25.316400000000002</v>
      </c>
      <c r="V205" s="365">
        <f>IF($Q205="ekrk",IF($R205="data",IFERROR(INDEX(data!$A:$ALL,MATCH($M205,data!$A:$A,0),MATCH(V$2,data!$1:$1,0)),"#data"),IFERROR(U205*INDEX(indexy_SDcast!$A:$ALI,MATCH($R205,indexy_SDcast!$K:$K,0),MATCH(V$2,indexy_SDcast!$2:$2,0)),"#ekrk")),"#popis")</f>
        <v>-32.410869032832977</v>
      </c>
      <c r="W205" s="365">
        <f>IF($Q205="ekrk",IF($R205="data",IFERROR(INDEX(data!$A:$ALL,MATCH($M205,data!$A:$A,0),MATCH(W$2,data!$1:$1,0)),"#data"),IFERROR(V205*INDEX(indexy_SDcast!$A:$ALI,MATCH($R205,indexy_SDcast!$K:$K,0),MATCH(W$2,indexy_SDcast!$2:$2,0)),"#ekrk")),"#popis")</f>
        <v>-32.775209518929316</v>
      </c>
      <c r="X205" s="365">
        <f>IF($Q205="ekrk",IF($R205="data",IFERROR(INDEX(data!$A:$ALL,MATCH($M205,data!$A:$A,0),MATCH(X$2,data!$1:$1,0)),"#data"),IFERROR(W205*INDEX(indexy_SDcast!$A:$ALI,MATCH($R205,indexy_SDcast!$K:$K,0),MATCH(X$2,indexy_SDcast!$2:$2,0)),"#ekrk")),"#popis")</f>
        <v>-21.052368887646828</v>
      </c>
      <c r="Y205" s="362">
        <f>IF($Q205="ekrk",IF($R205="data",IFERROR(INDEX(data!$A:$ALL,MATCH($M205,data!$A:$A,0),MATCH(Y$2,data!$1:$1,0)),"#data"),IFERROR(X205*INDEX(indexy_SDcast!$A:$ALI,MATCH($R205,indexy_SDcast!$K:$K,0),MATCH(Y$2,indexy_SDcast!$2:$2,0)),"#ekrk")),"#popis")</f>
        <v>-28.480654398432691</v>
      </c>
    </row>
    <row r="206" spans="1:25" x14ac:dyDescent="0.25">
      <c r="A206" s="330">
        <v>633013</v>
      </c>
      <c r="B206" s="329">
        <v>-1494.6687300000003</v>
      </c>
      <c r="C206" s="157"/>
      <c r="D206" s="330">
        <v>633013</v>
      </c>
      <c r="E206" s="329">
        <v>-1494.6687300000003</v>
      </c>
      <c r="F206" s="157"/>
      <c r="G206" s="330">
        <v>633013</v>
      </c>
      <c r="H206" s="329">
        <v>-1494.6687300000003</v>
      </c>
      <c r="I206" s="157"/>
      <c r="J206" s="330">
        <v>633013</v>
      </c>
      <c r="K206" s="329">
        <v>-1494.6687300000003</v>
      </c>
      <c r="L206" s="157"/>
      <c r="M206" s="360">
        <f t="shared" si="24"/>
        <v>633013</v>
      </c>
      <c r="N206" s="237">
        <f t="shared" si="25"/>
        <v>-1494.6687300000003</v>
      </c>
      <c r="O206" s="361"/>
      <c r="P206" s="361"/>
      <c r="Q206" s="361" t="s">
        <v>698</v>
      </c>
      <c r="R206" s="362">
        <v>35</v>
      </c>
      <c r="S206" s="236"/>
      <c r="T206" s="364">
        <f t="shared" si="26"/>
        <v>633013</v>
      </c>
      <c r="U206" s="365">
        <f t="shared" si="27"/>
        <v>-1494.6687300000003</v>
      </c>
      <c r="V206" s="365">
        <f>IF($Q206="ekrk",IF($R206="data",IFERROR(INDEX(data!$A:$ALL,MATCH($M206,data!$A:$A,0),MATCH(V$2,data!$1:$1,0)),"#data"),IFERROR(U206*INDEX(indexy_SDcast!$A:$ALI,MATCH($R206,indexy_SDcast!$K:$K,0),MATCH(V$2,indexy_SDcast!$2:$2,0)),"#ekrk")),"#popis")</f>
        <v>-1913.5229517427756</v>
      </c>
      <c r="W206" s="365">
        <f>IF($Q206="ekrk",IF($R206="data",IFERROR(INDEX(data!$A:$ALL,MATCH($M206,data!$A:$A,0),MATCH(W$2,data!$1:$1,0)),"#data"),IFERROR(V206*INDEX(indexy_SDcast!$A:$ALI,MATCH($R206,indexy_SDcast!$K:$K,0),MATCH(W$2,indexy_SDcast!$2:$2,0)),"#ekrk")),"#popis")</f>
        <v>-1935.0334481656951</v>
      </c>
      <c r="X206" s="365">
        <f>IF($Q206="ekrk",IF($R206="data",IFERROR(INDEX(data!$A:$ALL,MATCH($M206,data!$A:$A,0),MATCH(X$2,data!$1:$1,0)),"#data"),IFERROR(W206*INDEX(indexy_SDcast!$A:$ALI,MATCH($R206,indexy_SDcast!$K:$K,0),MATCH(X$2,indexy_SDcast!$2:$2,0)),"#ekrk")),"#popis")</f>
        <v>-1242.9222744462327</v>
      </c>
      <c r="Y206" s="362">
        <f>IF($Q206="ekrk",IF($R206="data",IFERROR(INDEX(data!$A:$ALL,MATCH($M206,data!$A:$A,0),MATCH(Y$2,data!$1:$1,0)),"#data"),IFERROR(X206*INDEX(indexy_SDcast!$A:$ALI,MATCH($R206,indexy_SDcast!$K:$K,0),MATCH(Y$2,indexy_SDcast!$2:$2,0)),"#ekrk")),"#popis")</f>
        <v>-1681.4848690680474</v>
      </c>
    </row>
    <row r="207" spans="1:25" x14ac:dyDescent="0.25">
      <c r="A207" s="330">
        <v>633016</v>
      </c>
      <c r="B207" s="329">
        <v>-4.87514</v>
      </c>
      <c r="C207" s="157"/>
      <c r="D207" s="330">
        <v>633016</v>
      </c>
      <c r="E207" s="329">
        <v>-4.87514</v>
      </c>
      <c r="F207" s="157"/>
      <c r="G207" s="330">
        <v>633016</v>
      </c>
      <c r="H207" s="329">
        <v>-4.87514</v>
      </c>
      <c r="I207" s="157"/>
      <c r="J207" s="330">
        <v>633016</v>
      </c>
      <c r="K207" s="329">
        <v>-4.87514</v>
      </c>
      <c r="L207" s="157"/>
      <c r="M207" s="360">
        <f t="shared" si="24"/>
        <v>633016</v>
      </c>
      <c r="N207" s="237">
        <f t="shared" si="25"/>
        <v>-4.87514</v>
      </c>
      <c r="O207" s="361"/>
      <c r="P207" s="361"/>
      <c r="Q207" s="361" t="s">
        <v>698</v>
      </c>
      <c r="R207" s="362">
        <v>35</v>
      </c>
      <c r="S207" s="236"/>
      <c r="T207" s="364">
        <f t="shared" si="26"/>
        <v>633016</v>
      </c>
      <c r="U207" s="365">
        <f t="shared" si="27"/>
        <v>-4.87514</v>
      </c>
      <c r="V207" s="365">
        <f>IF($Q207="ekrk",IF($R207="data",IFERROR(INDEX(data!$A:$ALL,MATCH($M207,data!$A:$A,0),MATCH(V$2,data!$1:$1,0)),"#data"),IFERROR(U207*INDEX(indexy_SDcast!$A:$ALI,MATCH($R207,indexy_SDcast!$K:$K,0),MATCH(V$2,indexy_SDcast!$2:$2,0)),"#ekrk")),"#popis")</f>
        <v>-6.2413109311246995</v>
      </c>
      <c r="W207" s="365">
        <f>IF($Q207="ekrk",IF($R207="data",IFERROR(INDEX(data!$A:$ALL,MATCH($M207,data!$A:$A,0),MATCH(W$2,data!$1:$1,0)),"#data"),IFERROR(V207*INDEX(indexy_SDcast!$A:$ALI,MATCH($R207,indexy_SDcast!$K:$K,0),MATCH(W$2,indexy_SDcast!$2:$2,0)),"#ekrk")),"#popis")</f>
        <v>-6.3114714151345783</v>
      </c>
      <c r="X207" s="365">
        <f>IF($Q207="ekrk",IF($R207="data",IFERROR(INDEX(data!$A:$ALL,MATCH($M207,data!$A:$A,0),MATCH(X$2,data!$1:$1,0)),"#data"),IFERROR(W207*INDEX(indexy_SDcast!$A:$ALI,MATCH($R207,indexy_SDcast!$K:$K,0),MATCH(X$2,indexy_SDcast!$2:$2,0)),"#ekrk")),"#popis")</f>
        <v>-4.054022122376109</v>
      </c>
      <c r="Y207" s="362">
        <f>IF($Q207="ekrk",IF($R207="data",IFERROR(INDEX(data!$A:$ALL,MATCH($M207,data!$A:$A,0),MATCH(Y$2,data!$1:$1,0)),"#data"),IFERROR(X207*INDEX(indexy_SDcast!$A:$ALI,MATCH($R207,indexy_SDcast!$K:$K,0),MATCH(Y$2,indexy_SDcast!$2:$2,0)),"#ekrk")),"#popis")</f>
        <v>-5.4844755764632849</v>
      </c>
    </row>
    <row r="208" spans="1:25" x14ac:dyDescent="0.25">
      <c r="A208" s="330">
        <v>633018</v>
      </c>
      <c r="B208" s="329">
        <v>-10024.67167</v>
      </c>
      <c r="C208" s="157"/>
      <c r="D208" s="330">
        <v>633018</v>
      </c>
      <c r="E208" s="329">
        <v>-10024.67167</v>
      </c>
      <c r="F208" s="157"/>
      <c r="G208" s="330">
        <v>633018</v>
      </c>
      <c r="H208" s="329">
        <v>-10024.67167</v>
      </c>
      <c r="I208" s="157"/>
      <c r="J208" s="330">
        <v>633018</v>
      </c>
      <c r="K208" s="329">
        <v>-10024.67167</v>
      </c>
      <c r="L208" s="157"/>
      <c r="M208" s="360">
        <f t="shared" si="24"/>
        <v>633018</v>
      </c>
      <c r="N208" s="237">
        <f t="shared" si="25"/>
        <v>-10024.67167</v>
      </c>
      <c r="O208" s="361"/>
      <c r="P208" s="361"/>
      <c r="Q208" s="361" t="s">
        <v>698</v>
      </c>
      <c r="R208" s="362">
        <v>35</v>
      </c>
      <c r="S208" s="236"/>
      <c r="T208" s="364">
        <f t="shared" si="26"/>
        <v>633018</v>
      </c>
      <c r="U208" s="365">
        <f t="shared" si="27"/>
        <v>-10024.67167</v>
      </c>
      <c r="V208" s="365">
        <f>IF($Q208="ekrk",IF($R208="data",IFERROR(INDEX(data!$A:$ALL,MATCH($M208,data!$A:$A,0),MATCH(V$2,data!$1:$1,0)),"#data"),IFERROR(U208*INDEX(indexy_SDcast!$A:$ALI,MATCH($R208,indexy_SDcast!$K:$K,0),MATCH(V$2,indexy_SDcast!$2:$2,0)),"#ekrk")),"#popis")</f>
        <v>-12833.906898039257</v>
      </c>
      <c r="W208" s="365">
        <f>IF($Q208="ekrk",IF($R208="data",IFERROR(INDEX(data!$A:$ALL,MATCH($M208,data!$A:$A,0),MATCH(W$2,data!$1:$1,0)),"#data"),IFERROR(V208*INDEX(indexy_SDcast!$A:$ALI,MATCH($R208,indexy_SDcast!$K:$K,0),MATCH(W$2,indexy_SDcast!$2:$2,0)),"#ekrk")),"#popis")</f>
        <v>-12978.176768526529</v>
      </c>
      <c r="X208" s="365">
        <f>IF($Q208="ekrk",IF($R208="data",IFERROR(INDEX(data!$A:$ALL,MATCH($M208,data!$A:$A,0),MATCH(X$2,data!$1:$1,0)),"#data"),IFERROR(W208*INDEX(indexy_SDcast!$A:$ALI,MATCH($R208,indexy_SDcast!$K:$K,0),MATCH(X$2,indexy_SDcast!$2:$2,0)),"#ekrk")),"#popis")</f>
        <v>-8336.2202356726302</v>
      </c>
      <c r="Y208" s="362">
        <f>IF($Q208="ekrk",IF($R208="data",IFERROR(INDEX(data!$A:$ALL,MATCH($M208,data!$A:$A,0),MATCH(Y$2,data!$1:$1,0)),"#data"),IFERROR(X208*INDEX(indexy_SDcast!$A:$ALI,MATCH($R208,indexy_SDcast!$K:$K,0),MATCH(Y$2,indexy_SDcast!$2:$2,0)),"#ekrk")),"#popis")</f>
        <v>-11277.638577800521</v>
      </c>
    </row>
    <row r="209" spans="1:25" x14ac:dyDescent="0.25">
      <c r="A209" s="330">
        <v>634001</v>
      </c>
      <c r="B209" s="329">
        <v>-16.66516</v>
      </c>
      <c r="C209" s="157"/>
      <c r="D209" s="330">
        <v>634001</v>
      </c>
      <c r="E209" s="329">
        <v>-16.66516</v>
      </c>
      <c r="F209" s="157"/>
      <c r="G209" s="330">
        <v>634001</v>
      </c>
      <c r="H209" s="329">
        <v>-16.66516</v>
      </c>
      <c r="I209" s="157"/>
      <c r="J209" s="330">
        <v>634001</v>
      </c>
      <c r="K209" s="329">
        <v>-16.66516</v>
      </c>
      <c r="L209" s="157"/>
      <c r="M209" s="360">
        <f t="shared" si="24"/>
        <v>634001</v>
      </c>
      <c r="N209" s="237">
        <f t="shared" si="25"/>
        <v>-16.66516</v>
      </c>
      <c r="O209" s="361"/>
      <c r="P209" s="361"/>
      <c r="Q209" s="361" t="s">
        <v>698</v>
      </c>
      <c r="R209" s="362">
        <v>35</v>
      </c>
      <c r="S209" s="236"/>
      <c r="T209" s="364">
        <f t="shared" si="26"/>
        <v>634001</v>
      </c>
      <c r="U209" s="365">
        <f t="shared" si="27"/>
        <v>-16.66516</v>
      </c>
      <c r="V209" s="365">
        <f>IF($Q209="ekrk",IF($R209="data",IFERROR(INDEX(data!$A:$ALL,MATCH($M209,data!$A:$A,0),MATCH(V$2,data!$1:$1,0)),"#data"),IFERROR(U209*INDEX(indexy_SDcast!$A:$ALI,MATCH($R209,indexy_SDcast!$K:$K,0),MATCH(V$2,indexy_SDcast!$2:$2,0)),"#ekrk")),"#popis")</f>
        <v>-21.33527350536438</v>
      </c>
      <c r="W209" s="365">
        <f>IF($Q209="ekrk",IF($R209="data",IFERROR(INDEX(data!$A:$ALL,MATCH($M209,data!$A:$A,0),MATCH(W$2,data!$1:$1,0)),"#data"),IFERROR(V209*INDEX(indexy_SDcast!$A:$ALI,MATCH($R209,indexy_SDcast!$K:$K,0),MATCH(W$2,indexy_SDcast!$2:$2,0)),"#ekrk")),"#popis")</f>
        <v>-21.575109836567602</v>
      </c>
      <c r="X209" s="365">
        <f>IF($Q209="ekrk",IF($R209="data",IFERROR(INDEX(data!$A:$ALL,MATCH($M209,data!$A:$A,0),MATCH(X$2,data!$1:$1,0)),"#data"),IFERROR(W209*INDEX(indexy_SDcast!$A:$ALI,MATCH($R209,indexy_SDcast!$K:$K,0),MATCH(X$2,indexy_SDcast!$2:$2,0)),"#ekrk")),"#popis")</f>
        <v>-13.858253775878733</v>
      </c>
      <c r="Y209" s="362">
        <f>IF($Q209="ekrk",IF($R209="data",IFERROR(INDEX(data!$A:$ALL,MATCH($M209,data!$A:$A,0),MATCH(Y$2,data!$1:$1,0)),"#data"),IFERROR(X209*INDEX(indexy_SDcast!$A:$ALI,MATCH($R209,indexy_SDcast!$K:$K,0),MATCH(Y$2,indexy_SDcast!$2:$2,0)),"#ekrk")),"#popis")</f>
        <v>-18.748110412798994</v>
      </c>
    </row>
    <row r="210" spans="1:25" x14ac:dyDescent="0.25">
      <c r="A210" s="330">
        <v>634002</v>
      </c>
      <c r="B210" s="329">
        <v>-2.3887499999999999</v>
      </c>
      <c r="C210" s="157"/>
      <c r="D210" s="330">
        <v>634002</v>
      </c>
      <c r="E210" s="329">
        <v>-2.3887499999999999</v>
      </c>
      <c r="F210" s="157"/>
      <c r="G210" s="330">
        <v>634002</v>
      </c>
      <c r="H210" s="329">
        <v>-2.3887499999999999</v>
      </c>
      <c r="I210" s="157"/>
      <c r="J210" s="330">
        <v>634002</v>
      </c>
      <c r="K210" s="329">
        <v>-2.3887499999999999</v>
      </c>
      <c r="L210" s="157"/>
      <c r="M210" s="360">
        <f t="shared" si="24"/>
        <v>634002</v>
      </c>
      <c r="N210" s="237">
        <f t="shared" si="25"/>
        <v>-2.3887499999999999</v>
      </c>
      <c r="O210" s="361"/>
      <c r="P210" s="361"/>
      <c r="Q210" s="361" t="s">
        <v>698</v>
      </c>
      <c r="R210" s="362">
        <v>35</v>
      </c>
      <c r="S210" s="236"/>
      <c r="T210" s="364">
        <f t="shared" si="26"/>
        <v>634002</v>
      </c>
      <c r="U210" s="365">
        <f t="shared" si="27"/>
        <v>-2.3887499999999999</v>
      </c>
      <c r="V210" s="365">
        <f>IF($Q210="ekrk",IF($R210="data",IFERROR(INDEX(data!$A:$ALL,MATCH($M210,data!$A:$A,0),MATCH(V$2,data!$1:$1,0)),"#data"),IFERROR(U210*INDEX(indexy_SDcast!$A:$ALI,MATCH($R210,indexy_SDcast!$K:$K,0),MATCH(V$2,indexy_SDcast!$2:$2,0)),"#ekrk")),"#popis")</f>
        <v>-3.0581545323260722</v>
      </c>
      <c r="W210" s="365">
        <f>IF($Q210="ekrk",IF($R210="data",IFERROR(INDEX(data!$A:$ALL,MATCH($M210,data!$A:$A,0),MATCH(W$2,data!$1:$1,0)),"#data"),IFERROR(V210*INDEX(indexy_SDcast!$A:$ALI,MATCH($R210,indexy_SDcast!$K:$K,0),MATCH(W$2,indexy_SDcast!$2:$2,0)),"#ekrk")),"#popis")</f>
        <v>-3.0925321822353258</v>
      </c>
      <c r="X210" s="365">
        <f>IF($Q210="ekrk",IF($R210="data",IFERROR(INDEX(data!$A:$ALL,MATCH($M210,data!$A:$A,0),MATCH(X$2,data!$1:$1,0)),"#data"),IFERROR(W210*INDEX(indexy_SDcast!$A:$ALI,MATCH($R210,indexy_SDcast!$K:$K,0),MATCH(X$2,indexy_SDcast!$2:$2,0)),"#ekrk")),"#popis")</f>
        <v>-1.9864137942348183</v>
      </c>
      <c r="Y210" s="362">
        <f>IF($Q210="ekrk",IF($R210="data",IFERROR(INDEX(data!$A:$ALL,MATCH($M210,data!$A:$A,0),MATCH(Y$2,data!$1:$1,0)),"#data"),IFERROR(X210*INDEX(indexy_SDcast!$A:$ALI,MATCH($R210,indexy_SDcast!$K:$K,0),MATCH(Y$2,indexy_SDcast!$2:$2,0)),"#ekrk")),"#popis")</f>
        <v>-2.6873158582680037</v>
      </c>
    </row>
    <row r="211" spans="1:25" x14ac:dyDescent="0.25">
      <c r="A211" s="330">
        <v>634004</v>
      </c>
      <c r="B211" s="329">
        <v>-12.837760000000001</v>
      </c>
      <c r="C211" s="157"/>
      <c r="D211" s="330">
        <v>634004</v>
      </c>
      <c r="E211" s="329">
        <v>-12.837760000000001</v>
      </c>
      <c r="F211" s="157"/>
      <c r="G211" s="330">
        <v>634004</v>
      </c>
      <c r="H211" s="329">
        <v>-12.837760000000001</v>
      </c>
      <c r="I211" s="157"/>
      <c r="J211" s="330">
        <v>634004</v>
      </c>
      <c r="K211" s="329">
        <v>-12.837760000000001</v>
      </c>
      <c r="L211" s="157"/>
      <c r="M211" s="360">
        <f t="shared" si="24"/>
        <v>634004</v>
      </c>
      <c r="N211" s="237">
        <f t="shared" si="25"/>
        <v>-12.837760000000001</v>
      </c>
      <c r="O211" s="361"/>
      <c r="P211" s="361"/>
      <c r="Q211" s="361" t="s">
        <v>698</v>
      </c>
      <c r="R211" s="362">
        <v>35</v>
      </c>
      <c r="S211" s="236"/>
      <c r="T211" s="364">
        <f t="shared" si="26"/>
        <v>634004</v>
      </c>
      <c r="U211" s="365">
        <f t="shared" si="27"/>
        <v>-12.837760000000001</v>
      </c>
      <c r="V211" s="365">
        <f>IF($Q211="ekrk",IF($R211="data",IFERROR(INDEX(data!$A:$ALL,MATCH($M211,data!$A:$A,0),MATCH(V$2,data!$1:$1,0)),"#data"),IFERROR(U211*INDEX(indexy_SDcast!$A:$ALI,MATCH($R211,indexy_SDcast!$K:$K,0),MATCH(V$2,indexy_SDcast!$2:$2,0)),"#ekrk")),"#popis")</f>
        <v>-16.435313000068806</v>
      </c>
      <c r="W211" s="365">
        <f>IF($Q211="ekrk",IF($R211="data",IFERROR(INDEX(data!$A:$ALL,MATCH($M211,data!$A:$A,0),MATCH(W$2,data!$1:$1,0)),"#data"),IFERROR(V211*INDEX(indexy_SDcast!$A:$ALI,MATCH($R211,indexy_SDcast!$K:$K,0),MATCH(W$2,indexy_SDcast!$2:$2,0)),"#ekrk")),"#popis")</f>
        <v>-16.620067377420568</v>
      </c>
      <c r="X211" s="365">
        <f>IF($Q211="ekrk",IF($R211="data",IFERROR(INDEX(data!$A:$ALL,MATCH($M211,data!$A:$A,0),MATCH(X$2,data!$1:$1,0)),"#data"),IFERROR(W211*INDEX(indexy_SDcast!$A:$ALI,MATCH($R211,indexy_SDcast!$K:$K,0),MATCH(X$2,indexy_SDcast!$2:$2,0)),"#ekrk")),"#popis")</f>
        <v>-10.675501224940236</v>
      </c>
      <c r="Y211" s="362">
        <f>IF($Q211="ekrk",IF($R211="data",IFERROR(INDEX(data!$A:$ALL,MATCH($M211,data!$A:$A,0),MATCH(Y$2,data!$1:$1,0)),"#data"),IFERROR(X211*INDEX(indexy_SDcast!$A:$ALI,MATCH($R211,indexy_SDcast!$K:$K,0),MATCH(Y$2,indexy_SDcast!$2:$2,0)),"#ekrk")),"#popis")</f>
        <v>-14.442330102622147</v>
      </c>
    </row>
    <row r="212" spans="1:25" x14ac:dyDescent="0.25">
      <c r="A212" s="330">
        <v>635001</v>
      </c>
      <c r="B212" s="329">
        <v>0</v>
      </c>
      <c r="C212" s="157"/>
      <c r="D212" s="330">
        <v>635001</v>
      </c>
      <c r="E212" s="329">
        <v>0</v>
      </c>
      <c r="F212" s="157"/>
      <c r="G212" s="330">
        <v>635001</v>
      </c>
      <c r="H212" s="329">
        <v>0</v>
      </c>
      <c r="I212" s="157"/>
      <c r="J212" s="330">
        <v>635001</v>
      </c>
      <c r="K212" s="329">
        <v>0</v>
      </c>
      <c r="L212" s="157"/>
      <c r="M212" s="360">
        <f t="shared" si="24"/>
        <v>635001</v>
      </c>
      <c r="N212" s="237">
        <f t="shared" si="25"/>
        <v>0</v>
      </c>
      <c r="O212" s="361"/>
      <c r="P212" s="361"/>
      <c r="Q212" s="361" t="s">
        <v>698</v>
      </c>
      <c r="R212" s="362">
        <v>35</v>
      </c>
      <c r="S212" s="236"/>
      <c r="T212" s="364">
        <f t="shared" si="26"/>
        <v>635001</v>
      </c>
      <c r="U212" s="365">
        <f t="shared" si="27"/>
        <v>0</v>
      </c>
      <c r="V212" s="365">
        <f>IF($Q212="ekrk",IF($R212="data",IFERROR(INDEX(data!$A:$ALL,MATCH($M212,data!$A:$A,0),MATCH(V$2,data!$1:$1,0)),"#data"),IFERROR(U212*INDEX(indexy_SDcast!$A:$ALI,MATCH($R212,indexy_SDcast!$K:$K,0),MATCH(V$2,indexy_SDcast!$2:$2,0)),"#ekrk")),"#popis")</f>
        <v>0</v>
      </c>
      <c r="W212" s="365">
        <f>IF($Q212="ekrk",IF($R212="data",IFERROR(INDEX(data!$A:$ALL,MATCH($M212,data!$A:$A,0),MATCH(W$2,data!$1:$1,0)),"#data"),IFERROR(V212*INDEX(indexy_SDcast!$A:$ALI,MATCH($R212,indexy_SDcast!$K:$K,0),MATCH(W$2,indexy_SDcast!$2:$2,0)),"#ekrk")),"#popis")</f>
        <v>0</v>
      </c>
      <c r="X212" s="365">
        <f>IF($Q212="ekrk",IF($R212="data",IFERROR(INDEX(data!$A:$ALL,MATCH($M212,data!$A:$A,0),MATCH(X$2,data!$1:$1,0)),"#data"),IFERROR(W212*INDEX(indexy_SDcast!$A:$ALI,MATCH($R212,indexy_SDcast!$K:$K,0),MATCH(X$2,indexy_SDcast!$2:$2,0)),"#ekrk")),"#popis")</f>
        <v>0</v>
      </c>
      <c r="Y212" s="362">
        <f>IF($Q212="ekrk",IF($R212="data",IFERROR(INDEX(data!$A:$ALL,MATCH($M212,data!$A:$A,0),MATCH(Y$2,data!$1:$1,0)),"#data"),IFERROR(X212*INDEX(indexy_SDcast!$A:$ALI,MATCH($R212,indexy_SDcast!$K:$K,0),MATCH(Y$2,indexy_SDcast!$2:$2,0)),"#ekrk")),"#popis")</f>
        <v>0</v>
      </c>
    </row>
    <row r="213" spans="1:25" x14ac:dyDescent="0.25">
      <c r="A213" s="330">
        <v>635002</v>
      </c>
      <c r="B213" s="329">
        <v>-0.16988999999999999</v>
      </c>
      <c r="C213" s="157"/>
      <c r="D213" s="330">
        <v>635002</v>
      </c>
      <c r="E213" s="329">
        <v>-0.16988999999999999</v>
      </c>
      <c r="F213" s="157"/>
      <c r="G213" s="330">
        <v>635002</v>
      </c>
      <c r="H213" s="329">
        <v>-0.16988999999999999</v>
      </c>
      <c r="I213" s="157"/>
      <c r="J213" s="330">
        <v>635002</v>
      </c>
      <c r="K213" s="329">
        <v>-0.16988999999999999</v>
      </c>
      <c r="L213" s="157"/>
      <c r="M213" s="360">
        <f t="shared" si="24"/>
        <v>635002</v>
      </c>
      <c r="N213" s="237">
        <f t="shared" si="25"/>
        <v>-0.16988999999999999</v>
      </c>
      <c r="O213" s="361"/>
      <c r="P213" s="361"/>
      <c r="Q213" s="361" t="s">
        <v>698</v>
      </c>
      <c r="R213" s="362">
        <v>35</v>
      </c>
      <c r="S213" s="236"/>
      <c r="T213" s="364">
        <f t="shared" si="26"/>
        <v>635002</v>
      </c>
      <c r="U213" s="365">
        <f t="shared" si="27"/>
        <v>-0.16988999999999999</v>
      </c>
      <c r="V213" s="365">
        <f>IF($Q213="ekrk",IF($R213="data",IFERROR(INDEX(data!$A:$ALL,MATCH($M213,data!$A:$A,0),MATCH(V$2,data!$1:$1,0)),"#data"),IFERROR(U213*INDEX(indexy_SDcast!$A:$ALI,MATCH($R213,indexy_SDcast!$K:$K,0),MATCH(V$2,indexy_SDcast!$2:$2,0)),"#ekrk")),"#popis")</f>
        <v>-0.21749863882653117</v>
      </c>
      <c r="W213" s="365">
        <f>IF($Q213="ekrk",IF($R213="data",IFERROR(INDEX(data!$A:$ALL,MATCH($M213,data!$A:$A,0),MATCH(W$2,data!$1:$1,0)),"#data"),IFERROR(V213*INDEX(indexy_SDcast!$A:$ALI,MATCH($R213,indexy_SDcast!$K:$K,0),MATCH(W$2,indexy_SDcast!$2:$2,0)),"#ekrk")),"#popis")</f>
        <v>-0.2199436075101871</v>
      </c>
      <c r="X213" s="365">
        <f>IF($Q213="ekrk",IF($R213="data",IFERROR(INDEX(data!$A:$ALL,MATCH($M213,data!$A:$A,0),MATCH(X$2,data!$1:$1,0)),"#data"),IFERROR(W213*INDEX(indexy_SDcast!$A:$ALI,MATCH($R213,indexy_SDcast!$K:$K,0),MATCH(X$2,indexy_SDcast!$2:$2,0)),"#ekrk")),"#popis")</f>
        <v>-0.14127549534382136</v>
      </c>
      <c r="Y213" s="362">
        <f>IF($Q213="ekrk",IF($R213="data",IFERROR(INDEX(data!$A:$ALL,MATCH($M213,data!$A:$A,0),MATCH(Y$2,data!$1:$1,0)),"#data"),IFERROR(X213*INDEX(indexy_SDcast!$A:$ALI,MATCH($R213,indexy_SDcast!$K:$K,0),MATCH(Y$2,indexy_SDcast!$2:$2,0)),"#ekrk")),"#popis")</f>
        <v>-0.1911242663155002</v>
      </c>
    </row>
    <row r="214" spans="1:25" x14ac:dyDescent="0.25">
      <c r="A214" s="330">
        <v>635004</v>
      </c>
      <c r="B214" s="329">
        <v>-28.074279999999998</v>
      </c>
      <c r="C214" s="157"/>
      <c r="D214" s="330">
        <v>635004</v>
      </c>
      <c r="E214" s="329">
        <v>-28.074279999999998</v>
      </c>
      <c r="F214" s="157"/>
      <c r="G214" s="330">
        <v>635004</v>
      </c>
      <c r="H214" s="329">
        <v>-28.074279999999998</v>
      </c>
      <c r="I214" s="157"/>
      <c r="J214" s="330">
        <v>635004</v>
      </c>
      <c r="K214" s="329">
        <v>-28.074279999999998</v>
      </c>
      <c r="L214" s="157"/>
      <c r="M214" s="360">
        <f t="shared" si="24"/>
        <v>635004</v>
      </c>
      <c r="N214" s="237">
        <f t="shared" si="25"/>
        <v>-28.074279999999998</v>
      </c>
      <c r="O214" s="361"/>
      <c r="P214" s="361"/>
      <c r="Q214" s="361" t="s">
        <v>698</v>
      </c>
      <c r="R214" s="362">
        <v>35</v>
      </c>
      <c r="S214" s="236"/>
      <c r="T214" s="364">
        <f t="shared" si="26"/>
        <v>635004</v>
      </c>
      <c r="U214" s="365">
        <f t="shared" si="27"/>
        <v>-28.074279999999998</v>
      </c>
      <c r="V214" s="365">
        <f>IF($Q214="ekrk",IF($R214="data",IFERROR(INDEX(data!$A:$ALL,MATCH($M214,data!$A:$A,0),MATCH(V$2,data!$1:$1,0)),"#data"),IFERROR(U214*INDEX(indexy_SDcast!$A:$ALI,MATCH($R214,indexy_SDcast!$K:$K,0),MATCH(V$2,indexy_SDcast!$2:$2,0)),"#ekrk")),"#popis")</f>
        <v>-35.941595656218183</v>
      </c>
      <c r="W214" s="365">
        <f>IF($Q214="ekrk",IF($R214="data",IFERROR(INDEX(data!$A:$ALL,MATCH($M214,data!$A:$A,0),MATCH(W$2,data!$1:$1,0)),"#data"),IFERROR(V214*INDEX(indexy_SDcast!$A:$ALI,MATCH($R214,indexy_SDcast!$K:$K,0),MATCH(W$2,indexy_SDcast!$2:$2,0)),"#ekrk")),"#popis")</f>
        <v>-36.345626119554389</v>
      </c>
      <c r="X214" s="365">
        <f>IF($Q214="ekrk",IF($R214="data",IFERROR(INDEX(data!$A:$ALL,MATCH($M214,data!$A:$A,0),MATCH(X$2,data!$1:$1,0)),"#data"),IFERROR(W214*INDEX(indexy_SDcast!$A:$ALI,MATCH($R214,indexy_SDcast!$K:$K,0),MATCH(X$2,indexy_SDcast!$2:$2,0)),"#ekrk")),"#popis")</f>
        <v>-23.345740263824457</v>
      </c>
      <c r="Y214" s="362">
        <f>IF($Q214="ekrk",IF($R214="data",IFERROR(INDEX(data!$A:$ALL,MATCH($M214,data!$A:$A,0),MATCH(Y$2,data!$1:$1,0)),"#data"),IFERROR(X214*INDEX(indexy_SDcast!$A:$ALI,MATCH($R214,indexy_SDcast!$K:$K,0),MATCH(Y$2,indexy_SDcast!$2:$2,0)),"#ekrk")),"#popis")</f>
        <v>-31.583237196632648</v>
      </c>
    </row>
    <row r="215" spans="1:25" x14ac:dyDescent="0.25">
      <c r="A215" s="330">
        <v>635006</v>
      </c>
      <c r="B215" s="329">
        <v>-1977.7860799999999</v>
      </c>
      <c r="C215" s="157"/>
      <c r="D215" s="330">
        <v>635006</v>
      </c>
      <c r="E215" s="329">
        <v>-1977.7860799999999</v>
      </c>
      <c r="F215" s="157"/>
      <c r="G215" s="330">
        <v>635006</v>
      </c>
      <c r="H215" s="329">
        <v>-1977.7860799999999</v>
      </c>
      <c r="I215" s="157"/>
      <c r="J215" s="330">
        <v>635006</v>
      </c>
      <c r="K215" s="329">
        <v>-1977.7860799999999</v>
      </c>
      <c r="L215" s="157"/>
      <c r="M215" s="360">
        <f t="shared" si="24"/>
        <v>635006</v>
      </c>
      <c r="N215" s="237">
        <f t="shared" si="25"/>
        <v>-1977.7860799999999</v>
      </c>
      <c r="O215" s="361"/>
      <c r="P215" s="361"/>
      <c r="Q215" s="361" t="s">
        <v>698</v>
      </c>
      <c r="R215" s="362">
        <v>35</v>
      </c>
      <c r="S215" s="236"/>
      <c r="T215" s="364">
        <f t="shared" ref="T215:T247" si="28">M215</f>
        <v>635006</v>
      </c>
      <c r="U215" s="365">
        <f t="shared" si="27"/>
        <v>-1977.7860799999999</v>
      </c>
      <c r="V215" s="365">
        <f>IF($Q215="ekrk",IF($R215="data",IFERROR(INDEX(data!$A:$ALL,MATCH($M215,data!$A:$A,0),MATCH(V$2,data!$1:$1,0)),"#data"),IFERROR(U215*INDEX(indexy_SDcast!$A:$ALI,MATCH($R215,indexy_SDcast!$K:$K,0),MATCH(V$2,indexy_SDcast!$2:$2,0)),"#ekrk")),"#popis")</f>
        <v>-2532.0253122023714</v>
      </c>
      <c r="W215" s="365">
        <f>IF($Q215="ekrk",IF($R215="data",IFERROR(INDEX(data!$A:$ALL,MATCH($M215,data!$A:$A,0),MATCH(W$2,data!$1:$1,0)),"#data"),IFERROR(V215*INDEX(indexy_SDcast!$A:$ALI,MATCH($R215,indexy_SDcast!$K:$K,0),MATCH(W$2,indexy_SDcast!$2:$2,0)),"#ekrk")),"#popis")</f>
        <v>-2560.4885827219464</v>
      </c>
      <c r="X215" s="365">
        <f>IF($Q215="ekrk",IF($R215="data",IFERROR(INDEX(data!$A:$ALL,MATCH($M215,data!$A:$A,0),MATCH(X$2,data!$1:$1,0)),"#data"),IFERROR(W215*INDEX(indexy_SDcast!$A:$ALI,MATCH($R215,indexy_SDcast!$K:$K,0),MATCH(X$2,indexy_SDcast!$2:$2,0)),"#ekrk")),"#popis")</f>
        <v>-1644.6683626824101</v>
      </c>
      <c r="Y215" s="362">
        <f>IF($Q215="ekrk",IF($R215="data",IFERROR(INDEX(data!$A:$ALL,MATCH($M215,data!$A:$A,0),MATCH(Y$2,data!$1:$1,0)),"#data"),IFERROR(X215*INDEX(indexy_SDcast!$A:$ALI,MATCH($R215,indexy_SDcast!$K:$K,0),MATCH(Y$2,indexy_SDcast!$2:$2,0)),"#ekrk")),"#popis")</f>
        <v>-2224.9862468009251</v>
      </c>
    </row>
    <row r="216" spans="1:25" x14ac:dyDescent="0.25">
      <c r="A216" s="330">
        <v>636001</v>
      </c>
      <c r="B216" s="329">
        <v>-1767.9798100000003</v>
      </c>
      <c r="C216" s="157"/>
      <c r="D216" s="330">
        <v>636001</v>
      </c>
      <c r="E216" s="329">
        <v>-1767.9798100000003</v>
      </c>
      <c r="F216" s="157"/>
      <c r="G216" s="330">
        <v>636001</v>
      </c>
      <c r="H216" s="329">
        <v>-1767.9798100000003</v>
      </c>
      <c r="I216" s="157"/>
      <c r="J216" s="330">
        <v>636001</v>
      </c>
      <c r="K216" s="329">
        <v>-1767.9798100000003</v>
      </c>
      <c r="L216" s="157"/>
      <c r="M216" s="360">
        <f t="shared" si="24"/>
        <v>636001</v>
      </c>
      <c r="N216" s="237">
        <f t="shared" si="25"/>
        <v>-1767.9798100000003</v>
      </c>
      <c r="O216" s="361"/>
      <c r="P216" s="361"/>
      <c r="Q216" s="361" t="s">
        <v>698</v>
      </c>
      <c r="R216" s="362">
        <v>35</v>
      </c>
      <c r="S216" s="236"/>
      <c r="T216" s="364">
        <f t="shared" si="28"/>
        <v>636001</v>
      </c>
      <c r="U216" s="365">
        <f t="shared" si="27"/>
        <v>-1767.9798100000003</v>
      </c>
      <c r="V216" s="365">
        <f>IF($Q216="ekrk",IF($R216="data",IFERROR(INDEX(data!$A:$ALL,MATCH($M216,data!$A:$A,0),MATCH(V$2,data!$1:$1,0)),"#data"),IFERROR(U216*INDEX(indexy_SDcast!$A:$ALI,MATCH($R216,indexy_SDcast!$K:$K,0),MATCH(V$2,indexy_SDcast!$2:$2,0)),"#ekrk")),"#popis")</f>
        <v>-2263.4245814808951</v>
      </c>
      <c r="W216" s="365">
        <f>IF($Q216="ekrk",IF($R216="data",IFERROR(INDEX(data!$A:$ALL,MATCH($M216,data!$A:$A,0),MATCH(W$2,data!$1:$1,0)),"#data"),IFERROR(V216*INDEX(indexy_SDcast!$A:$ALI,MATCH($R216,indexy_SDcast!$K:$K,0),MATCH(W$2,indexy_SDcast!$2:$2,0)),"#ekrk")),"#popis")</f>
        <v>-2288.8684290810243</v>
      </c>
      <c r="X216" s="365">
        <f>IF($Q216="ekrk",IF($R216="data",IFERROR(INDEX(data!$A:$ALL,MATCH($M216,data!$A:$A,0),MATCH(X$2,data!$1:$1,0)),"#data"),IFERROR(W216*INDEX(indexy_SDcast!$A:$ALI,MATCH($R216,indexy_SDcast!$K:$K,0),MATCH(X$2,indexy_SDcast!$2:$2,0)),"#ekrk")),"#popis")</f>
        <v>-1470.1996787075473</v>
      </c>
      <c r="Y216" s="362">
        <f>IF($Q216="ekrk",IF($R216="data",IFERROR(INDEX(data!$A:$ALL,MATCH($M216,data!$A:$A,0),MATCH(Y$2,data!$1:$1,0)),"#data"),IFERROR(X216*INDEX(indexy_SDcast!$A:$ALI,MATCH($R216,indexy_SDcast!$K:$K,0),MATCH(Y$2,indexy_SDcast!$2:$2,0)),"#ekrk")),"#popis")</f>
        <v>-1988.9566428092735</v>
      </c>
    </row>
    <row r="217" spans="1:25" x14ac:dyDescent="0.25">
      <c r="A217" s="330">
        <v>636002</v>
      </c>
      <c r="B217" s="329">
        <v>-93.999170000000007</v>
      </c>
      <c r="C217" s="157"/>
      <c r="D217" s="330">
        <v>636002</v>
      </c>
      <c r="E217" s="329">
        <v>-93.999170000000007</v>
      </c>
      <c r="F217" s="157"/>
      <c r="G217" s="330">
        <v>636002</v>
      </c>
      <c r="H217" s="329">
        <v>-93.999170000000007</v>
      </c>
      <c r="I217" s="157"/>
      <c r="J217" s="330">
        <v>636002</v>
      </c>
      <c r="K217" s="329">
        <v>-93.999170000000007</v>
      </c>
      <c r="L217" s="157"/>
      <c r="M217" s="360">
        <f t="shared" si="24"/>
        <v>636002</v>
      </c>
      <c r="N217" s="237">
        <f t="shared" si="25"/>
        <v>-93.999170000000007</v>
      </c>
      <c r="O217" s="361"/>
      <c r="P217" s="361"/>
      <c r="Q217" s="361" t="s">
        <v>698</v>
      </c>
      <c r="R217" s="362">
        <v>35</v>
      </c>
      <c r="S217" s="236"/>
      <c r="T217" s="364">
        <f t="shared" si="28"/>
        <v>636002</v>
      </c>
      <c r="U217" s="365">
        <f t="shared" si="27"/>
        <v>-93.999170000000007</v>
      </c>
      <c r="V217" s="365">
        <f>IF($Q217="ekrk",IF($R217="data",IFERROR(INDEX(data!$A:$ALL,MATCH($M217,data!$A:$A,0),MATCH(V$2,data!$1:$1,0)),"#data"),IFERROR(U217*INDEX(indexy_SDcast!$A:$ALI,MATCH($R217,indexy_SDcast!$K:$K,0),MATCH(V$2,indexy_SDcast!$2:$2,0)),"#ekrk")),"#popis")</f>
        <v>-120.34075887823714</v>
      </c>
      <c r="W217" s="365">
        <f>IF($Q217="ekrk",IF($R217="data",IFERROR(INDEX(data!$A:$ALL,MATCH($M217,data!$A:$A,0),MATCH(W$2,data!$1:$1,0)),"#data"),IFERROR(V217*INDEX(indexy_SDcast!$A:$ALI,MATCH($R217,indexy_SDcast!$K:$K,0),MATCH(W$2,indexy_SDcast!$2:$2,0)),"#ekrk")),"#popis")</f>
        <v>-121.69354613434197</v>
      </c>
      <c r="X217" s="365">
        <f>IF($Q217="ekrk",IF($R217="data",IFERROR(INDEX(data!$A:$ALL,MATCH($M217,data!$A:$A,0),MATCH(X$2,data!$1:$1,0)),"#data"),IFERROR(W217*INDEX(indexy_SDcast!$A:$ALI,MATCH($R217,indexy_SDcast!$K:$K,0),MATCH(X$2,indexy_SDcast!$2:$2,0)),"#ekrk")),"#popis")</f>
        <v>-78.166927445159075</v>
      </c>
      <c r="Y217" s="362">
        <f>IF($Q217="ekrk",IF($R217="data",IFERROR(INDEX(data!$A:$ALL,MATCH($M217,data!$A:$A,0),MATCH(Y$2,data!$1:$1,0)),"#data"),IFERROR(X217*INDEX(indexy_SDcast!$A:$ALI,MATCH($R217,indexy_SDcast!$K:$K,0),MATCH(Y$2,indexy_SDcast!$2:$2,0)),"#ekrk")),"#popis")</f>
        <v>-105.74796868865725</v>
      </c>
    </row>
    <row r="218" spans="1:25" x14ac:dyDescent="0.25">
      <c r="A218" s="330">
        <v>636003</v>
      </c>
      <c r="B218" s="329">
        <v>-23.422000000000001</v>
      </c>
      <c r="C218" s="157"/>
      <c r="D218" s="330">
        <v>636003</v>
      </c>
      <c r="E218" s="329">
        <v>-23.422000000000001</v>
      </c>
      <c r="F218" s="157"/>
      <c r="G218" s="330">
        <v>636003</v>
      </c>
      <c r="H218" s="329">
        <v>-23.422000000000001</v>
      </c>
      <c r="I218" s="157"/>
      <c r="J218" s="330">
        <v>636003</v>
      </c>
      <c r="K218" s="329">
        <v>-23.422000000000001</v>
      </c>
      <c r="L218" s="157"/>
      <c r="M218" s="360">
        <f t="shared" si="24"/>
        <v>636003</v>
      </c>
      <c r="N218" s="237">
        <f t="shared" si="25"/>
        <v>-23.422000000000001</v>
      </c>
      <c r="O218" s="361"/>
      <c r="P218" s="361"/>
      <c r="Q218" s="361" t="s">
        <v>698</v>
      </c>
      <c r="R218" s="362">
        <v>35</v>
      </c>
      <c r="S218" s="236"/>
      <c r="T218" s="364">
        <f t="shared" si="28"/>
        <v>636003</v>
      </c>
      <c r="U218" s="365">
        <f t="shared" si="27"/>
        <v>-23.422000000000001</v>
      </c>
      <c r="V218" s="365">
        <f>IF($Q218="ekrk",IF($R218="data",IFERROR(INDEX(data!$A:$ALL,MATCH($M218,data!$A:$A,0),MATCH(V$2,data!$1:$1,0)),"#data"),IFERROR(U218*INDEX(indexy_SDcast!$A:$ALI,MATCH($R218,indexy_SDcast!$K:$K,0),MATCH(V$2,indexy_SDcast!$2:$2,0)),"#ekrk")),"#popis")</f>
        <v>-29.985597260551025</v>
      </c>
      <c r="W218" s="365">
        <f>IF($Q218="ekrk",IF($R218="data",IFERROR(INDEX(data!$A:$ALL,MATCH($M218,data!$A:$A,0),MATCH(W$2,data!$1:$1,0)),"#data"),IFERROR(V218*INDEX(indexy_SDcast!$A:$ALI,MATCH($R218,indexy_SDcast!$K:$K,0),MATCH(W$2,indexy_SDcast!$2:$2,0)),"#ekrk")),"#popis")</f>
        <v>-30.322674525302268</v>
      </c>
      <c r="X218" s="365">
        <f>IF($Q218="ekrk",IF($R218="data",IFERROR(INDEX(data!$A:$ALL,MATCH($M218,data!$A:$A,0),MATCH(X$2,data!$1:$1,0)),"#data"),IFERROR(W218*INDEX(indexy_SDcast!$A:$ALI,MATCH($R218,indexy_SDcast!$K:$K,0),MATCH(X$2,indexy_SDcast!$2:$2,0)),"#ekrk")),"#popis")</f>
        <v>-19.477041920907553</v>
      </c>
      <c r="Y218" s="362">
        <f>IF($Q218="ekrk",IF($R218="data",IFERROR(INDEX(data!$A:$ALL,MATCH($M218,data!$A:$A,0),MATCH(Y$2,data!$1:$1,0)),"#data"),IFERROR(X218*INDEX(indexy_SDcast!$A:$ALI,MATCH($R218,indexy_SDcast!$K:$K,0),MATCH(Y$2,indexy_SDcast!$2:$2,0)),"#ekrk")),"#popis")</f>
        <v>-26.349476517991913</v>
      </c>
    </row>
    <row r="219" spans="1:25" x14ac:dyDescent="0.25">
      <c r="A219" s="330">
        <v>636004</v>
      </c>
      <c r="B219" s="329">
        <v>-10.586410000000001</v>
      </c>
      <c r="C219" s="157"/>
      <c r="D219" s="330">
        <v>636004</v>
      </c>
      <c r="E219" s="329">
        <v>-10.586410000000001</v>
      </c>
      <c r="F219" s="157"/>
      <c r="G219" s="330">
        <v>636004</v>
      </c>
      <c r="H219" s="329">
        <v>-10.586410000000001</v>
      </c>
      <c r="I219" s="157"/>
      <c r="J219" s="330">
        <v>636004</v>
      </c>
      <c r="K219" s="329">
        <v>-10.586410000000001</v>
      </c>
      <c r="L219" s="157"/>
      <c r="M219" s="360">
        <f t="shared" si="24"/>
        <v>636004</v>
      </c>
      <c r="N219" s="237">
        <f t="shared" si="25"/>
        <v>-10.586410000000001</v>
      </c>
      <c r="O219" s="361"/>
      <c r="P219" s="361"/>
      <c r="Q219" s="361" t="s">
        <v>698</v>
      </c>
      <c r="R219" s="362">
        <v>35</v>
      </c>
      <c r="S219" s="236"/>
      <c r="T219" s="364">
        <f t="shared" si="28"/>
        <v>636004</v>
      </c>
      <c r="U219" s="365">
        <f t="shared" si="27"/>
        <v>-10.586410000000001</v>
      </c>
      <c r="V219" s="365">
        <f>IF($Q219="ekrk",IF($R219="data",IFERROR(INDEX(data!$A:$ALL,MATCH($M219,data!$A:$A,0),MATCH(V$2,data!$1:$1,0)),"#data"),IFERROR(U219*INDEX(indexy_SDcast!$A:$ALI,MATCH($R219,indexy_SDcast!$K:$K,0),MATCH(V$2,indexy_SDcast!$2:$2,0)),"#ekrk")),"#popis")</f>
        <v>-13.553062364233199</v>
      </c>
      <c r="W219" s="365">
        <f>IF($Q219="ekrk",IF($R219="data",IFERROR(INDEX(data!$A:$ALL,MATCH($M219,data!$A:$A,0),MATCH(W$2,data!$1:$1,0)),"#data"),IFERROR(V219*INDEX(indexy_SDcast!$A:$ALI,MATCH($R219,indexy_SDcast!$K:$K,0),MATCH(W$2,indexy_SDcast!$2:$2,0)),"#ekrk")),"#popis")</f>
        <v>-13.705416481146154</v>
      </c>
      <c r="X219" s="365">
        <f>IF($Q219="ekrk",IF($R219="data",IFERROR(INDEX(data!$A:$ALL,MATCH($M219,data!$A:$A,0),MATCH(X$2,data!$1:$1,0)),"#data"),IFERROR(W219*INDEX(indexy_SDcast!$A:$ALI,MATCH($R219,indexy_SDcast!$K:$K,0),MATCH(X$2,indexy_SDcast!$2:$2,0)),"#ekrk")),"#popis")</f>
        <v>-8.8033452037364412</v>
      </c>
      <c r="Y219" s="362">
        <f>IF($Q219="ekrk",IF($R219="data",IFERROR(INDEX(data!$A:$ALL,MATCH($M219,data!$A:$A,0),MATCH(Y$2,data!$1:$1,0)),"#data"),IFERROR(X219*INDEX(indexy_SDcast!$A:$ALI,MATCH($R219,indexy_SDcast!$K:$K,0),MATCH(Y$2,indexy_SDcast!$2:$2,0)),"#ekrk")),"#popis")</f>
        <v>-11.909587640032225</v>
      </c>
    </row>
    <row r="220" spans="1:25" x14ac:dyDescent="0.25">
      <c r="A220" s="330">
        <v>636005</v>
      </c>
      <c r="B220" s="329">
        <v>-0.84965999999999997</v>
      </c>
      <c r="C220" s="157"/>
      <c r="D220" s="330">
        <v>636005</v>
      </c>
      <c r="E220" s="329">
        <v>-0.84965999999999997</v>
      </c>
      <c r="F220" s="157"/>
      <c r="G220" s="330">
        <v>636005</v>
      </c>
      <c r="H220" s="329">
        <v>-0.84965999999999997</v>
      </c>
      <c r="I220" s="157"/>
      <c r="J220" s="330">
        <v>636005</v>
      </c>
      <c r="K220" s="329">
        <v>-0.84965999999999997</v>
      </c>
      <c r="L220" s="157"/>
      <c r="M220" s="360">
        <f t="shared" si="24"/>
        <v>636005</v>
      </c>
      <c r="N220" s="237">
        <f t="shared" si="25"/>
        <v>-0.84965999999999997</v>
      </c>
      <c r="O220" s="361"/>
      <c r="P220" s="361"/>
      <c r="Q220" s="361" t="s">
        <v>698</v>
      </c>
      <c r="R220" s="362">
        <v>35</v>
      </c>
      <c r="S220" s="236"/>
      <c r="T220" s="364">
        <f t="shared" si="28"/>
        <v>636005</v>
      </c>
      <c r="U220" s="365">
        <f t="shared" si="27"/>
        <v>-0.84965999999999997</v>
      </c>
      <c r="V220" s="365">
        <f>IF($Q220="ekrk",IF($R220="data",IFERROR(INDEX(data!$A:$ALL,MATCH($M220,data!$A:$A,0),MATCH(V$2,data!$1:$1,0)),"#data"),IFERROR(U220*INDEX(indexy_SDcast!$A:$ALI,MATCH($R220,indexy_SDcast!$K:$K,0),MATCH(V$2,indexy_SDcast!$2:$2,0)),"#ekrk")),"#popis")</f>
        <v>-1.0877620428827506</v>
      </c>
      <c r="W220" s="365">
        <f>IF($Q220="ekrk",IF($R220="data",IFERROR(INDEX(data!$A:$ALL,MATCH($M220,data!$A:$A,0),MATCH(W$2,data!$1:$1,0)),"#data"),IFERROR(V220*INDEX(indexy_SDcast!$A:$ALI,MATCH($R220,indexy_SDcast!$K:$K,0),MATCH(W$2,indexy_SDcast!$2:$2,0)),"#ekrk")),"#popis")</f>
        <v>-1.0999899085120113</v>
      </c>
      <c r="X220" s="365">
        <f>IF($Q220="ekrk",IF($R220="data",IFERROR(INDEX(data!$A:$ALL,MATCH($M220,data!$A:$A,0),MATCH(X$2,data!$1:$1,0)),"#data"),IFERROR(W220*INDEX(indexy_SDcast!$A:$ALI,MATCH($R220,indexy_SDcast!$K:$K,0),MATCH(X$2,indexy_SDcast!$2:$2,0)),"#ekrk")),"#popis")</f>
        <v>-0.70655210650321543</v>
      </c>
      <c r="Y220" s="362">
        <f>IF($Q220="ekrk",IF($R220="data",IFERROR(INDEX(data!$A:$ALL,MATCH($M220,data!$A:$A,0),MATCH(Y$2,data!$1:$1,0)),"#data"),IFERROR(X220*INDEX(indexy_SDcast!$A:$ALI,MATCH($R220,indexy_SDcast!$K:$K,0),MATCH(Y$2,indexy_SDcast!$2:$2,0)),"#ekrk")),"#popis")</f>
        <v>-0.95585757912548075</v>
      </c>
    </row>
    <row r="221" spans="1:25" x14ac:dyDescent="0.25">
      <c r="A221" s="330">
        <v>637001</v>
      </c>
      <c r="B221" s="329">
        <v>-3918.3330799999985</v>
      </c>
      <c r="C221" s="157"/>
      <c r="D221" s="330">
        <v>637001</v>
      </c>
      <c r="E221" s="329">
        <v>-3918.3330799999985</v>
      </c>
      <c r="F221" s="157"/>
      <c r="G221" s="330">
        <v>637001</v>
      </c>
      <c r="H221" s="329">
        <v>-3918.3330799999985</v>
      </c>
      <c r="I221" s="157"/>
      <c r="J221" s="330">
        <v>637001</v>
      </c>
      <c r="K221" s="329">
        <v>-3918.3330799999985</v>
      </c>
      <c r="L221" s="157"/>
      <c r="M221" s="360">
        <f t="shared" si="24"/>
        <v>637001</v>
      </c>
      <c r="N221" s="237">
        <f t="shared" si="25"/>
        <v>-3918.3330799999985</v>
      </c>
      <c r="O221" s="361"/>
      <c r="P221" s="361"/>
      <c r="Q221" s="361" t="s">
        <v>698</v>
      </c>
      <c r="R221" s="362">
        <v>35</v>
      </c>
      <c r="S221" s="236"/>
      <c r="T221" s="364">
        <f t="shared" si="28"/>
        <v>637001</v>
      </c>
      <c r="U221" s="365">
        <f t="shared" si="27"/>
        <v>-3918.3330799999985</v>
      </c>
      <c r="V221" s="365">
        <f>IF($Q221="ekrk",IF($R221="data",IFERROR(INDEX(data!$A:$ALL,MATCH($M221,data!$A:$A,0),MATCH(V$2,data!$1:$1,0)),"#data"),IFERROR(U221*INDEX(indexy_SDcast!$A:$ALI,MATCH($R221,indexy_SDcast!$K:$K,0),MATCH(V$2,indexy_SDcast!$2:$2,0)),"#ekrk")),"#popis")</f>
        <v>-5016.3759572015379</v>
      </c>
      <c r="W221" s="365">
        <f>IF($Q221="ekrk",IF($R221="data",IFERROR(INDEX(data!$A:$ALL,MATCH($M221,data!$A:$A,0),MATCH(W$2,data!$1:$1,0)),"#data"),IFERROR(V221*INDEX(indexy_SDcast!$A:$ALI,MATCH($R221,indexy_SDcast!$K:$K,0),MATCH(W$2,indexy_SDcast!$2:$2,0)),"#ekrk")),"#popis")</f>
        <v>-5072.766572733547</v>
      </c>
      <c r="X221" s="365">
        <f>IF($Q221="ekrk",IF($R221="data",IFERROR(INDEX(data!$A:$ALL,MATCH($M221,data!$A:$A,0),MATCH(X$2,data!$1:$1,0)),"#data"),IFERROR(W221*INDEX(indexy_SDcast!$A:$ALI,MATCH($R221,indexy_SDcast!$K:$K,0),MATCH(X$2,indexy_SDcast!$2:$2,0)),"#ekrk")),"#popis")</f>
        <v>-3258.3698086943377</v>
      </c>
      <c r="Y221" s="362">
        <f>IF($Q221="ekrk",IF($R221="data",IFERROR(INDEX(data!$A:$ALL,MATCH($M221,data!$A:$A,0),MATCH(Y$2,data!$1:$1,0)),"#data"),IFERROR(X221*INDEX(indexy_SDcast!$A:$ALI,MATCH($R221,indexy_SDcast!$K:$K,0),MATCH(Y$2,indexy_SDcast!$2:$2,0)),"#ekrk")),"#popis")</f>
        <v>-4408.0789634160574</v>
      </c>
    </row>
    <row r="222" spans="1:25" x14ac:dyDescent="0.25">
      <c r="A222" s="330">
        <v>637002</v>
      </c>
      <c r="B222" s="329">
        <v>-8.1073899999999988</v>
      </c>
      <c r="C222" s="157"/>
      <c r="D222" s="330">
        <v>637002</v>
      </c>
      <c r="E222" s="329">
        <v>-8.1073899999999988</v>
      </c>
      <c r="F222" s="157"/>
      <c r="G222" s="330">
        <v>637002</v>
      </c>
      <c r="H222" s="329">
        <v>-8.1073899999999988</v>
      </c>
      <c r="I222" s="157"/>
      <c r="J222" s="330">
        <v>637002</v>
      </c>
      <c r="K222" s="329">
        <v>-8.1073899999999988</v>
      </c>
      <c r="L222" s="157"/>
      <c r="M222" s="360">
        <f t="shared" si="24"/>
        <v>637002</v>
      </c>
      <c r="N222" s="237">
        <f t="shared" si="25"/>
        <v>-8.1073899999999988</v>
      </c>
      <c r="O222" s="361"/>
      <c r="P222" s="361"/>
      <c r="Q222" s="361" t="s">
        <v>698</v>
      </c>
      <c r="R222" s="362">
        <v>35</v>
      </c>
      <c r="S222" s="236"/>
      <c r="T222" s="364">
        <f t="shared" si="28"/>
        <v>637002</v>
      </c>
      <c r="U222" s="365">
        <f t="shared" si="27"/>
        <v>-8.1073899999999988</v>
      </c>
      <c r="V222" s="365">
        <f>IF($Q222="ekrk",IF($R222="data",IFERROR(INDEX(data!$A:$ALL,MATCH($M222,data!$A:$A,0),MATCH(V$2,data!$1:$1,0)),"#data"),IFERROR(U222*INDEX(indexy_SDcast!$A:$ALI,MATCH($R222,indexy_SDcast!$K:$K,0),MATCH(V$2,indexy_SDcast!$2:$2,0)),"#ekrk")),"#popis")</f>
        <v>-10.379341276330745</v>
      </c>
      <c r="W222" s="365">
        <f>IF($Q222="ekrk",IF($R222="data",IFERROR(INDEX(data!$A:$ALL,MATCH($M222,data!$A:$A,0),MATCH(W$2,data!$1:$1,0)),"#data"),IFERROR(V222*INDEX(indexy_SDcast!$A:$ALI,MATCH($R222,indexy_SDcast!$K:$K,0),MATCH(W$2,indexy_SDcast!$2:$2,0)),"#ekrk")),"#popis")</f>
        <v>-10.496018624357028</v>
      </c>
      <c r="X222" s="365">
        <f>IF($Q222="ekrk",IF($R222="data",IFERROR(INDEX(data!$A:$ALL,MATCH($M222,data!$A:$A,0),MATCH(X$2,data!$1:$1,0)),"#data"),IFERROR(W222*INDEX(indexy_SDcast!$A:$ALI,MATCH($R222,indexy_SDcast!$K:$K,0),MATCH(X$2,indexy_SDcast!$2:$2,0)),"#ekrk")),"#popis")</f>
        <v>-6.741865549446957</v>
      </c>
      <c r="Y222" s="362">
        <f>IF($Q222="ekrk",IF($R222="data",IFERROR(INDEX(data!$A:$ALL,MATCH($M222,data!$A:$A,0),MATCH(Y$2,data!$1:$1,0)),"#data"),IFERROR(X222*INDEX(indexy_SDcast!$A:$ALI,MATCH($R222,indexy_SDcast!$K:$K,0),MATCH(Y$2,indexy_SDcast!$2:$2,0)),"#ekrk")),"#popis")</f>
        <v>-9.1207190857826994</v>
      </c>
    </row>
    <row r="223" spans="1:25" x14ac:dyDescent="0.25">
      <c r="A223" s="330">
        <v>637003</v>
      </c>
      <c r="B223" s="329">
        <v>-273.38398999999998</v>
      </c>
      <c r="C223" s="157"/>
      <c r="D223" s="330">
        <v>637003</v>
      </c>
      <c r="E223" s="329">
        <v>-273.38398999999998</v>
      </c>
      <c r="F223" s="157"/>
      <c r="G223" s="330">
        <v>637003</v>
      </c>
      <c r="H223" s="329">
        <v>-273.38398999999998</v>
      </c>
      <c r="I223" s="157"/>
      <c r="J223" s="330">
        <v>637003</v>
      </c>
      <c r="K223" s="329">
        <v>-273.38398999999998</v>
      </c>
      <c r="L223" s="157"/>
      <c r="M223" s="360">
        <f t="shared" si="24"/>
        <v>637003</v>
      </c>
      <c r="N223" s="237">
        <f t="shared" si="25"/>
        <v>-273.38398999999998</v>
      </c>
      <c r="O223" s="361"/>
      <c r="P223" s="361"/>
      <c r="Q223" s="361" t="s">
        <v>698</v>
      </c>
      <c r="R223" s="362">
        <v>35</v>
      </c>
      <c r="S223" s="236"/>
      <c r="T223" s="364">
        <f t="shared" si="28"/>
        <v>637003</v>
      </c>
      <c r="U223" s="365">
        <f t="shared" si="27"/>
        <v>-273.38398999999998</v>
      </c>
      <c r="V223" s="365">
        <f>IF($Q223="ekrk",IF($R223="data",IFERROR(INDEX(data!$A:$ALL,MATCH($M223,data!$A:$A,0),MATCH(V$2,data!$1:$1,0)),"#data"),IFERROR(U223*INDEX(indexy_SDcast!$A:$ALI,MATCH($R223,indexy_SDcast!$K:$K,0),MATCH(V$2,indexy_SDcast!$2:$2,0)),"#ekrk")),"#popis")</f>
        <v>-349.99497146368833</v>
      </c>
      <c r="W223" s="365">
        <f>IF($Q223="ekrk",IF($R223="data",IFERROR(INDEX(data!$A:$ALL,MATCH($M223,data!$A:$A,0),MATCH(W$2,data!$1:$1,0)),"#data"),IFERROR(V223*INDEX(indexy_SDcast!$A:$ALI,MATCH($R223,indexy_SDcast!$K:$K,0),MATCH(W$2,indexy_SDcast!$2:$2,0)),"#ekrk")),"#popis")</f>
        <v>-353.9293719237678</v>
      </c>
      <c r="X223" s="365">
        <f>IF($Q223="ekrk",IF($R223="data",IFERROR(INDEX(data!$A:$ALL,MATCH($M223,data!$A:$A,0),MATCH(X$2,data!$1:$1,0)),"#data"),IFERROR(W223*INDEX(indexy_SDcast!$A:$ALI,MATCH($R223,indexy_SDcast!$K:$K,0),MATCH(X$2,indexy_SDcast!$2:$2,0)),"#ekrk")),"#popis")</f>
        <v>-227.33803405921657</v>
      </c>
      <c r="Y223" s="362">
        <f>IF($Q223="ekrk",IF($R223="data",IFERROR(INDEX(data!$A:$ALL,MATCH($M223,data!$A:$A,0),MATCH(Y$2,data!$1:$1,0)),"#data"),IFERROR(X223*INDEX(indexy_SDcast!$A:$ALI,MATCH($R223,indexy_SDcast!$K:$K,0),MATCH(Y$2,indexy_SDcast!$2:$2,0)),"#ekrk")),"#popis")</f>
        <v>-307.5537966399084</v>
      </c>
    </row>
    <row r="224" spans="1:25" x14ac:dyDescent="0.25">
      <c r="A224" s="330">
        <v>637004</v>
      </c>
      <c r="B224" s="329">
        <v>-4242.6935600000006</v>
      </c>
      <c r="C224" s="157"/>
      <c r="D224" s="330">
        <v>637004</v>
      </c>
      <c r="E224" s="329">
        <v>-4242.6935600000006</v>
      </c>
      <c r="F224" s="157"/>
      <c r="G224" s="330">
        <v>637004</v>
      </c>
      <c r="H224" s="329">
        <v>-4242.6935600000006</v>
      </c>
      <c r="I224" s="157"/>
      <c r="J224" s="330">
        <v>637004</v>
      </c>
      <c r="K224" s="329">
        <v>-4242.6935600000006</v>
      </c>
      <c r="L224" s="157"/>
      <c r="M224" s="360">
        <f t="shared" si="24"/>
        <v>637004</v>
      </c>
      <c r="N224" s="237">
        <f t="shared" si="25"/>
        <v>-4242.6935600000006</v>
      </c>
      <c r="O224" s="361"/>
      <c r="P224" s="361"/>
      <c r="Q224" s="361" t="s">
        <v>698</v>
      </c>
      <c r="R224" s="362">
        <v>35</v>
      </c>
      <c r="S224" s="236"/>
      <c r="T224" s="364">
        <f t="shared" si="28"/>
        <v>637004</v>
      </c>
      <c r="U224" s="365">
        <f t="shared" si="27"/>
        <v>-4242.6935600000006</v>
      </c>
      <c r="V224" s="365">
        <f>IF($Q224="ekrk",IF($R224="data",IFERROR(INDEX(data!$A:$ALL,MATCH($M224,data!$A:$A,0),MATCH(V$2,data!$1:$1,0)),"#data"),IFERROR(U224*INDEX(indexy_SDcast!$A:$ALI,MATCH($R224,indexy_SDcast!$K:$K,0),MATCH(V$2,indexy_SDcast!$2:$2,0)),"#ekrk")),"#popis")</f>
        <v>-5431.6326697162276</v>
      </c>
      <c r="W224" s="365">
        <f>IF($Q224="ekrk",IF($R224="data",IFERROR(INDEX(data!$A:$ALL,MATCH($M224,data!$A:$A,0),MATCH(W$2,data!$1:$1,0)),"#data"),IFERROR(V224*INDEX(indexy_SDcast!$A:$ALI,MATCH($R224,indexy_SDcast!$K:$K,0),MATCH(W$2,indexy_SDcast!$2:$2,0)),"#ekrk")),"#popis")</f>
        <v>-5492.6913128885662</v>
      </c>
      <c r="X224" s="365">
        <f>IF($Q224="ekrk",IF($R224="data",IFERROR(INDEX(data!$A:$ALL,MATCH($M224,data!$A:$A,0),MATCH(X$2,data!$1:$1,0)),"#data"),IFERROR(W224*INDEX(indexy_SDcast!$A:$ALI,MATCH($R224,indexy_SDcast!$K:$K,0),MATCH(X$2,indexy_SDcast!$2:$2,0)),"#ekrk")),"#popis")</f>
        <v>-3528.0983829598026</v>
      </c>
      <c r="Y224" s="362">
        <f>IF($Q224="ekrk",IF($R224="data",IFERROR(INDEX(data!$A:$ALL,MATCH($M224,data!$A:$A,0),MATCH(Y$2,data!$1:$1,0)),"#data"),IFERROR(X224*INDEX(indexy_SDcast!$A:$ALI,MATCH($R224,indexy_SDcast!$K:$K,0),MATCH(Y$2,indexy_SDcast!$2:$2,0)),"#ekrk")),"#popis")</f>
        <v>-4772.980716089809</v>
      </c>
    </row>
    <row r="225" spans="1:44" x14ac:dyDescent="0.25">
      <c r="A225" s="330">
        <v>637005</v>
      </c>
      <c r="B225" s="329">
        <v>-798.83168999999998</v>
      </c>
      <c r="C225" s="157"/>
      <c r="D225" s="330">
        <v>637005</v>
      </c>
      <c r="E225" s="329">
        <v>-798.83168999999998</v>
      </c>
      <c r="F225" s="157"/>
      <c r="G225" s="330">
        <v>637005</v>
      </c>
      <c r="H225" s="329">
        <v>-798.83168999999998</v>
      </c>
      <c r="I225" s="157"/>
      <c r="J225" s="330">
        <v>637005</v>
      </c>
      <c r="K225" s="329">
        <v>-798.83168999999998</v>
      </c>
      <c r="L225" s="157"/>
      <c r="M225" s="360">
        <f t="shared" si="24"/>
        <v>637005</v>
      </c>
      <c r="N225" s="237">
        <f t="shared" si="25"/>
        <v>-798.83168999999998</v>
      </c>
      <c r="O225" s="361"/>
      <c r="P225" s="361"/>
      <c r="Q225" s="361" t="s">
        <v>698</v>
      </c>
      <c r="R225" s="362">
        <v>35</v>
      </c>
      <c r="S225" s="236"/>
      <c r="T225" s="364">
        <f t="shared" si="28"/>
        <v>637005</v>
      </c>
      <c r="U225" s="365">
        <f t="shared" si="27"/>
        <v>-798.83168999999998</v>
      </c>
      <c r="V225" s="365">
        <f>IF($Q225="ekrk",IF($R225="data",IFERROR(INDEX(data!$A:$ALL,MATCH($M225,data!$A:$A,0),MATCH(V$2,data!$1:$1,0)),"#data"),IFERROR(U225*INDEX(indexy_SDcast!$A:$ALI,MATCH($R225,indexy_SDcast!$K:$K,0),MATCH(V$2,indexy_SDcast!$2:$2,0)),"#ekrk")),"#popis")</f>
        <v>-1022.6900066307466</v>
      </c>
      <c r="W225" s="365">
        <f>IF($Q225="ekrk",IF($R225="data",IFERROR(INDEX(data!$A:$ALL,MATCH($M225,data!$A:$A,0),MATCH(W$2,data!$1:$1,0)),"#data"),IFERROR(V225*INDEX(indexy_SDcast!$A:$ALI,MATCH($R225,indexy_SDcast!$K:$K,0),MATCH(W$2,indexy_SDcast!$2:$2,0)),"#ekrk")),"#popis")</f>
        <v>-1034.1863776093912</v>
      </c>
      <c r="X225" s="365">
        <f>IF($Q225="ekrk",IF($R225="data",IFERROR(INDEX(data!$A:$ALL,MATCH($M225,data!$A:$A,0),MATCH(X$2,data!$1:$1,0)),"#data"),IFERROR(W225*INDEX(indexy_SDcast!$A:$ALI,MATCH($R225,indexy_SDcast!$K:$K,0),MATCH(X$2,indexy_SDcast!$2:$2,0)),"#ekrk")),"#popis")</f>
        <v>-664.2847883989167</v>
      </c>
      <c r="Y225" s="362">
        <f>IF($Q225="ekrk",IF($R225="data",IFERROR(INDEX(data!$A:$ALL,MATCH($M225,data!$A:$A,0),MATCH(Y$2,data!$1:$1,0)),"#data"),IFERROR(X225*INDEX(indexy_SDcast!$A:$ALI,MATCH($R225,indexy_SDcast!$K:$K,0),MATCH(Y$2,indexy_SDcast!$2:$2,0)),"#ekrk")),"#popis")</f>
        <v>-898.67632386144635</v>
      </c>
    </row>
    <row r="226" spans="1:44" x14ac:dyDescent="0.25">
      <c r="A226" s="330">
        <v>637010</v>
      </c>
      <c r="B226" s="329">
        <v>-0.45900000000000002</v>
      </c>
      <c r="C226" s="157"/>
      <c r="D226" s="330">
        <v>637010</v>
      </c>
      <c r="E226" s="329">
        <v>-0.45900000000000002</v>
      </c>
      <c r="F226" s="157"/>
      <c r="G226" s="330">
        <v>637010</v>
      </c>
      <c r="H226" s="329">
        <v>-0.45900000000000002</v>
      </c>
      <c r="I226" s="157"/>
      <c r="J226" s="330">
        <v>637010</v>
      </c>
      <c r="K226" s="329">
        <v>-0.45900000000000002</v>
      </c>
      <c r="L226" s="157"/>
      <c r="M226" s="360">
        <f t="shared" si="24"/>
        <v>637010</v>
      </c>
      <c r="N226" s="237">
        <f t="shared" si="25"/>
        <v>-0.45900000000000002</v>
      </c>
      <c r="O226" s="361"/>
      <c r="P226" s="361"/>
      <c r="Q226" s="361" t="s">
        <v>698</v>
      </c>
      <c r="R226" s="362">
        <v>35</v>
      </c>
      <c r="S226" s="236"/>
      <c r="T226" s="364">
        <f t="shared" si="28"/>
        <v>637010</v>
      </c>
      <c r="U226" s="365">
        <f t="shared" si="27"/>
        <v>-0.45900000000000002</v>
      </c>
      <c r="V226" s="365">
        <f>IF($Q226="ekrk",IF($R226="data",IFERROR(INDEX(data!$A:$ALL,MATCH($M226,data!$A:$A,0),MATCH(V$2,data!$1:$1,0)),"#data"),IFERROR(U226*INDEX(indexy_SDcast!$A:$ALI,MATCH($R226,indexy_SDcast!$K:$K,0),MATCH(V$2,indexy_SDcast!$2:$2,0)),"#ekrk")),"#popis")</f>
        <v>-0.58762655377819661</v>
      </c>
      <c r="W226" s="365">
        <f>IF($Q226="ekrk",IF($R226="data",IFERROR(INDEX(data!$A:$ALL,MATCH($M226,data!$A:$A,0),MATCH(W$2,data!$1:$1,0)),"#data"),IFERROR(V226*INDEX(indexy_SDcast!$A:$ALI,MATCH($R226,indexy_SDcast!$K:$K,0),MATCH(W$2,indexy_SDcast!$2:$2,0)),"#ekrk")),"#popis")</f>
        <v>-0.59423224349388371</v>
      </c>
      <c r="X226" s="365">
        <f>IF($Q226="ekrk",IF($R226="data",IFERROR(INDEX(data!$A:$ALL,MATCH($M226,data!$A:$A,0),MATCH(X$2,data!$1:$1,0)),"#data"),IFERROR(W226*INDEX(indexy_SDcast!$A:$ALI,MATCH($R226,indexy_SDcast!$K:$K,0),MATCH(X$2,indexy_SDcast!$2:$2,0)),"#ekrk")),"#popis")</f>
        <v>-0.38169081383727127</v>
      </c>
      <c r="Y226" s="362">
        <f>IF($Q226="ekrk",IF($R226="data",IFERROR(INDEX(data!$A:$ALL,MATCH($M226,data!$A:$A,0),MATCH(Y$2,data!$1:$1,0)),"#data"),IFERROR(X226*INDEX(indexy_SDcast!$A:$ALI,MATCH($R226,indexy_SDcast!$K:$K,0),MATCH(Y$2,indexy_SDcast!$2:$2,0)),"#ekrk")),"#popis")</f>
        <v>-0.51636964058399326</v>
      </c>
    </row>
    <row r="227" spans="1:44" x14ac:dyDescent="0.25">
      <c r="A227" s="330">
        <v>637011</v>
      </c>
      <c r="B227" s="329">
        <v>-105.21561999999999</v>
      </c>
      <c r="C227" s="157"/>
      <c r="D227" s="330">
        <v>637011</v>
      </c>
      <c r="E227" s="329">
        <v>-105.21561999999999</v>
      </c>
      <c r="F227" s="157"/>
      <c r="G227" s="330">
        <v>637011</v>
      </c>
      <c r="H227" s="329">
        <v>-105.21561999999999</v>
      </c>
      <c r="I227" s="157"/>
      <c r="J227" s="330">
        <v>637011</v>
      </c>
      <c r="K227" s="329">
        <v>-105.21561999999999</v>
      </c>
      <c r="L227" s="157"/>
      <c r="M227" s="360">
        <f t="shared" si="24"/>
        <v>637011</v>
      </c>
      <c r="N227" s="237">
        <f t="shared" si="25"/>
        <v>-105.21561999999999</v>
      </c>
      <c r="O227" s="361"/>
      <c r="P227" s="361"/>
      <c r="Q227" s="361" t="s">
        <v>698</v>
      </c>
      <c r="R227" s="362">
        <v>35</v>
      </c>
      <c r="S227" s="236"/>
      <c r="T227" s="364">
        <f t="shared" si="28"/>
        <v>637011</v>
      </c>
      <c r="U227" s="365">
        <f t="shared" si="27"/>
        <v>-105.21561999999999</v>
      </c>
      <c r="V227" s="365">
        <f>IF($Q227="ekrk",IF($R227="data",IFERROR(INDEX(data!$A:$ALL,MATCH($M227,data!$A:$A,0),MATCH(V$2,data!$1:$1,0)),"#data"),IFERROR(U227*INDEX(indexy_SDcast!$A:$ALI,MATCH($R227,indexy_SDcast!$K:$K,0),MATCH(V$2,indexy_SDcast!$2:$2,0)),"#ekrk")),"#popis")</f>
        <v>-134.70041870203985</v>
      </c>
      <c r="W227" s="365">
        <f>IF($Q227="ekrk",IF($R227="data",IFERROR(INDEX(data!$A:$ALL,MATCH($M227,data!$A:$A,0),MATCH(W$2,data!$1:$1,0)),"#data"),IFERROR(V227*INDEX(indexy_SDcast!$A:$ALI,MATCH($R227,indexy_SDcast!$K:$K,0),MATCH(W$2,indexy_SDcast!$2:$2,0)),"#ekrk")),"#popis")</f>
        <v>-136.21462728365998</v>
      </c>
      <c r="X227" s="365">
        <f>IF($Q227="ekrk",IF($R227="data",IFERROR(INDEX(data!$A:$ALL,MATCH($M227,data!$A:$A,0),MATCH(X$2,data!$1:$1,0)),"#data"),IFERROR(W227*INDEX(indexy_SDcast!$A:$ALI,MATCH($R227,indexy_SDcast!$K:$K,0),MATCH(X$2,indexy_SDcast!$2:$2,0)),"#ekrk")),"#popis")</f>
        <v>-87.494195264037188</v>
      </c>
      <c r="Y227" s="362">
        <f>IF($Q227="ekrk",IF($R227="data",IFERROR(INDEX(data!$A:$ALL,MATCH($M227,data!$A:$A,0),MATCH(Y$2,data!$1:$1,0)),"#data"),IFERROR(X227*INDEX(indexy_SDcast!$A:$ALI,MATCH($R227,indexy_SDcast!$K:$K,0),MATCH(Y$2,indexy_SDcast!$2:$2,0)),"#ekrk")),"#popis")</f>
        <v>-118.36634397216122</v>
      </c>
    </row>
    <row r="228" spans="1:44" x14ac:dyDescent="0.25">
      <c r="A228" s="330">
        <v>637012</v>
      </c>
      <c r="B228" s="329">
        <v>-3672.2601899999995</v>
      </c>
      <c r="C228" s="157"/>
      <c r="D228" s="330">
        <v>637012</v>
      </c>
      <c r="E228" s="329">
        <v>-3672.2601899999995</v>
      </c>
      <c r="F228" s="157"/>
      <c r="G228" s="330">
        <v>637012</v>
      </c>
      <c r="H228" s="329">
        <v>-3672.2601899999995</v>
      </c>
      <c r="I228" s="157"/>
      <c r="J228" s="330">
        <v>637012</v>
      </c>
      <c r="K228" s="329">
        <v>-3672.2601899999995</v>
      </c>
      <c r="L228" s="157"/>
      <c r="M228" s="360">
        <f t="shared" si="24"/>
        <v>637012</v>
      </c>
      <c r="N228" s="237">
        <f t="shared" si="25"/>
        <v>-3672.2601899999995</v>
      </c>
      <c r="O228" s="361"/>
      <c r="P228" s="361"/>
      <c r="Q228" s="361" t="s">
        <v>698</v>
      </c>
      <c r="R228" s="362">
        <v>35</v>
      </c>
      <c r="S228" s="236"/>
      <c r="T228" s="364">
        <f t="shared" si="28"/>
        <v>637012</v>
      </c>
      <c r="U228" s="365">
        <f t="shared" si="27"/>
        <v>-3672.2601899999995</v>
      </c>
      <c r="V228" s="365">
        <f>IF($Q228="ekrk",IF($R228="data",IFERROR(INDEX(data!$A:$ALL,MATCH($M228,data!$A:$A,0),MATCH(V$2,data!$1:$1,0)),"#data"),IFERROR(U228*INDEX(indexy_SDcast!$A:$ALI,MATCH($R228,indexy_SDcast!$K:$K,0),MATCH(V$2,indexy_SDcast!$2:$2,0)),"#ekrk")),"#popis")</f>
        <v>-4701.3455338269396</v>
      </c>
      <c r="W228" s="365">
        <f>IF($Q228="ekrk",IF($R228="data",IFERROR(INDEX(data!$A:$ALL,MATCH($M228,data!$A:$A,0),MATCH(W$2,data!$1:$1,0)),"#data"),IFERROR(V228*INDEX(indexy_SDcast!$A:$ALI,MATCH($R228,indexy_SDcast!$K:$K,0),MATCH(W$2,indexy_SDcast!$2:$2,0)),"#ekrk")),"#popis")</f>
        <v>-4754.1947960718417</v>
      </c>
      <c r="X228" s="365">
        <f>IF($Q228="ekrk",IF($R228="data",IFERROR(INDEX(data!$A:$ALL,MATCH($M228,data!$A:$A,0),MATCH(X$2,data!$1:$1,0)),"#data"),IFERROR(W228*INDEX(indexy_SDcast!$A:$ALI,MATCH($R228,indexy_SDcast!$K:$K,0),MATCH(X$2,indexy_SDcast!$2:$2,0)),"#ekrk")),"#popis")</f>
        <v>-3053.7428770006804</v>
      </c>
      <c r="Y228" s="362">
        <f>IF($Q228="ekrk",IF($R228="data",IFERROR(INDEX(data!$A:$ALL,MATCH($M228,data!$A:$A,0),MATCH(Y$2,data!$1:$1,0)),"#data"),IFERROR(X228*INDEX(indexy_SDcast!$A:$ALI,MATCH($R228,indexy_SDcast!$K:$K,0),MATCH(Y$2,indexy_SDcast!$2:$2,0)),"#ekrk")),"#popis")</f>
        <v>-4131.2498353838919</v>
      </c>
    </row>
    <row r="229" spans="1:44" x14ac:dyDescent="0.25">
      <c r="A229" s="330">
        <v>637020</v>
      </c>
      <c r="B229" s="329">
        <v>-44.383120000000005</v>
      </c>
      <c r="C229" s="157"/>
      <c r="D229" s="330">
        <v>637020</v>
      </c>
      <c r="E229" s="329">
        <v>-44.383120000000005</v>
      </c>
      <c r="F229" s="157"/>
      <c r="G229" s="330">
        <v>637020</v>
      </c>
      <c r="H229" s="329">
        <v>-44.383120000000005</v>
      </c>
      <c r="I229" s="157"/>
      <c r="J229" s="330">
        <v>637020</v>
      </c>
      <c r="K229" s="329">
        <v>-44.383120000000005</v>
      </c>
      <c r="L229" s="157"/>
      <c r="M229" s="360">
        <f t="shared" si="24"/>
        <v>637020</v>
      </c>
      <c r="N229" s="237">
        <f t="shared" si="25"/>
        <v>-44.383120000000005</v>
      </c>
      <c r="O229" s="361"/>
      <c r="P229" s="361"/>
      <c r="Q229" s="361" t="s">
        <v>698</v>
      </c>
      <c r="R229" s="362">
        <v>35</v>
      </c>
      <c r="S229" s="236"/>
      <c r="T229" s="364">
        <f t="shared" si="28"/>
        <v>637020</v>
      </c>
      <c r="U229" s="365">
        <f t="shared" si="27"/>
        <v>-44.383120000000005</v>
      </c>
      <c r="V229" s="365">
        <f>IF($Q229="ekrk",IF($R229="data",IFERROR(INDEX(data!$A:$ALL,MATCH($M229,data!$A:$A,0),MATCH(V$2,data!$1:$1,0)),"#data"),IFERROR(U229*INDEX(indexy_SDcast!$A:$ALI,MATCH($R229,indexy_SDcast!$K:$K,0),MATCH(V$2,indexy_SDcast!$2:$2,0)),"#ekrk")),"#popis")</f>
        <v>-56.820696844279205</v>
      </c>
      <c r="W229" s="365">
        <f>IF($Q229="ekrk",IF($R229="data",IFERROR(INDEX(data!$A:$ALL,MATCH($M229,data!$A:$A,0),MATCH(W$2,data!$1:$1,0)),"#data"),IFERROR(V229*INDEX(indexy_SDcast!$A:$ALI,MATCH($R229,indexy_SDcast!$K:$K,0),MATCH(W$2,indexy_SDcast!$2:$2,0)),"#ekrk")),"#popis")</f>
        <v>-57.459435666357862</v>
      </c>
      <c r="X229" s="365">
        <f>IF($Q229="ekrk",IF($R229="data",IFERROR(INDEX(data!$A:$ALL,MATCH($M229,data!$A:$A,0),MATCH(X$2,data!$1:$1,0)),"#data"),IFERROR(W229*INDEX(indexy_SDcast!$A:$ALI,MATCH($R229,indexy_SDcast!$K:$K,0),MATCH(X$2,indexy_SDcast!$2:$2,0)),"#ekrk")),"#popis")</f>
        <v>-36.907688874591003</v>
      </c>
      <c r="Y229" s="362">
        <f>IF($Q229="ekrk",IF($R229="data",IFERROR(INDEX(data!$A:$ALL,MATCH($M229,data!$A:$A,0),MATCH(Y$2,data!$1:$1,0)),"#data"),IFERROR(X229*INDEX(indexy_SDcast!$A:$ALI,MATCH($R229,indexy_SDcast!$K:$K,0),MATCH(Y$2,indexy_SDcast!$2:$2,0)),"#ekrk")),"#popis")</f>
        <v>-49.930491769926448</v>
      </c>
    </row>
    <row r="230" spans="1:44" x14ac:dyDescent="0.25">
      <c r="A230" s="330">
        <v>637021</v>
      </c>
      <c r="B230" s="329">
        <v>-4.1910000000000003E-2</v>
      </c>
      <c r="C230" s="157"/>
      <c r="D230" s="330">
        <v>637021</v>
      </c>
      <c r="E230" s="329">
        <v>-4.1910000000000003E-2</v>
      </c>
      <c r="F230" s="157"/>
      <c r="G230" s="330">
        <v>637021</v>
      </c>
      <c r="H230" s="329">
        <v>-4.1910000000000003E-2</v>
      </c>
      <c r="I230" s="157"/>
      <c r="J230" s="330">
        <v>637021</v>
      </c>
      <c r="K230" s="329">
        <v>-4.1910000000000003E-2</v>
      </c>
      <c r="L230" s="157"/>
      <c r="M230" s="360">
        <f t="shared" si="24"/>
        <v>637021</v>
      </c>
      <c r="N230" s="237">
        <f t="shared" si="25"/>
        <v>-4.1910000000000003E-2</v>
      </c>
      <c r="O230" s="361"/>
      <c r="P230" s="361"/>
      <c r="Q230" s="361" t="s">
        <v>698</v>
      </c>
      <c r="R230" s="362">
        <v>35</v>
      </c>
      <c r="S230" s="236"/>
      <c r="T230" s="364">
        <f t="shared" si="28"/>
        <v>637021</v>
      </c>
      <c r="U230" s="365">
        <f t="shared" si="27"/>
        <v>-4.1910000000000003E-2</v>
      </c>
      <c r="V230" s="365">
        <f>IF($Q230="ekrk",IF($R230="data",IFERROR(INDEX(data!$A:$ALL,MATCH($M230,data!$A:$A,0),MATCH(V$2,data!$1:$1,0)),"#data"),IFERROR(U230*INDEX(indexy_SDcast!$A:$ALI,MATCH($R230,indexy_SDcast!$K:$K,0),MATCH(V$2,indexy_SDcast!$2:$2,0)),"#ekrk")),"#popis")</f>
        <v>-5.3654529126022268E-2</v>
      </c>
      <c r="W230" s="365">
        <f>IF($Q230="ekrk",IF($R230="data",IFERROR(INDEX(data!$A:$ALL,MATCH($M230,data!$A:$A,0),MATCH(W$2,data!$1:$1,0)),"#data"),IFERROR(V230*INDEX(indexy_SDcast!$A:$ALI,MATCH($R230,indexy_SDcast!$K:$K,0),MATCH(W$2,indexy_SDcast!$2:$2,0)),"#ekrk")),"#popis")</f>
        <v>-5.4257676088951337E-2</v>
      </c>
      <c r="X230" s="365">
        <f>IF($Q230="ekrk",IF($R230="data",IFERROR(INDEX(data!$A:$ALL,MATCH($M230,data!$A:$A,0),MATCH(X$2,data!$1:$1,0)),"#data"),IFERROR(W230*INDEX(indexy_SDcast!$A:$ALI,MATCH($R230,indexy_SDcast!$K:$K,0),MATCH(X$2,indexy_SDcast!$2:$2,0)),"#ekrk")),"#popis")</f>
        <v>-3.4851115485664573E-2</v>
      </c>
      <c r="Y230" s="362">
        <f>IF($Q230="ekrk",IF($R230="data",IFERROR(INDEX(data!$A:$ALL,MATCH($M230,data!$A:$A,0),MATCH(Y$2,data!$1:$1,0)),"#data"),IFERROR(X230*INDEX(indexy_SDcast!$A:$ALI,MATCH($R230,indexy_SDcast!$K:$K,0),MATCH(Y$2,indexy_SDcast!$2:$2,0)),"#ekrk")),"#popis")</f>
        <v>-4.714826064678683E-2</v>
      </c>
    </row>
    <row r="231" spans="1:44" x14ac:dyDescent="0.25">
      <c r="A231" s="330">
        <v>637030</v>
      </c>
      <c r="B231" s="329">
        <v>-0.57005000000000594</v>
      </c>
      <c r="C231" s="157"/>
      <c r="D231" s="330">
        <v>637030</v>
      </c>
      <c r="E231" s="329">
        <v>-0.57005000000000594</v>
      </c>
      <c r="F231" s="157"/>
      <c r="G231" s="330">
        <v>637030</v>
      </c>
      <c r="H231" s="329">
        <v>-0.57005000000000594</v>
      </c>
      <c r="I231" s="157"/>
      <c r="J231" s="330">
        <v>637030</v>
      </c>
      <c r="K231" s="329">
        <v>-0.57005000000000594</v>
      </c>
      <c r="L231" s="157"/>
      <c r="M231" s="360">
        <f t="shared" si="24"/>
        <v>637030</v>
      </c>
      <c r="N231" s="237">
        <f t="shared" si="25"/>
        <v>-0.57005000000000594</v>
      </c>
      <c r="O231" s="361"/>
      <c r="P231" s="361"/>
      <c r="Q231" s="361" t="s">
        <v>698</v>
      </c>
      <c r="R231" s="362">
        <v>35</v>
      </c>
      <c r="S231" s="236"/>
      <c r="T231" s="364">
        <f t="shared" si="28"/>
        <v>637030</v>
      </c>
      <c r="U231" s="365">
        <f t="shared" si="27"/>
        <v>-0.57005000000000594</v>
      </c>
      <c r="V231" s="365">
        <f>IF($Q231="ekrk",IF($R231="data",IFERROR(INDEX(data!$A:$ALL,MATCH($M231,data!$A:$A,0),MATCH(V$2,data!$1:$1,0)),"#data"),IFERROR(U231*INDEX(indexy_SDcast!$A:$ALI,MATCH($R231,indexy_SDcast!$K:$K,0),MATCH(V$2,indexy_SDcast!$2:$2,0)),"#ekrk")),"#popis")</f>
        <v>-0.72979633329251514</v>
      </c>
      <c r="W231" s="365">
        <f>IF($Q231="ekrk",IF($R231="data",IFERROR(INDEX(data!$A:$ALL,MATCH($M231,data!$A:$A,0),MATCH(W$2,data!$1:$1,0)),"#data"),IFERROR(V231*INDEX(indexy_SDcast!$A:$ALI,MATCH($R231,indexy_SDcast!$K:$K,0),MATCH(W$2,indexy_SDcast!$2:$2,0)),"#ekrk")),"#popis")</f>
        <v>-0.7380001969579344</v>
      </c>
      <c r="X231" s="365">
        <f>IF($Q231="ekrk",IF($R231="data",IFERROR(INDEX(data!$A:$ALL,MATCH($M231,data!$A:$A,0),MATCH(X$2,data!$1:$1,0)),"#data"),IFERROR(W231*INDEX(indexy_SDcast!$A:$ALI,MATCH($R231,indexy_SDcast!$K:$K,0),MATCH(X$2,indexy_SDcast!$2:$2,0)),"#ekrk")),"#popis")</f>
        <v>-0.47403670681468135</v>
      </c>
      <c r="Y231" s="362">
        <f>IF($Q231="ekrk",IF($R231="data",IFERROR(INDEX(data!$A:$ALL,MATCH($M231,data!$A:$A,0),MATCH(Y$2,data!$1:$1,0)),"#data"),IFERROR(X231*INDEX(indexy_SDcast!$A:$ALI,MATCH($R231,indexy_SDcast!$K:$K,0),MATCH(Y$2,indexy_SDcast!$2:$2,0)),"#ekrk")),"#popis")</f>
        <v>-0.64129959393226221</v>
      </c>
    </row>
    <row r="232" spans="1:44" x14ac:dyDescent="0.25">
      <c r="A232" s="330">
        <v>637032</v>
      </c>
      <c r="B232" s="329">
        <v>11.528159999999996</v>
      </c>
      <c r="C232" s="157"/>
      <c r="D232" s="330">
        <v>637032</v>
      </c>
      <c r="E232" s="329">
        <v>11.528159999999996</v>
      </c>
      <c r="F232" s="157"/>
      <c r="G232" s="330">
        <v>637032</v>
      </c>
      <c r="H232" s="329">
        <v>11.528159999999996</v>
      </c>
      <c r="I232" s="157"/>
      <c r="J232" s="330">
        <v>637032</v>
      </c>
      <c r="K232" s="329">
        <v>11.528159999999996</v>
      </c>
      <c r="L232" s="157"/>
      <c r="M232" s="360">
        <f t="shared" si="24"/>
        <v>637032</v>
      </c>
      <c r="N232" s="237">
        <f t="shared" si="25"/>
        <v>11.528159999999996</v>
      </c>
      <c r="O232" s="361"/>
      <c r="P232" s="361"/>
      <c r="Q232" s="361" t="s">
        <v>698</v>
      </c>
      <c r="R232" s="362">
        <v>35</v>
      </c>
      <c r="S232" s="236"/>
      <c r="T232" s="364">
        <f t="shared" si="28"/>
        <v>637032</v>
      </c>
      <c r="U232" s="365">
        <f t="shared" si="27"/>
        <v>11.528159999999996</v>
      </c>
      <c r="V232" s="365">
        <f>IF($Q232="ekrk",IF($R232="data",IFERROR(INDEX(data!$A:$ALL,MATCH($M232,data!$A:$A,0),MATCH(V$2,data!$1:$1,0)),"#data"),IFERROR(U232*INDEX(indexy_SDcast!$A:$ALI,MATCH($R232,indexy_SDcast!$K:$K,0),MATCH(V$2,indexy_SDcast!$2:$2,0)),"#ekrk")),"#popis")</f>
        <v>14.758720985193142</v>
      </c>
      <c r="W232" s="365">
        <f>IF($Q232="ekrk",IF($R232="data",IFERROR(INDEX(data!$A:$ALL,MATCH($M232,data!$A:$A,0),MATCH(W$2,data!$1:$1,0)),"#data"),IFERROR(V232*INDEX(indexy_SDcast!$A:$ALI,MATCH($R232,indexy_SDcast!$K:$K,0),MATCH(W$2,indexy_SDcast!$2:$2,0)),"#ekrk")),"#popis")</f>
        <v>14.924628279207944</v>
      </c>
      <c r="X232" s="365">
        <f>IF($Q232="ekrk",IF($R232="data",IFERROR(INDEX(data!$A:$ALL,MATCH($M232,data!$A:$A,0),MATCH(X$2,data!$1:$1,0)),"#data"),IFERROR(W232*INDEX(indexy_SDcast!$A:$ALI,MATCH($R232,indexy_SDcast!$K:$K,0),MATCH(X$2,indexy_SDcast!$2:$2,0)),"#ekrk")),"#popis")</f>
        <v>9.5864766284232559</v>
      </c>
      <c r="Y232" s="362">
        <f>IF($Q232="ekrk",IF($R232="data",IFERROR(INDEX(data!$A:$ALL,MATCH($M232,data!$A:$A,0),MATCH(Y$2,data!$1:$1,0)),"#data"),IFERROR(X232*INDEX(indexy_SDcast!$A:$ALI,MATCH($R232,indexy_SDcast!$K:$K,0),MATCH(Y$2,indexy_SDcast!$2:$2,0)),"#ekrk")),"#popis")</f>
        <v>12.969045393888374</v>
      </c>
    </row>
    <row r="233" spans="1:44" x14ac:dyDescent="0.25">
      <c r="A233" s="330">
        <v>637036</v>
      </c>
      <c r="B233" s="329">
        <v>-2.0569999999999999</v>
      </c>
      <c r="C233" s="157"/>
      <c r="D233" s="330">
        <v>637036</v>
      </c>
      <c r="E233" s="329">
        <v>-2.0569999999999999</v>
      </c>
      <c r="F233" s="157"/>
      <c r="G233" s="330">
        <v>637036</v>
      </c>
      <c r="H233" s="329">
        <v>-2.0569999999999999</v>
      </c>
      <c r="I233" s="157"/>
      <c r="J233" s="330">
        <v>637036</v>
      </c>
      <c r="K233" s="329">
        <v>-2.0569999999999999</v>
      </c>
      <c r="L233" s="157"/>
      <c r="M233" s="360">
        <f t="shared" si="24"/>
        <v>637036</v>
      </c>
      <c r="N233" s="237">
        <f t="shared" si="25"/>
        <v>-2.0569999999999999</v>
      </c>
      <c r="O233" s="361"/>
      <c r="P233" s="361"/>
      <c r="Q233" s="361" t="s">
        <v>698</v>
      </c>
      <c r="R233" s="362">
        <v>35</v>
      </c>
      <c r="S233" s="236"/>
      <c r="T233" s="364">
        <f t="shared" si="28"/>
        <v>637036</v>
      </c>
      <c r="U233" s="365">
        <f t="shared" si="27"/>
        <v>-2.0569999999999999</v>
      </c>
      <c r="V233" s="365">
        <f>IF($Q233="ekrk",IF($R233="data",IFERROR(INDEX(data!$A:$ALL,MATCH($M233,data!$A:$A,0),MATCH(V$2,data!$1:$1,0)),"#data"),IFERROR(U233*INDEX(indexy_SDcast!$A:$ALI,MATCH($R233,indexy_SDcast!$K:$K,0),MATCH(V$2,indexy_SDcast!$2:$2,0)),"#ekrk")),"#popis")</f>
        <v>-2.63343751878377</v>
      </c>
      <c r="W233" s="365">
        <f>IF($Q233="ekrk",IF($R233="data",IFERROR(INDEX(data!$A:$ALL,MATCH($M233,data!$A:$A,0),MATCH(W$2,data!$1:$1,0)),"#data"),IFERROR(V233*INDEX(indexy_SDcast!$A:$ALI,MATCH($R233,indexy_SDcast!$K:$K,0),MATCH(W$2,indexy_SDcast!$2:$2,0)),"#ekrk")),"#popis")</f>
        <v>-2.663040794917034</v>
      </c>
      <c r="X233" s="365">
        <f>IF($Q233="ekrk",IF($R233="data",IFERROR(INDEX(data!$A:$ALL,MATCH($M233,data!$A:$A,0),MATCH(X$2,data!$1:$1,0)),"#data"),IFERROR(W233*INDEX(indexy_SDcast!$A:$ALI,MATCH($R233,indexy_SDcast!$K:$K,0),MATCH(X$2,indexy_SDcast!$2:$2,0)),"#ekrk")),"#popis")</f>
        <v>-1.7105403138633266</v>
      </c>
      <c r="Y233" s="362">
        <f>IF($Q233="ekrk",IF($R233="data",IFERROR(INDEX(data!$A:$ALL,MATCH($M233,data!$A:$A,0),MATCH(Y$2,data!$1:$1,0)),"#data"),IFERROR(X233*INDEX(indexy_SDcast!$A:$ALI,MATCH($R233,indexy_SDcast!$K:$K,0),MATCH(Y$2,indexy_SDcast!$2:$2,0)),"#ekrk")),"#popis")</f>
        <v>-2.3141009818764138</v>
      </c>
    </row>
    <row r="234" spans="1:44" x14ac:dyDescent="0.25">
      <c r="A234" s="330">
        <v>637037</v>
      </c>
      <c r="B234" s="329">
        <v>-849.70991000000004</v>
      </c>
      <c r="C234" s="157"/>
      <c r="D234" s="330">
        <v>637037</v>
      </c>
      <c r="E234" s="329">
        <v>-849.70991000000004</v>
      </c>
      <c r="F234" s="157"/>
      <c r="G234" s="330">
        <v>637037</v>
      </c>
      <c r="H234" s="329">
        <v>-849.70991000000004</v>
      </c>
      <c r="I234" s="157"/>
      <c r="J234" s="330">
        <v>637037</v>
      </c>
      <c r="K234" s="329">
        <v>-849.70991000000004</v>
      </c>
      <c r="L234" s="157"/>
      <c r="M234" s="360">
        <f t="shared" si="24"/>
        <v>637037</v>
      </c>
      <c r="N234" s="237">
        <f t="shared" si="25"/>
        <v>-849.70991000000004</v>
      </c>
      <c r="O234" s="361"/>
      <c r="P234" s="361"/>
      <c r="Q234" s="361" t="s">
        <v>698</v>
      </c>
      <c r="R234" s="362">
        <v>35</v>
      </c>
      <c r="S234" s="236"/>
      <c r="T234" s="364">
        <f t="shared" si="28"/>
        <v>637037</v>
      </c>
      <c r="U234" s="365">
        <f t="shared" si="27"/>
        <v>-849.70991000000004</v>
      </c>
      <c r="V234" s="365">
        <f>IF($Q234="ekrk",IF($R234="data",IFERROR(INDEX(data!$A:$ALL,MATCH($M234,data!$A:$A,0),MATCH(V$2,data!$1:$1,0)),"#data"),IFERROR(U234*INDEX(indexy_SDcast!$A:$ALI,MATCH($R234,indexy_SDcast!$K:$K,0),MATCH(V$2,indexy_SDcast!$2:$2,0)),"#ekrk")),"#popis")</f>
        <v>-1087.8259392690231</v>
      </c>
      <c r="W234" s="365">
        <f>IF($Q234="ekrk",IF($R234="data",IFERROR(INDEX(data!$A:$ALL,MATCH($M234,data!$A:$A,0),MATCH(W$2,data!$1:$1,0)),"#data"),IFERROR(V234*INDEX(indexy_SDcast!$A:$ALI,MATCH($R234,indexy_SDcast!$K:$K,0),MATCH(W$2,indexy_SDcast!$2:$2,0)),"#ekrk")),"#popis")</f>
        <v>-1100.0545231770936</v>
      </c>
      <c r="X234" s="365">
        <f>IF($Q234="ekrk",IF($R234="data",IFERROR(INDEX(data!$A:$ALL,MATCH($M234,data!$A:$A,0),MATCH(X$2,data!$1:$1,0)),"#data"),IFERROR(W234*INDEX(indexy_SDcast!$A:$ALI,MATCH($R234,indexy_SDcast!$K:$K,0),MATCH(X$2,indexy_SDcast!$2:$2,0)),"#ekrk")),"#popis")</f>
        <v>-706.59361018190532</v>
      </c>
      <c r="Y234" s="362">
        <f>IF($Q234="ekrk",IF($R234="data",IFERROR(INDEX(data!$A:$ALL,MATCH($M234,data!$A:$A,0),MATCH(Y$2,data!$1:$1,0)),"#data"),IFERROR(X234*INDEX(indexy_SDcast!$A:$ALI,MATCH($R234,indexy_SDcast!$K:$K,0),MATCH(Y$2,indexy_SDcast!$2:$2,0)),"#ekrk")),"#popis")</f>
        <v>-955.91372729271734</v>
      </c>
    </row>
    <row r="235" spans="1:44" x14ac:dyDescent="0.25">
      <c r="A235" s="330">
        <v>637200</v>
      </c>
      <c r="B235" s="329">
        <v>-78.966909999999999</v>
      </c>
      <c r="C235" s="157"/>
      <c r="D235" s="330">
        <v>637200</v>
      </c>
      <c r="E235" s="329">
        <v>-78.966909999999999</v>
      </c>
      <c r="F235" s="157"/>
      <c r="G235" s="330">
        <v>637200</v>
      </c>
      <c r="H235" s="329">
        <v>-78.966909999999999</v>
      </c>
      <c r="I235" s="157"/>
      <c r="J235" s="330">
        <v>637200</v>
      </c>
      <c r="K235" s="329">
        <v>-78.966909999999999</v>
      </c>
      <c r="L235" s="157"/>
      <c r="M235" s="360">
        <f t="shared" si="24"/>
        <v>637200</v>
      </c>
      <c r="N235" s="237">
        <f t="shared" si="25"/>
        <v>-78.966909999999999</v>
      </c>
      <c r="O235" s="361"/>
      <c r="P235" s="361"/>
      <c r="Q235" s="361" t="s">
        <v>698</v>
      </c>
      <c r="R235" s="362">
        <v>35</v>
      </c>
      <c r="S235" s="236"/>
      <c r="T235" s="364">
        <f t="shared" si="28"/>
        <v>637200</v>
      </c>
      <c r="U235" s="365">
        <f t="shared" si="27"/>
        <v>-78.966909999999999</v>
      </c>
      <c r="V235" s="365">
        <f>IF($Q235="ekrk",IF($R235="data",IFERROR(INDEX(data!$A:$ALL,MATCH($M235,data!$A:$A,0),MATCH(V$2,data!$1:$1,0)),"#data"),IFERROR(U235*INDEX(indexy_SDcast!$A:$ALI,MATCH($R235,indexy_SDcast!$K:$K,0),MATCH(V$2,indexy_SDcast!$2:$2,0)),"#ekrk")),"#popis")</f>
        <v>-101.09597643967976</v>
      </c>
      <c r="W235" s="365">
        <f>IF($Q235="ekrk",IF($R235="data",IFERROR(INDEX(data!$A:$ALL,MATCH($M235,data!$A:$A,0),MATCH(W$2,data!$1:$1,0)),"#data"),IFERROR(V235*INDEX(indexy_SDcast!$A:$ALI,MATCH($R235,indexy_SDcast!$K:$K,0),MATCH(W$2,indexy_SDcast!$2:$2,0)),"#ekrk")),"#popis")</f>
        <v>-102.23242721368104</v>
      </c>
      <c r="X235" s="365">
        <f>IF($Q235="ekrk",IF($R235="data",IFERROR(INDEX(data!$A:$ALL,MATCH($M235,data!$A:$A,0),MATCH(X$2,data!$1:$1,0)),"#data"),IFERROR(W235*INDEX(indexy_SDcast!$A:$ALI,MATCH($R235,indexy_SDcast!$K:$K,0),MATCH(X$2,indexy_SDcast!$2:$2,0)),"#ekrk")),"#popis")</f>
        <v>-65.666544976284428</v>
      </c>
      <c r="Y235" s="362">
        <f>IF($Q235="ekrk",IF($R235="data",IFERROR(INDEX(data!$A:$ALL,MATCH($M235,data!$A:$A,0),MATCH(Y$2,data!$1:$1,0)),"#data"),IFERROR(X235*INDEX(indexy_SDcast!$A:$ALI,MATCH($R235,indexy_SDcast!$K:$K,0),MATCH(Y$2,indexy_SDcast!$2:$2,0)),"#ekrk")),"#popis")</f>
        <v>-88.836851709648229</v>
      </c>
    </row>
    <row r="236" spans="1:44" s="18" customFormat="1" x14ac:dyDescent="0.25">
      <c r="A236" s="333" t="s">
        <v>754</v>
      </c>
      <c r="B236" s="334">
        <v>-29655.436049999997</v>
      </c>
      <c r="C236" s="164"/>
      <c r="D236" s="333" t="s">
        <v>754</v>
      </c>
      <c r="E236" s="334">
        <v>-29655.436049999997</v>
      </c>
      <c r="F236" s="164"/>
      <c r="G236" s="333" t="s">
        <v>754</v>
      </c>
      <c r="H236" s="334">
        <v>-29655.436049999997</v>
      </c>
      <c r="I236" s="164"/>
      <c r="J236" s="333" t="s">
        <v>754</v>
      </c>
      <c r="K236" s="334">
        <v>-29655.436049999997</v>
      </c>
      <c r="L236" s="164"/>
      <c r="M236" s="358" t="str">
        <f t="shared" si="24"/>
        <v>P5111</v>
      </c>
      <c r="N236" s="239">
        <f t="shared" si="25"/>
        <v>-29655.436049999997</v>
      </c>
      <c r="O236" s="243"/>
      <c r="P236" s="243">
        <f>MATCH(Q236,Q237:Q$1550,0)</f>
        <v>10</v>
      </c>
      <c r="Q236" s="243" t="s">
        <v>697</v>
      </c>
      <c r="R236" s="359" t="str">
        <f>IF(Q236="ekrk",INDEX(indexy_SDcast!$A:$C,MATCH($M236,indexy_SDcast!$A:$A,0),2),"")</f>
        <v/>
      </c>
      <c r="S236" s="240"/>
      <c r="T236" s="363" t="str">
        <f t="shared" si="28"/>
        <v>P5111</v>
      </c>
      <c r="U236" s="244">
        <f>SUM(U237:U245)</f>
        <v>-29655.436049999997</v>
      </c>
      <c r="V236" s="244">
        <f>SUM(V237:V245)</f>
        <v>-37965.842455013488</v>
      </c>
      <c r="W236" s="244">
        <f>SUM(W237:W245)</f>
        <v>-38392.628095383203</v>
      </c>
      <c r="X236" s="244">
        <f>SUM(X237:X245)</f>
        <v>-24660.582833602726</v>
      </c>
      <c r="Y236" s="359">
        <f>SUM(Y237:Y245)</f>
        <v>-33362.019290849872</v>
      </c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</row>
    <row r="237" spans="1:44" x14ac:dyDescent="0.25">
      <c r="A237" s="330">
        <v>713002</v>
      </c>
      <c r="B237" s="329">
        <v>-9565.4123299999992</v>
      </c>
      <c r="C237" s="157"/>
      <c r="D237" s="330">
        <v>713002</v>
      </c>
      <c r="E237" s="329">
        <v>-9565.4123299999992</v>
      </c>
      <c r="F237" s="157"/>
      <c r="G237" s="330">
        <v>713002</v>
      </c>
      <c r="H237" s="329">
        <v>-9565.4123299999992</v>
      </c>
      <c r="I237" s="157"/>
      <c r="J237" s="330">
        <v>713002</v>
      </c>
      <c r="K237" s="329">
        <v>-9565.4123299999992</v>
      </c>
      <c r="L237" s="157"/>
      <c r="M237" s="360">
        <f t="shared" si="24"/>
        <v>713002</v>
      </c>
      <c r="N237" s="237">
        <f t="shared" si="25"/>
        <v>-9565.4123299999992</v>
      </c>
      <c r="O237" s="361"/>
      <c r="P237" s="361"/>
      <c r="Q237" s="361" t="s">
        <v>698</v>
      </c>
      <c r="R237" s="362">
        <v>35</v>
      </c>
      <c r="S237" s="236"/>
      <c r="T237" s="364">
        <f t="shared" si="28"/>
        <v>713002</v>
      </c>
      <c r="U237" s="365">
        <f t="shared" ref="U237:U245" si="29">N237</f>
        <v>-9565.4123299999992</v>
      </c>
      <c r="V237" s="365">
        <f>IF($Q237="ekrk",IF($R237="data",IFERROR(INDEX(data!$A:$ALL,MATCH($M237,data!$A:$A,0),MATCH(V$2,data!$1:$1,0)),"#data"),IFERROR(U237*INDEX(indexy_SDcast!$A:$ALI,MATCH($R237,indexy_SDcast!$K:$K,0),MATCH(V$2,indexy_SDcast!$2:$2,0)),"#ekrk")),"#popis")</f>
        <v>-12245.948328857014</v>
      </c>
      <c r="W237" s="365">
        <f>IF($Q237="ekrk",IF($R237="data",IFERROR(INDEX(data!$A:$ALL,MATCH($M237,data!$A:$A,0),MATCH(W$2,data!$1:$1,0)),"#data"),IFERROR(V237*INDEX(indexy_SDcast!$A:$ALI,MATCH($R237,indexy_SDcast!$K:$K,0),MATCH(W$2,indexy_SDcast!$2:$2,0)),"#ekrk")),"#popis")</f>
        <v>-12383.608777341953</v>
      </c>
      <c r="X237" s="365">
        <f>IF($Q237="ekrk",IF($R237="data",IFERROR(INDEX(data!$A:$ALL,MATCH($M237,data!$A:$A,0),MATCH(X$2,data!$1:$1,0)),"#data"),IFERROR(W237*INDEX(indexy_SDcast!$A:$ALI,MATCH($R237,indexy_SDcast!$K:$K,0),MATCH(X$2,indexy_SDcast!$2:$2,0)),"#ekrk")),"#popis")</f>
        <v>-7954.3137623676876</v>
      </c>
      <c r="Y237" s="362">
        <f>IF($Q237="ekrk",IF($R237="data",IFERROR(INDEX(data!$A:$ALL,MATCH($M237,data!$A:$A,0),MATCH(Y$2,data!$1:$1,0)),"#data"),IFERROR(X237*INDEX(indexy_SDcast!$A:$ALI,MATCH($R237,indexy_SDcast!$K:$K,0),MATCH(Y$2,indexy_SDcast!$2:$2,0)),"#ekrk")),"#popis")</f>
        <v>-10760.977182744655</v>
      </c>
    </row>
    <row r="238" spans="1:44" x14ac:dyDescent="0.25">
      <c r="A238" s="330">
        <v>713003</v>
      </c>
      <c r="B238" s="329">
        <v>-966.58511999999985</v>
      </c>
      <c r="C238" s="157"/>
      <c r="D238" s="330">
        <v>713003</v>
      </c>
      <c r="E238" s="329">
        <v>-966.58511999999985</v>
      </c>
      <c r="F238" s="157"/>
      <c r="G238" s="330">
        <v>713003</v>
      </c>
      <c r="H238" s="329">
        <v>-966.58511999999985</v>
      </c>
      <c r="I238" s="157"/>
      <c r="J238" s="330">
        <v>713003</v>
      </c>
      <c r="K238" s="329">
        <v>-966.58511999999985</v>
      </c>
      <c r="L238" s="157"/>
      <c r="M238" s="360">
        <f t="shared" si="24"/>
        <v>713003</v>
      </c>
      <c r="N238" s="237">
        <f t="shared" si="25"/>
        <v>-966.58511999999985</v>
      </c>
      <c r="O238" s="361"/>
      <c r="P238" s="361"/>
      <c r="Q238" s="361" t="s">
        <v>698</v>
      </c>
      <c r="R238" s="362">
        <v>35</v>
      </c>
      <c r="S238" s="236"/>
      <c r="T238" s="364">
        <f t="shared" si="28"/>
        <v>713003</v>
      </c>
      <c r="U238" s="365">
        <f t="shared" si="29"/>
        <v>-966.58511999999985</v>
      </c>
      <c r="V238" s="365">
        <f>IF($Q238="ekrk",IF($R238="data",IFERROR(INDEX(data!$A:$ALL,MATCH($M238,data!$A:$A,0),MATCH(V$2,data!$1:$1,0)),"#data"),IFERROR(U238*INDEX(indexy_SDcast!$A:$ALI,MATCH($R238,indexy_SDcast!$K:$K,0),MATCH(V$2,indexy_SDcast!$2:$2,0)),"#ekrk")),"#popis")</f>
        <v>-1237.4533398668507</v>
      </c>
      <c r="W238" s="365">
        <f>IF($Q238="ekrk",IF($R238="data",IFERROR(INDEX(data!$A:$ALL,MATCH($M238,data!$A:$A,0),MATCH(W$2,data!$1:$1,0)),"#data"),IFERROR(V238*INDEX(indexy_SDcast!$A:$ALI,MATCH($R238,indexy_SDcast!$K:$K,0),MATCH(W$2,indexy_SDcast!$2:$2,0)),"#ekrk")),"#popis")</f>
        <v>-1251.3639311228858</v>
      </c>
      <c r="X238" s="365">
        <f>IF($Q238="ekrk",IF($R238="data",IFERROR(INDEX(data!$A:$ALL,MATCH($M238,data!$A:$A,0),MATCH(X$2,data!$1:$1,0)),"#data"),IFERROR(W238*INDEX(indexy_SDcast!$A:$ALI,MATCH($R238,indexy_SDcast!$K:$K,0),MATCH(X$2,indexy_SDcast!$2:$2,0)),"#ekrk")),"#popis")</f>
        <v>-803.78357537210536</v>
      </c>
      <c r="Y238" s="362">
        <f>IF($Q238="ekrk",IF($R238="data",IFERROR(INDEX(data!$A:$ALL,MATCH($M238,data!$A:$A,0),MATCH(Y$2,data!$1:$1,0)),"#data"),IFERROR(X238*INDEX(indexy_SDcast!$A:$ALI,MATCH($R238,indexy_SDcast!$K:$K,0),MATCH(Y$2,indexy_SDcast!$2:$2,0)),"#ekrk")),"#popis")</f>
        <v>-1087.3969738741519</v>
      </c>
    </row>
    <row r="239" spans="1:44" x14ac:dyDescent="0.25">
      <c r="A239" s="330">
        <v>713004</v>
      </c>
      <c r="B239" s="329">
        <v>-3624.0822800000005</v>
      </c>
      <c r="C239" s="157"/>
      <c r="D239" s="330">
        <v>713004</v>
      </c>
      <c r="E239" s="329">
        <v>-3624.0822800000005</v>
      </c>
      <c r="F239" s="157"/>
      <c r="G239" s="330">
        <v>713004</v>
      </c>
      <c r="H239" s="329">
        <v>-3624.0822800000005</v>
      </c>
      <c r="I239" s="157"/>
      <c r="J239" s="330">
        <v>713004</v>
      </c>
      <c r="K239" s="329">
        <v>-3624.0822800000005</v>
      </c>
      <c r="L239" s="157"/>
      <c r="M239" s="360">
        <f t="shared" si="24"/>
        <v>713004</v>
      </c>
      <c r="N239" s="237">
        <f t="shared" si="25"/>
        <v>-3624.0822800000005</v>
      </c>
      <c r="O239" s="361"/>
      <c r="P239" s="361"/>
      <c r="Q239" s="361" t="s">
        <v>698</v>
      </c>
      <c r="R239" s="362">
        <v>35</v>
      </c>
      <c r="S239" s="236"/>
      <c r="T239" s="364">
        <f t="shared" si="28"/>
        <v>713004</v>
      </c>
      <c r="U239" s="365">
        <f t="shared" si="29"/>
        <v>-3624.0822800000005</v>
      </c>
      <c r="V239" s="365">
        <f>IF($Q239="ekrk",IF($R239="data",IFERROR(INDEX(data!$A:$ALL,MATCH($M239,data!$A:$A,0),MATCH(V$2,data!$1:$1,0)),"#data"),IFERROR(U239*INDEX(indexy_SDcast!$A:$ALI,MATCH($R239,indexy_SDcast!$K:$K,0),MATCH(V$2,indexy_SDcast!$2:$2,0)),"#ekrk")),"#popis")</f>
        <v>-4639.6666248475594</v>
      </c>
      <c r="W239" s="365">
        <f>IF($Q239="ekrk",IF($R239="data",IFERROR(INDEX(data!$A:$ALL,MATCH($M239,data!$A:$A,0),MATCH(W$2,data!$1:$1,0)),"#data"),IFERROR(V239*INDEX(indexy_SDcast!$A:$ALI,MATCH($R239,indexy_SDcast!$K:$K,0),MATCH(W$2,indexy_SDcast!$2:$2,0)),"#ekrk")),"#popis")</f>
        <v>-4691.8225356227222</v>
      </c>
      <c r="X239" s="365">
        <f>IF($Q239="ekrk",IF($R239="data",IFERROR(INDEX(data!$A:$ALL,MATCH($M239,data!$A:$A,0),MATCH(X$2,data!$1:$1,0)),"#data"),IFERROR(W239*INDEX(indexy_SDcast!$A:$ALI,MATCH($R239,indexy_SDcast!$K:$K,0),MATCH(X$2,indexy_SDcast!$2:$2,0)),"#ekrk")),"#popis")</f>
        <v>-3013.6795530859126</v>
      </c>
      <c r="Y239" s="362">
        <f>IF($Q239="ekrk",IF($R239="data",IFERROR(INDEX(data!$A:$ALL,MATCH($M239,data!$A:$A,0),MATCH(Y$2,data!$1:$1,0)),"#data"),IFERROR(X239*INDEX(indexy_SDcast!$A:$ALI,MATCH($R239,indexy_SDcast!$K:$K,0),MATCH(Y$2,indexy_SDcast!$2:$2,0)),"#ekrk")),"#popis")</f>
        <v>-4077.0502491730263</v>
      </c>
    </row>
    <row r="240" spans="1:44" x14ac:dyDescent="0.25">
      <c r="A240" s="330">
        <v>713006</v>
      </c>
      <c r="B240" s="329">
        <v>-330.05975999999998</v>
      </c>
      <c r="C240" s="157"/>
      <c r="D240" s="330">
        <v>713006</v>
      </c>
      <c r="E240" s="329">
        <v>-330.05975999999998</v>
      </c>
      <c r="F240" s="157"/>
      <c r="G240" s="330">
        <v>713006</v>
      </c>
      <c r="H240" s="329">
        <v>-330.05975999999998</v>
      </c>
      <c r="I240" s="157"/>
      <c r="J240" s="330">
        <v>713006</v>
      </c>
      <c r="K240" s="329">
        <v>-330.05975999999998</v>
      </c>
      <c r="L240" s="157"/>
      <c r="M240" s="360">
        <f t="shared" si="24"/>
        <v>713006</v>
      </c>
      <c r="N240" s="237">
        <f t="shared" si="25"/>
        <v>-330.05975999999998</v>
      </c>
      <c r="O240" s="361"/>
      <c r="P240" s="361"/>
      <c r="Q240" s="361" t="s">
        <v>698</v>
      </c>
      <c r="R240" s="362">
        <v>35</v>
      </c>
      <c r="S240" s="236"/>
      <c r="T240" s="364">
        <f t="shared" si="28"/>
        <v>713006</v>
      </c>
      <c r="U240" s="365">
        <f t="shared" si="29"/>
        <v>-330.05975999999998</v>
      </c>
      <c r="V240" s="365">
        <f>IF($Q240="ekrk",IF($R240="data",IFERROR(INDEX(data!$A:$ALL,MATCH($M240,data!$A:$A,0),MATCH(V$2,data!$1:$1,0)),"#data"),IFERROR(U240*INDEX(indexy_SDcast!$A:$ALI,MATCH($R240,indexy_SDcast!$K:$K,0),MATCH(V$2,indexy_SDcast!$2:$2,0)),"#ekrk")),"#popis")</f>
        <v>-422.55311396439794</v>
      </c>
      <c r="W240" s="365">
        <f>IF($Q240="ekrk",IF($R240="data",IFERROR(INDEX(data!$A:$ALL,MATCH($M240,data!$A:$A,0),MATCH(W$2,data!$1:$1,0)),"#data"),IFERROR(V240*INDEX(indexy_SDcast!$A:$ALI,MATCH($R240,indexy_SDcast!$K:$K,0),MATCH(W$2,indexy_SDcast!$2:$2,0)),"#ekrk")),"#popis")</f>
        <v>-427.30316268377516</v>
      </c>
      <c r="X240" s="365">
        <f>IF($Q240="ekrk",IF($R240="data",IFERROR(INDEX(data!$A:$ALL,MATCH($M240,data!$A:$A,0),MATCH(X$2,data!$1:$1,0)),"#data"),IFERROR(W240*INDEX(indexy_SDcast!$A:$ALI,MATCH($R240,indexy_SDcast!$K:$K,0),MATCH(X$2,indexy_SDcast!$2:$2,0)),"#ekrk")),"#popis")</f>
        <v>-274.46792681772206</v>
      </c>
      <c r="Y240" s="362">
        <f>IF($Q240="ekrk",IF($R240="data",IFERROR(INDEX(data!$A:$ALL,MATCH($M240,data!$A:$A,0),MATCH(Y$2,data!$1:$1,0)),"#data"),IFERROR(X240*INDEX(indexy_SDcast!$A:$ALI,MATCH($R240,indexy_SDcast!$K:$K,0),MATCH(Y$2,indexy_SDcast!$2:$2,0)),"#ekrk")),"#popis")</f>
        <v>-371.31337612731818</v>
      </c>
    </row>
    <row r="241" spans="1:44" x14ac:dyDescent="0.25">
      <c r="A241" s="330">
        <v>716000</v>
      </c>
      <c r="B241" s="329">
        <v>-264.66361000000001</v>
      </c>
      <c r="C241" s="157"/>
      <c r="D241" s="330">
        <v>716000</v>
      </c>
      <c r="E241" s="329">
        <v>-264.66361000000001</v>
      </c>
      <c r="F241" s="157"/>
      <c r="G241" s="330">
        <v>716000</v>
      </c>
      <c r="H241" s="329">
        <v>-264.66361000000001</v>
      </c>
      <c r="I241" s="157"/>
      <c r="J241" s="330">
        <v>716000</v>
      </c>
      <c r="K241" s="329">
        <v>-264.66361000000001</v>
      </c>
      <c r="L241" s="157"/>
      <c r="M241" s="360">
        <f t="shared" si="24"/>
        <v>716000</v>
      </c>
      <c r="N241" s="237">
        <f t="shared" si="25"/>
        <v>-264.66361000000001</v>
      </c>
      <c r="O241" s="361"/>
      <c r="P241" s="361"/>
      <c r="Q241" s="361" t="s">
        <v>698</v>
      </c>
      <c r="R241" s="362">
        <v>35</v>
      </c>
      <c r="S241" s="236"/>
      <c r="T241" s="364">
        <f t="shared" si="28"/>
        <v>716000</v>
      </c>
      <c r="U241" s="365">
        <f t="shared" si="29"/>
        <v>-264.66361000000001</v>
      </c>
      <c r="V241" s="365">
        <f>IF($Q241="ekrk",IF($R241="data",IFERROR(INDEX(data!$A:$ALL,MATCH($M241,data!$A:$A,0),MATCH(V$2,data!$1:$1,0)),"#data"),IFERROR(U241*INDEX(indexy_SDcast!$A:$ALI,MATCH($R241,indexy_SDcast!$K:$K,0),MATCH(V$2,indexy_SDcast!$2:$2,0)),"#ekrk")),"#popis")</f>
        <v>-338.83086068583145</v>
      </c>
      <c r="W241" s="365">
        <f>IF($Q241="ekrk",IF($R241="data",IFERROR(INDEX(data!$A:$ALL,MATCH($M241,data!$A:$A,0),MATCH(W$2,data!$1:$1,0)),"#data"),IFERROR(V241*INDEX(indexy_SDcast!$A:$ALI,MATCH($R241,indexy_SDcast!$K:$K,0),MATCH(W$2,indexy_SDcast!$2:$2,0)),"#ekrk")),"#popis")</f>
        <v>-342.63976196403104</v>
      </c>
      <c r="X241" s="365">
        <f>IF($Q241="ekrk",IF($R241="data",IFERROR(INDEX(data!$A:$ALL,MATCH($M241,data!$A:$A,0),MATCH(X$2,data!$1:$1,0)),"#data"),IFERROR(W241*INDEX(indexy_SDcast!$A:$ALI,MATCH($R241,indexy_SDcast!$K:$K,0),MATCH(X$2,indexy_SDcast!$2:$2,0)),"#ekrk")),"#popis")</f>
        <v>-220.08642416995676</v>
      </c>
      <c r="Y241" s="362">
        <f>IF($Q241="ekrk",IF($R241="data",IFERROR(INDEX(data!$A:$ALL,MATCH($M241,data!$A:$A,0),MATCH(Y$2,data!$1:$1,0)),"#data"),IFERROR(X241*INDEX(indexy_SDcast!$A:$ALI,MATCH($R241,indexy_SDcast!$K:$K,0),MATCH(Y$2,indexy_SDcast!$2:$2,0)),"#ekrk")),"#popis")</f>
        <v>-297.74347096157328</v>
      </c>
    </row>
    <row r="242" spans="1:44" x14ac:dyDescent="0.25">
      <c r="A242" s="330">
        <v>717001</v>
      </c>
      <c r="B242" s="329">
        <v>-3229.6659600000003</v>
      </c>
      <c r="C242" s="157"/>
      <c r="D242" s="330">
        <v>717001</v>
      </c>
      <c r="E242" s="329">
        <v>-3229.6659600000003</v>
      </c>
      <c r="F242" s="157"/>
      <c r="G242" s="330">
        <v>717001</v>
      </c>
      <c r="H242" s="329">
        <v>-3229.6659600000003</v>
      </c>
      <c r="I242" s="157"/>
      <c r="J242" s="330">
        <v>717001</v>
      </c>
      <c r="K242" s="329">
        <v>-3229.6659600000003</v>
      </c>
      <c r="L242" s="157"/>
      <c r="M242" s="360">
        <f t="shared" si="24"/>
        <v>717001</v>
      </c>
      <c r="N242" s="237">
        <f t="shared" si="25"/>
        <v>-3229.6659600000003</v>
      </c>
      <c r="O242" s="361"/>
      <c r="P242" s="361"/>
      <c r="Q242" s="361" t="s">
        <v>698</v>
      </c>
      <c r="R242" s="362">
        <v>35</v>
      </c>
      <c r="S242" s="236"/>
      <c r="T242" s="364">
        <f t="shared" si="28"/>
        <v>717001</v>
      </c>
      <c r="U242" s="365">
        <f t="shared" si="29"/>
        <v>-3229.6659600000003</v>
      </c>
      <c r="V242" s="365">
        <f>IF($Q242="ekrk",IF($R242="data",IFERROR(INDEX(data!$A:$ALL,MATCH($M242,data!$A:$A,0),MATCH(V$2,data!$1:$1,0)),"#data"),IFERROR(U242*INDEX(indexy_SDcast!$A:$ALI,MATCH($R242,indexy_SDcast!$K:$K,0),MATCH(V$2,indexy_SDcast!$2:$2,0)),"#ekrk")),"#popis")</f>
        <v>-4134.7221741384556</v>
      </c>
      <c r="W242" s="365">
        <f>IF($Q242="ekrk",IF($R242="data",IFERROR(INDEX(data!$A:$ALL,MATCH($M242,data!$A:$A,0),MATCH(W$2,data!$1:$1,0)),"#data"),IFERROR(V242*INDEX(indexy_SDcast!$A:$ALI,MATCH($R242,indexy_SDcast!$K:$K,0),MATCH(W$2,indexy_SDcast!$2:$2,0)),"#ekrk")),"#popis")</f>
        <v>-4181.2018499926526</v>
      </c>
      <c r="X242" s="365">
        <f>IF($Q242="ekrk",IF($R242="data",IFERROR(INDEX(data!$A:$ALL,MATCH($M242,data!$A:$A,0),MATCH(X$2,data!$1:$1,0)),"#data"),IFERROR(W242*INDEX(indexy_SDcast!$A:$ALI,MATCH($R242,indexy_SDcast!$K:$K,0),MATCH(X$2,indexy_SDcast!$2:$2,0)),"#ekrk")),"#popis")</f>
        <v>-2685.6946158930978</v>
      </c>
      <c r="Y242" s="362">
        <f>IF($Q242="ekrk",IF($R242="data",IFERROR(INDEX(data!$A:$ALL,MATCH($M242,data!$A:$A,0),MATCH(Y$2,data!$1:$1,0)),"#data"),IFERROR(X242*INDEX(indexy_SDcast!$A:$ALI,MATCH($R242,indexy_SDcast!$K:$K,0),MATCH(Y$2,indexy_SDcast!$2:$2,0)),"#ekrk")),"#popis")</f>
        <v>-3633.3364944914101</v>
      </c>
    </row>
    <row r="243" spans="1:44" x14ac:dyDescent="0.25">
      <c r="A243" s="330">
        <v>717002</v>
      </c>
      <c r="B243" s="329">
        <v>-11119.179769999999</v>
      </c>
      <c r="C243" s="157"/>
      <c r="D243" s="330">
        <v>717002</v>
      </c>
      <c r="E243" s="329">
        <v>-11119.179769999999</v>
      </c>
      <c r="F243" s="157"/>
      <c r="G243" s="330">
        <v>717002</v>
      </c>
      <c r="H243" s="329">
        <v>-11119.179769999999</v>
      </c>
      <c r="I243" s="157"/>
      <c r="J243" s="330">
        <v>717002</v>
      </c>
      <c r="K243" s="329">
        <v>-11119.179769999999</v>
      </c>
      <c r="L243" s="157"/>
      <c r="M243" s="360">
        <f t="shared" si="24"/>
        <v>717002</v>
      </c>
      <c r="N243" s="237">
        <f t="shared" si="25"/>
        <v>-11119.179769999999</v>
      </c>
      <c r="O243" s="361"/>
      <c r="P243" s="361"/>
      <c r="Q243" s="361" t="s">
        <v>698</v>
      </c>
      <c r="R243" s="362">
        <v>35</v>
      </c>
      <c r="S243" s="236"/>
      <c r="T243" s="364">
        <f t="shared" si="28"/>
        <v>717002</v>
      </c>
      <c r="U243" s="365">
        <f t="shared" si="29"/>
        <v>-11119.179769999999</v>
      </c>
      <c r="V243" s="365">
        <f>IF($Q243="ekrk",IF($R243="data",IFERROR(INDEX(data!$A:$ALL,MATCH($M243,data!$A:$A,0),MATCH(V$2,data!$1:$1,0)),"#data"),IFERROR(U243*INDEX(indexy_SDcast!$A:$ALI,MATCH($R243,indexy_SDcast!$K:$K,0),MATCH(V$2,indexy_SDcast!$2:$2,0)),"#ekrk")),"#popis")</f>
        <v>-14235.131348769803</v>
      </c>
      <c r="W243" s="365">
        <f>IF($Q243="ekrk",IF($R243="data",IFERROR(INDEX(data!$A:$ALL,MATCH($M243,data!$A:$A,0),MATCH(W$2,data!$1:$1,0)),"#data"),IFERROR(V243*INDEX(indexy_SDcast!$A:$ALI,MATCH($R243,indexy_SDcast!$K:$K,0),MATCH(W$2,indexy_SDcast!$2:$2,0)),"#ekrk")),"#popis")</f>
        <v>-14395.152811631599</v>
      </c>
      <c r="X243" s="365">
        <f>IF($Q243="ekrk",IF($R243="data",IFERROR(INDEX(data!$A:$ALL,MATCH($M243,data!$A:$A,0),MATCH(X$2,data!$1:$1,0)),"#data"),IFERROR(W243*INDEX(indexy_SDcast!$A:$ALI,MATCH($R243,indexy_SDcast!$K:$K,0),MATCH(X$2,indexy_SDcast!$2:$2,0)),"#ekrk")),"#popis")</f>
        <v>-9246.3807747586525</v>
      </c>
      <c r="Y243" s="362">
        <f>IF($Q243="ekrk",IF($R243="data",IFERROR(INDEX(data!$A:$ALL,MATCH($M243,data!$A:$A,0),MATCH(Y$2,data!$1:$1,0)),"#data"),IFERROR(X243*INDEX(indexy_SDcast!$A:$ALI,MATCH($R243,indexy_SDcast!$K:$K,0),MATCH(Y$2,indexy_SDcast!$2:$2,0)),"#ekrk")),"#popis")</f>
        <v>-12508.947410509165</v>
      </c>
    </row>
    <row r="244" spans="1:44" x14ac:dyDescent="0.25">
      <c r="A244" s="330">
        <v>717003</v>
      </c>
      <c r="B244" s="329">
        <v>-532.38941999999997</v>
      </c>
      <c r="C244" s="157"/>
      <c r="D244" s="330">
        <v>717003</v>
      </c>
      <c r="E244" s="329">
        <v>-532.38941999999997</v>
      </c>
      <c r="F244" s="157"/>
      <c r="G244" s="330">
        <v>717003</v>
      </c>
      <c r="H244" s="329">
        <v>-532.38941999999997</v>
      </c>
      <c r="I244" s="157"/>
      <c r="J244" s="330">
        <v>717003</v>
      </c>
      <c r="K244" s="329">
        <v>-532.38941999999997</v>
      </c>
      <c r="L244" s="157"/>
      <c r="M244" s="360">
        <f t="shared" si="24"/>
        <v>717003</v>
      </c>
      <c r="N244" s="237">
        <f t="shared" si="25"/>
        <v>-532.38941999999997</v>
      </c>
      <c r="O244" s="361"/>
      <c r="P244" s="361"/>
      <c r="Q244" s="361" t="s">
        <v>698</v>
      </c>
      <c r="R244" s="362">
        <v>35</v>
      </c>
      <c r="S244" s="236"/>
      <c r="T244" s="364">
        <f t="shared" si="28"/>
        <v>717003</v>
      </c>
      <c r="U244" s="365">
        <f t="shared" si="29"/>
        <v>-532.38941999999997</v>
      </c>
      <c r="V244" s="365">
        <f>IF($Q244="ekrk",IF($R244="data",IFERROR(INDEX(data!$A:$ALL,MATCH($M244,data!$A:$A,0),MATCH(V$2,data!$1:$1,0)),"#data"),IFERROR(U244*INDEX(indexy_SDcast!$A:$ALI,MATCH($R244,indexy_SDcast!$K:$K,0),MATCH(V$2,indexy_SDcast!$2:$2,0)),"#ekrk")),"#popis")</f>
        <v>-681.58204824089944</v>
      </c>
      <c r="W244" s="365">
        <f>IF($Q244="ekrk",IF($R244="data",IFERROR(INDEX(data!$A:$ALL,MATCH($M244,data!$A:$A,0),MATCH(W$2,data!$1:$1,0)),"#data"),IFERROR(V244*INDEX(indexy_SDcast!$A:$ALI,MATCH($R244,indexy_SDcast!$K:$K,0),MATCH(W$2,indexy_SDcast!$2:$2,0)),"#ekrk")),"#popis")</f>
        <v>-689.2439203899944</v>
      </c>
      <c r="X244" s="365">
        <f>IF($Q244="ekrk",IF($R244="data",IFERROR(INDEX(data!$A:$ALL,MATCH($M244,data!$A:$A,0),MATCH(X$2,data!$1:$1,0)),"#data"),IFERROR(W244*INDEX(indexy_SDcast!$A:$ALI,MATCH($R244,indexy_SDcast!$K:$K,0),MATCH(X$2,indexy_SDcast!$2:$2,0)),"#ekrk")),"#popis")</f>
        <v>-442.71928322037644</v>
      </c>
      <c r="Y244" s="362">
        <f>IF($Q244="ekrk",IF($R244="data",IFERROR(INDEX(data!$A:$ALL,MATCH($M244,data!$A:$A,0),MATCH(Y$2,data!$1:$1,0)),"#data"),IFERROR(X244*INDEX(indexy_SDcast!$A:$ALI,MATCH($R244,indexy_SDcast!$K:$K,0),MATCH(Y$2,indexy_SDcast!$2:$2,0)),"#ekrk")),"#popis")</f>
        <v>-598.93188116801866</v>
      </c>
    </row>
    <row r="245" spans="1:44" x14ac:dyDescent="0.25">
      <c r="A245" s="330">
        <v>719014</v>
      </c>
      <c r="B245" s="329">
        <v>-23.397799999999997</v>
      </c>
      <c r="C245" s="157"/>
      <c r="D245" s="330">
        <v>719014</v>
      </c>
      <c r="E245" s="329">
        <v>-23.397799999999997</v>
      </c>
      <c r="F245" s="157"/>
      <c r="G245" s="330">
        <v>719014</v>
      </c>
      <c r="H245" s="329">
        <v>-23.397799999999997</v>
      </c>
      <c r="I245" s="157"/>
      <c r="J245" s="330">
        <v>719014</v>
      </c>
      <c r="K245" s="329">
        <v>-23.397799999999997</v>
      </c>
      <c r="L245" s="157"/>
      <c r="M245" s="360">
        <f t="shared" si="24"/>
        <v>719014</v>
      </c>
      <c r="N245" s="237">
        <f t="shared" si="25"/>
        <v>-23.397799999999997</v>
      </c>
      <c r="O245" s="361"/>
      <c r="P245" s="361"/>
      <c r="Q245" s="361" t="s">
        <v>698</v>
      </c>
      <c r="R245" s="362">
        <v>35</v>
      </c>
      <c r="S245" s="236"/>
      <c r="T245" s="364">
        <f t="shared" si="28"/>
        <v>719014</v>
      </c>
      <c r="U245" s="365">
        <f t="shared" si="29"/>
        <v>-23.397799999999997</v>
      </c>
      <c r="V245" s="365">
        <f>IF($Q245="ekrk",IF($R245="data",IFERROR(INDEX(data!$A:$ALL,MATCH($M245,data!$A:$A,0),MATCH(V$2,data!$1:$1,0)),"#data"),IFERROR(U245*INDEX(indexy_SDcast!$A:$ALI,MATCH($R245,indexy_SDcast!$K:$K,0),MATCH(V$2,indexy_SDcast!$2:$2,0)),"#ekrk")),"#popis")</f>
        <v>-29.954615642682974</v>
      </c>
      <c r="W245" s="365">
        <f>IF($Q245="ekrk",IF($R245="data",IFERROR(INDEX(data!$A:$ALL,MATCH($M245,data!$A:$A,0),MATCH(W$2,data!$1:$1,0)),"#data"),IFERROR(V245*INDEX(indexy_SDcast!$A:$ALI,MATCH($R245,indexy_SDcast!$K:$K,0),MATCH(W$2,indexy_SDcast!$2:$2,0)),"#ekrk")),"#popis")</f>
        <v>-30.291344633597358</v>
      </c>
      <c r="X245" s="365">
        <f>IF($Q245="ekrk",IF($R245="data",IFERROR(INDEX(data!$A:$ALL,MATCH($M245,data!$A:$A,0),MATCH(X$2,data!$1:$1,0)),"#data"),IFERROR(W245*INDEX(indexy_SDcast!$A:$ALI,MATCH($R245,indexy_SDcast!$K:$K,0),MATCH(X$2,indexy_SDcast!$2:$2,0)),"#ekrk")),"#popis")</f>
        <v>-19.456917917215041</v>
      </c>
      <c r="Y245" s="362">
        <f>IF($Q245="ekrk",IF($R245="data",IFERROR(INDEX(data!$A:$ALL,MATCH($M245,data!$A:$A,0),MATCH(Y$2,data!$1:$1,0)),"#data"),IFERROR(X245*INDEX(indexy_SDcast!$A:$ALI,MATCH($R245,indexy_SDcast!$K:$K,0),MATCH(Y$2,indexy_SDcast!$2:$2,0)),"#ekrk")),"#popis")</f>
        <v>-26.322251800558067</v>
      </c>
    </row>
    <row r="246" spans="1:44" s="18" customFormat="1" x14ac:dyDescent="0.25">
      <c r="A246" s="333" t="s">
        <v>757</v>
      </c>
      <c r="B246" s="334">
        <v>-11120.314039999999</v>
      </c>
      <c r="C246" s="164"/>
      <c r="D246" s="333" t="s">
        <v>757</v>
      </c>
      <c r="E246" s="334">
        <v>-11120.314039999999</v>
      </c>
      <c r="F246" s="164"/>
      <c r="G246" s="333" t="s">
        <v>757</v>
      </c>
      <c r="H246" s="334">
        <v>-11120.314039999999</v>
      </c>
      <c r="I246" s="164"/>
      <c r="J246" s="333" t="s">
        <v>757</v>
      </c>
      <c r="K246" s="334">
        <v>-11120.314039999999</v>
      </c>
      <c r="L246" s="164"/>
      <c r="M246" s="358" t="str">
        <f t="shared" si="24"/>
        <v>P5121</v>
      </c>
      <c r="N246" s="239">
        <f t="shared" si="25"/>
        <v>-11120.314039999999</v>
      </c>
      <c r="O246" s="243"/>
      <c r="P246" s="243">
        <f>MATCH(Q246,Q247:Q$1550,0)</f>
        <v>4</v>
      </c>
      <c r="Q246" s="243" t="s">
        <v>697</v>
      </c>
      <c r="R246" s="359" t="str">
        <f>IF(Q246="ekrk",INDEX(indexy_SDcast!$A:$C,MATCH($M246,indexy_SDcast!$A:$A,0),2),"")</f>
        <v/>
      </c>
      <c r="S246" s="240"/>
      <c r="T246" s="363" t="str">
        <f t="shared" si="28"/>
        <v>P5121</v>
      </c>
      <c r="U246" s="244">
        <f>SUM(U247:U247)</f>
        <v>-11120.314039999999</v>
      </c>
      <c r="V246" s="244">
        <f>SUM(V247:V247)</f>
        <v>-14236.583477682994</v>
      </c>
      <c r="W246" s="244">
        <f>SUM(W247:W247)</f>
        <v>-14396.621264369787</v>
      </c>
      <c r="X246" s="244">
        <f>SUM(X247:X247)</f>
        <v>-9247.3240001168488</v>
      </c>
      <c r="Y246" s="359">
        <f>SUM(Y247:Y247)</f>
        <v>-12510.223451015105</v>
      </c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</row>
    <row r="247" spans="1:44" x14ac:dyDescent="0.25">
      <c r="A247" s="369">
        <v>711003</v>
      </c>
      <c r="B247" s="370">
        <v>-11120.314039999999</v>
      </c>
      <c r="C247" s="157"/>
      <c r="D247" s="369">
        <v>711003</v>
      </c>
      <c r="E247" s="370">
        <v>-11120.314039999999</v>
      </c>
      <c r="F247" s="157"/>
      <c r="G247" s="369">
        <v>711003</v>
      </c>
      <c r="H247" s="370">
        <v>-11120.314039999999</v>
      </c>
      <c r="I247" s="157"/>
      <c r="J247" s="369">
        <v>711003</v>
      </c>
      <c r="K247" s="370">
        <v>-11120.314039999999</v>
      </c>
      <c r="L247" s="157"/>
      <c r="M247" s="371">
        <f t="shared" ref="M247:M303" si="30">J247</f>
        <v>711003</v>
      </c>
      <c r="N247" s="372">
        <f t="shared" ref="N247:N303" si="31">K247</f>
        <v>-11120.314039999999</v>
      </c>
      <c r="O247" s="373"/>
      <c r="P247" s="373"/>
      <c r="Q247" s="373" t="s">
        <v>698</v>
      </c>
      <c r="R247" s="368">
        <v>35</v>
      </c>
      <c r="S247" s="236"/>
      <c r="T247" s="366">
        <f t="shared" si="28"/>
        <v>711003</v>
      </c>
      <c r="U247" s="367">
        <f>N247</f>
        <v>-11120.314039999999</v>
      </c>
      <c r="V247" s="367">
        <f>IF($Q247="ekrk",IF($R247="data",IFERROR(INDEX(data!$A:$ALL,MATCH($M247,data!$A:$A,0),MATCH(V$2,data!$1:$1,0)),"#data"),IFERROR(U247*INDEX(indexy_SDcast!$A:$ALI,MATCH($R247,indexy_SDcast!$K:$K,0),MATCH(V$2,indexy_SDcast!$2:$2,0)),"#ekrk")),"#popis")</f>
        <v>-14236.583477682994</v>
      </c>
      <c r="W247" s="367">
        <f>IF($Q247="ekrk",IF($R247="data",IFERROR(INDEX(data!$A:$ALL,MATCH($M247,data!$A:$A,0),MATCH(W$2,data!$1:$1,0)),"#data"),IFERROR(V247*INDEX(indexy_SDcast!$A:$ALI,MATCH($R247,indexy_SDcast!$K:$K,0),MATCH(W$2,indexy_SDcast!$2:$2,0)),"#ekrk")),"#popis")</f>
        <v>-14396.621264369787</v>
      </c>
      <c r="X247" s="367">
        <f>IF($Q247="ekrk",IF($R247="data",IFERROR(INDEX(data!$A:$ALL,MATCH($M247,data!$A:$A,0),MATCH(X$2,data!$1:$1,0)),"#data"),IFERROR(W247*INDEX(indexy_SDcast!$A:$ALI,MATCH($R247,indexy_SDcast!$K:$K,0),MATCH(X$2,indexy_SDcast!$2:$2,0)),"#ekrk")),"#popis")</f>
        <v>-9247.3240001168488</v>
      </c>
      <c r="Y247" s="368">
        <f>IF($Q247="ekrk",IF($R247="data",IFERROR(INDEX(data!$A:$ALL,MATCH($M247,data!$A:$A,0),MATCH(Y$2,data!$1:$1,0)),"#data"),IFERROR(X247*INDEX(indexy_SDcast!$A:$ALI,MATCH($R247,indexy_SDcast!$K:$K,0),MATCH(Y$2,indexy_SDcast!$2:$2,0)),"#ekrk")),"#popis")</f>
        <v>-12510.223451015105</v>
      </c>
    </row>
    <row r="248" spans="1:44" x14ac:dyDescent="0.25">
      <c r="A248" s="157"/>
      <c r="B248" s="157"/>
      <c r="C248" s="157"/>
      <c r="D248" s="157"/>
      <c r="E248" s="157"/>
      <c r="F248" s="157"/>
      <c r="G248" s="157"/>
      <c r="H248" s="157"/>
      <c r="I248" s="157"/>
      <c r="J248" s="160"/>
      <c r="K248" s="160"/>
      <c r="L248" s="157"/>
      <c r="M248" s="160"/>
      <c r="N248" s="160"/>
      <c r="O248" s="236"/>
      <c r="P248" s="236"/>
      <c r="Q248" s="236"/>
      <c r="R248" s="238"/>
      <c r="S248" s="236"/>
      <c r="T248" s="236"/>
      <c r="U248" s="238"/>
      <c r="V248" s="238"/>
      <c r="W248" s="238"/>
      <c r="X248" s="238"/>
      <c r="Y248" s="238"/>
    </row>
    <row r="249" spans="1:44" x14ac:dyDescent="0.25">
      <c r="A249" s="331" t="s">
        <v>1103</v>
      </c>
      <c r="B249" s="341" t="s">
        <v>1200</v>
      </c>
      <c r="C249" s="157"/>
      <c r="D249" s="331" t="s">
        <v>1103</v>
      </c>
      <c r="E249" s="341" t="s">
        <v>1200</v>
      </c>
      <c r="F249" s="157"/>
      <c r="G249" s="331" t="s">
        <v>1103</v>
      </c>
      <c r="H249" s="341" t="s">
        <v>1200</v>
      </c>
      <c r="I249" s="157"/>
      <c r="J249" s="331" t="s">
        <v>1103</v>
      </c>
      <c r="K249" s="341" t="s">
        <v>1200</v>
      </c>
      <c r="L249" s="157"/>
      <c r="M249" s="331" t="str">
        <f t="shared" si="30"/>
        <v>Časť 3</v>
      </c>
      <c r="N249" s="459" t="str">
        <f t="shared" si="31"/>
        <v>Školstvo, ostatné</v>
      </c>
      <c r="O249" s="459"/>
      <c r="P249" s="459"/>
      <c r="Q249" s="459"/>
      <c r="R249" s="460"/>
      <c r="S249" s="236"/>
      <c r="T249" s="331" t="str">
        <f t="shared" ref="T249:T307" si="32">M249</f>
        <v>Časť 3</v>
      </c>
      <c r="U249" s="459" t="str">
        <f>N249</f>
        <v>Školstvo, ostatné</v>
      </c>
      <c r="V249" s="459"/>
      <c r="W249" s="459"/>
      <c r="X249" s="459"/>
      <c r="Y249" s="460"/>
    </row>
    <row r="250" spans="1:44" s="18" customFormat="1" x14ac:dyDescent="0.25">
      <c r="A250" s="333" t="s">
        <v>696</v>
      </c>
      <c r="B250" s="334">
        <v>-1372097.6766300013</v>
      </c>
      <c r="C250" s="164"/>
      <c r="D250" s="333" t="s">
        <v>696</v>
      </c>
      <c r="E250" s="334">
        <v>-1372097.6766300013</v>
      </c>
      <c r="F250" s="164"/>
      <c r="G250" s="333" t="s">
        <v>696</v>
      </c>
      <c r="H250" s="334">
        <v>-1372097.6766300013</v>
      </c>
      <c r="I250" s="164"/>
      <c r="J250" s="333" t="s">
        <v>696</v>
      </c>
      <c r="K250" s="334">
        <v>-1372097.6766300013</v>
      </c>
      <c r="L250" s="164"/>
      <c r="M250" s="358" t="str">
        <f t="shared" si="30"/>
        <v>D11PAY</v>
      </c>
      <c r="N250" s="239">
        <f t="shared" si="31"/>
        <v>-1372097.6766300013</v>
      </c>
      <c r="O250" s="243"/>
      <c r="P250" s="243">
        <f>MATCH(Q250,Q251:Q$1550,0)</f>
        <v>20</v>
      </c>
      <c r="Q250" s="243" t="s">
        <v>697</v>
      </c>
      <c r="R250" s="359" t="str">
        <f>IF(Q250="ekrk",INDEX(indexy_SDcast!$A:$C,MATCH($M250,indexy_SDcast!$A:$A,0),2),"")</f>
        <v/>
      </c>
      <c r="S250" s="240"/>
      <c r="T250" s="363" t="str">
        <f t="shared" si="32"/>
        <v>D11PAY</v>
      </c>
      <c r="U250" s="244">
        <f>SUM(U251:U269)</f>
        <v>-1372097.6766300013</v>
      </c>
      <c r="V250" s="244">
        <f>SUM(V251:V269)</f>
        <v>-1410897.275211934</v>
      </c>
      <c r="W250" s="244">
        <f>SUM(W251:W269)</f>
        <v>-1462326.3949422</v>
      </c>
      <c r="X250" s="244">
        <f>SUM(X251:X269)</f>
        <v>-1523884.0133211063</v>
      </c>
      <c r="Y250" s="359">
        <f>SUM(Y251:Y269)</f>
        <v>-1593050.957762721</v>
      </c>
      <c r="Z250" s="58"/>
      <c r="AA250" s="58"/>
      <c r="AB250" s="58"/>
      <c r="AC250" s="58"/>
      <c r="AD250" s="58"/>
      <c r="AE250" s="58"/>
      <c r="AF250" s="58"/>
      <c r="AG250" s="58"/>
      <c r="AH250" s="58"/>
      <c r="AI250" s="58"/>
      <c r="AJ250" s="58"/>
      <c r="AK250" s="58"/>
      <c r="AL250" s="58"/>
      <c r="AM250" s="58"/>
      <c r="AN250" s="58"/>
      <c r="AO250" s="58"/>
      <c r="AP250" s="58"/>
      <c r="AQ250" s="58"/>
      <c r="AR250" s="58"/>
    </row>
    <row r="251" spans="1:44" x14ac:dyDescent="0.25">
      <c r="A251" s="330">
        <v>611000</v>
      </c>
      <c r="B251" s="329">
        <v>-1047391.397240001</v>
      </c>
      <c r="C251" s="157"/>
      <c r="D251" s="330">
        <v>611000</v>
      </c>
      <c r="E251" s="329">
        <v>-1047391.397240001</v>
      </c>
      <c r="F251" s="157"/>
      <c r="G251" s="330">
        <v>611000</v>
      </c>
      <c r="H251" s="329">
        <v>-1047391.397240001</v>
      </c>
      <c r="I251" s="157"/>
      <c r="J251" s="330">
        <v>611000</v>
      </c>
      <c r="K251" s="329">
        <v>-1047391.397240001</v>
      </c>
      <c r="L251" s="157"/>
      <c r="M251" s="360">
        <f t="shared" si="30"/>
        <v>611000</v>
      </c>
      <c r="N251" s="237">
        <f t="shared" si="31"/>
        <v>-1047391.397240001</v>
      </c>
      <c r="O251" s="361"/>
      <c r="P251" s="361"/>
      <c r="Q251" s="361" t="s">
        <v>698</v>
      </c>
      <c r="R251" s="362">
        <f>IF(Q251="ekrk",INDEX(indexy_SDcast!$A:$C,MATCH($M251,indexy_SDcast!$A:$A,0),2),"")</f>
        <v>39</v>
      </c>
      <c r="S251" s="236"/>
      <c r="T251" s="364">
        <f t="shared" si="32"/>
        <v>611000</v>
      </c>
      <c r="U251" s="365">
        <f t="shared" ref="U251:U269" si="33">N251</f>
        <v>-1047391.397240001</v>
      </c>
      <c r="V251" s="365">
        <f>IF($Q251="ekrk",IF($R251="data",IFERROR(INDEX(data!$A:$ALL,MATCH($M251,data!$A:$A,0),MATCH(V$2,data!$1:$1,0)),"#data"),IFERROR(U251*INDEX(indexy_SDcast!$A:$ALI,MATCH($R251,indexy_SDcast!$K:$K,0),MATCH(V$2,indexy_SDcast!$2:$2,0)),"#ekrk")),"#popis")</f>
        <v>-1077751.5038058676</v>
      </c>
      <c r="W251" s="365">
        <f>IF($Q251="ekrk",IF($R251="data",IFERROR(INDEX(data!$A:$ALL,MATCH($M251,data!$A:$A,0),MATCH(W$2,data!$1:$1,0)),"#data"),IFERROR(V251*INDEX(indexy_SDcast!$A:$ALI,MATCH($R251,indexy_SDcast!$K:$K,0),MATCH(W$2,indexy_SDcast!$2:$2,0)),"#ekrk")),"#popis")</f>
        <v>-1117603.5848090609</v>
      </c>
      <c r="X251" s="365">
        <f>IF($Q251="ekrk",IF($R251="data",IFERROR(INDEX(data!$A:$ALL,MATCH($M251,data!$A:$A,0),MATCH(X$2,data!$1:$1,0)),"#data"),IFERROR(W251*INDEX(indexy_SDcast!$A:$ALI,MATCH($R251,indexy_SDcast!$K:$K,0),MATCH(X$2,indexy_SDcast!$2:$2,0)),"#ekrk")),"#popis")</f>
        <v>-1165362.4997904799</v>
      </c>
      <c r="Y251" s="362">
        <f>IF($Q251="ekrk",IF($R251="data",IFERROR(INDEX(data!$A:$ALL,MATCH($M251,data!$A:$A,0),MATCH(Y$2,data!$1:$1,0)),"#data"),IFERROR(X251*INDEX(indexy_SDcast!$A:$ALI,MATCH($R251,indexy_SDcast!$K:$K,0),MATCH(Y$2,indexy_SDcast!$2:$2,0)),"#ekrk")),"#popis")</f>
        <v>-1219079.1984084439</v>
      </c>
    </row>
    <row r="252" spans="1:44" x14ac:dyDescent="0.25">
      <c r="A252" s="330">
        <v>612000</v>
      </c>
      <c r="B252" s="329">
        <v>-11.338210000000121</v>
      </c>
      <c r="C252" s="157"/>
      <c r="D252" s="330">
        <v>612000</v>
      </c>
      <c r="E252" s="329">
        <v>-11.338210000000121</v>
      </c>
      <c r="F252" s="157"/>
      <c r="G252" s="330">
        <v>612000</v>
      </c>
      <c r="H252" s="329">
        <v>-11.338210000000121</v>
      </c>
      <c r="I252" s="157"/>
      <c r="J252" s="330">
        <v>612000</v>
      </c>
      <c r="K252" s="329">
        <v>-11.338210000000121</v>
      </c>
      <c r="L252" s="157"/>
      <c r="M252" s="360">
        <f t="shared" si="30"/>
        <v>612000</v>
      </c>
      <c r="N252" s="237">
        <f t="shared" si="31"/>
        <v>-11.338210000000121</v>
      </c>
      <c r="O252" s="361"/>
      <c r="P252" s="361"/>
      <c r="Q252" s="361" t="s">
        <v>698</v>
      </c>
      <c r="R252" s="362">
        <f>IF(Q252="ekrk",INDEX(indexy_SDcast!$A:$C,MATCH($M252,indexy_SDcast!$A:$A,0),2),"")</f>
        <v>39</v>
      </c>
      <c r="S252" s="236"/>
      <c r="T252" s="364">
        <f t="shared" si="32"/>
        <v>612000</v>
      </c>
      <c r="U252" s="365">
        <f t="shared" si="33"/>
        <v>-11.338210000000121</v>
      </c>
      <c r="V252" s="365">
        <f>IF($Q252="ekrk",IF($R252="data",IFERROR(INDEX(data!$A:$ALL,MATCH($M252,data!$A:$A,0),MATCH(V$2,data!$1:$1,0)),"#data"),IFERROR(U252*INDEX(indexy_SDcast!$A:$ALI,MATCH($R252,indexy_SDcast!$K:$K,0),MATCH(V$2,indexy_SDcast!$2:$2,0)),"#ekrk")),"#popis")</f>
        <v>-11.666863896502671</v>
      </c>
      <c r="W252" s="365">
        <f>IF($Q252="ekrk",IF($R252="data",IFERROR(INDEX(data!$A:$ALL,MATCH($M252,data!$A:$A,0),MATCH(W$2,data!$1:$1,0)),"#data"),IFERROR(V252*INDEX(indexy_SDcast!$A:$ALI,MATCH($R252,indexy_SDcast!$K:$K,0),MATCH(W$2,indexy_SDcast!$2:$2,0)),"#ekrk")),"#popis")</f>
        <v>-12.098270211794071</v>
      </c>
      <c r="X252" s="365">
        <f>IF($Q252="ekrk",IF($R252="data",IFERROR(INDEX(data!$A:$ALL,MATCH($M252,data!$A:$A,0),MATCH(X$2,data!$1:$1,0)),"#data"),IFERROR(W252*INDEX(indexy_SDcast!$A:$ALI,MATCH($R252,indexy_SDcast!$K:$K,0),MATCH(X$2,indexy_SDcast!$2:$2,0)),"#ekrk")),"#popis")</f>
        <v>-12.615269500558901</v>
      </c>
      <c r="Y252" s="362">
        <f>IF($Q252="ekrk",IF($R252="data",IFERROR(INDEX(data!$A:$ALL,MATCH($M252,data!$A:$A,0),MATCH(Y$2,data!$1:$1,0)),"#data"),IFERROR(X252*INDEX(indexy_SDcast!$A:$ALI,MATCH($R252,indexy_SDcast!$K:$K,0),MATCH(Y$2,indexy_SDcast!$2:$2,0)),"#ekrk")),"#popis")</f>
        <v>-13.196762924165505</v>
      </c>
    </row>
    <row r="253" spans="1:44" x14ac:dyDescent="0.25">
      <c r="A253" s="330">
        <v>612001</v>
      </c>
      <c r="B253" s="329">
        <v>-82487.267369999943</v>
      </c>
      <c r="C253" s="157"/>
      <c r="D253" s="330">
        <v>612001</v>
      </c>
      <c r="E253" s="329">
        <v>-82487.267369999943</v>
      </c>
      <c r="F253" s="157"/>
      <c r="G253" s="330">
        <v>612001</v>
      </c>
      <c r="H253" s="329">
        <v>-82487.267369999943</v>
      </c>
      <c r="I253" s="157"/>
      <c r="J253" s="330">
        <v>612001</v>
      </c>
      <c r="K253" s="329">
        <v>-82487.267369999943</v>
      </c>
      <c r="L253" s="157"/>
      <c r="M253" s="360">
        <f t="shared" si="30"/>
        <v>612001</v>
      </c>
      <c r="N253" s="237">
        <f t="shared" si="31"/>
        <v>-82487.267369999943</v>
      </c>
      <c r="O253" s="361"/>
      <c r="P253" s="361"/>
      <c r="Q253" s="361" t="s">
        <v>698</v>
      </c>
      <c r="R253" s="362">
        <f>IF(Q253="ekrk",INDEX(indexy_SDcast!$A:$C,MATCH($M253,indexy_SDcast!$A:$A,0),2),"")</f>
        <v>39</v>
      </c>
      <c r="S253" s="236"/>
      <c r="T253" s="364">
        <f t="shared" si="32"/>
        <v>612001</v>
      </c>
      <c r="U253" s="365">
        <f t="shared" si="33"/>
        <v>-82487.267369999943</v>
      </c>
      <c r="V253" s="365">
        <f>IF($Q253="ekrk",IF($R253="data",IFERROR(INDEX(data!$A:$ALL,MATCH($M253,data!$A:$A,0),MATCH(V$2,data!$1:$1,0)),"#data"),IFERROR(U253*INDEX(indexy_SDcast!$A:$ALI,MATCH($R253,indexy_SDcast!$K:$K,0),MATCH(V$2,indexy_SDcast!$2:$2,0)),"#ekrk")),"#popis")</f>
        <v>-84878.276341698103</v>
      </c>
      <c r="W253" s="365">
        <f>IF($Q253="ekrk",IF($R253="data",IFERROR(INDEX(data!$A:$ALL,MATCH($M253,data!$A:$A,0),MATCH(W$2,data!$1:$1,0)),"#data"),IFERROR(V253*INDEX(indexy_SDcast!$A:$ALI,MATCH($R253,indexy_SDcast!$K:$K,0),MATCH(W$2,indexy_SDcast!$2:$2,0)),"#ekrk")),"#popis")</f>
        <v>-88016.825378499139</v>
      </c>
      <c r="X253" s="365">
        <f>IF($Q253="ekrk",IF($R253="data",IFERROR(INDEX(data!$A:$ALL,MATCH($M253,data!$A:$A,0),MATCH(X$2,data!$1:$1,0)),"#data"),IFERROR(W253*INDEX(indexy_SDcast!$A:$ALI,MATCH($R253,indexy_SDcast!$K:$K,0),MATCH(X$2,indexy_SDcast!$2:$2,0)),"#ekrk")),"#popis")</f>
        <v>-91778.076807291145</v>
      </c>
      <c r="Y253" s="362">
        <f>IF($Q253="ekrk",IF($R253="data",IFERROR(INDEX(data!$A:$ALL,MATCH($M253,data!$A:$A,0),MATCH(Y$2,data!$1:$1,0)),"#data"),IFERROR(X253*INDEX(indexy_SDcast!$A:$ALI,MATCH($R253,indexy_SDcast!$K:$K,0),MATCH(Y$2,indexy_SDcast!$2:$2,0)),"#ekrk")),"#popis")</f>
        <v>-96008.533246793857</v>
      </c>
    </row>
    <row r="254" spans="1:44" x14ac:dyDescent="0.25">
      <c r="A254" s="330">
        <v>612002</v>
      </c>
      <c r="B254" s="329">
        <v>-64280.322679999954</v>
      </c>
      <c r="C254" s="157"/>
      <c r="D254" s="330">
        <v>612002</v>
      </c>
      <c r="E254" s="329">
        <v>-64280.322679999954</v>
      </c>
      <c r="F254" s="157"/>
      <c r="G254" s="330">
        <v>612002</v>
      </c>
      <c r="H254" s="329">
        <v>-64280.322679999954</v>
      </c>
      <c r="I254" s="157"/>
      <c r="J254" s="330">
        <v>612002</v>
      </c>
      <c r="K254" s="329">
        <v>-64280.322679999954</v>
      </c>
      <c r="L254" s="157"/>
      <c r="M254" s="360">
        <f t="shared" si="30"/>
        <v>612002</v>
      </c>
      <c r="N254" s="237">
        <f t="shared" si="31"/>
        <v>-64280.322679999954</v>
      </c>
      <c r="O254" s="361"/>
      <c r="P254" s="361"/>
      <c r="Q254" s="361" t="s">
        <v>698</v>
      </c>
      <c r="R254" s="362">
        <f>IF(Q254="ekrk",INDEX(indexy_SDcast!$A:$C,MATCH($M254,indexy_SDcast!$A:$A,0),2),"")</f>
        <v>39</v>
      </c>
      <c r="S254" s="236"/>
      <c r="T254" s="364">
        <f t="shared" si="32"/>
        <v>612002</v>
      </c>
      <c r="U254" s="365">
        <f t="shared" si="33"/>
        <v>-64280.322679999954</v>
      </c>
      <c r="V254" s="365">
        <f>IF($Q254="ekrk",IF($R254="data",IFERROR(INDEX(data!$A:$ALL,MATCH($M254,data!$A:$A,0),MATCH(V$2,data!$1:$1,0)),"#data"),IFERROR(U254*INDEX(indexy_SDcast!$A:$ALI,MATCH($R254,indexy_SDcast!$K:$K,0),MATCH(V$2,indexy_SDcast!$2:$2,0)),"#ekrk")),"#popis")</f>
        <v>-66143.577860246485</v>
      </c>
      <c r="W254" s="365">
        <f>IF($Q254="ekrk",IF($R254="data",IFERROR(INDEX(data!$A:$ALL,MATCH($M254,data!$A:$A,0),MATCH(W$2,data!$1:$1,0)),"#data"),IFERROR(V254*INDEX(indexy_SDcast!$A:$ALI,MATCH($R254,indexy_SDcast!$K:$K,0),MATCH(W$2,indexy_SDcast!$2:$2,0)),"#ekrk")),"#popis")</f>
        <v>-68589.372844915211</v>
      </c>
      <c r="X254" s="365">
        <f>IF($Q254="ekrk",IF($R254="data",IFERROR(INDEX(data!$A:$ALL,MATCH($M254,data!$A:$A,0),MATCH(X$2,data!$1:$1,0)),"#data"),IFERROR(W254*INDEX(indexy_SDcast!$A:$ALI,MATCH($R254,indexy_SDcast!$K:$K,0),MATCH(X$2,indexy_SDcast!$2:$2,0)),"#ekrk")),"#popis")</f>
        <v>-71520.424669421307</v>
      </c>
      <c r="Y254" s="362">
        <f>IF($Q254="ekrk",IF($R254="data",IFERROR(INDEX(data!$A:$ALL,MATCH($M254,data!$A:$A,0),MATCH(Y$2,data!$1:$1,0)),"#data"),IFERROR(X254*INDEX(indexy_SDcast!$A:$ALI,MATCH($R254,indexy_SDcast!$K:$K,0),MATCH(Y$2,indexy_SDcast!$2:$2,0)),"#ekrk")),"#popis")</f>
        <v>-74817.116555153712</v>
      </c>
    </row>
    <row r="255" spans="1:44" x14ac:dyDescent="0.25">
      <c r="A255" s="330">
        <v>613000</v>
      </c>
      <c r="B255" s="329">
        <v>-823.2019600000001</v>
      </c>
      <c r="C255" s="157"/>
      <c r="D255" s="330">
        <v>613000</v>
      </c>
      <c r="E255" s="329">
        <v>-823.2019600000001</v>
      </c>
      <c r="F255" s="157"/>
      <c r="G255" s="330">
        <v>613000</v>
      </c>
      <c r="H255" s="329">
        <v>-823.2019600000001</v>
      </c>
      <c r="I255" s="157"/>
      <c r="J255" s="330">
        <v>613000</v>
      </c>
      <c r="K255" s="329">
        <v>-823.2019600000001</v>
      </c>
      <c r="L255" s="157"/>
      <c r="M255" s="360">
        <f t="shared" si="30"/>
        <v>613000</v>
      </c>
      <c r="N255" s="237">
        <f t="shared" si="31"/>
        <v>-823.2019600000001</v>
      </c>
      <c r="O255" s="361"/>
      <c r="P255" s="361"/>
      <c r="Q255" s="361" t="s">
        <v>698</v>
      </c>
      <c r="R255" s="362">
        <f>IF(Q255="ekrk",INDEX(indexy_SDcast!$A:$C,MATCH($M255,indexy_SDcast!$A:$A,0),2),"")</f>
        <v>39</v>
      </c>
      <c r="S255" s="236"/>
      <c r="T255" s="364">
        <f t="shared" si="32"/>
        <v>613000</v>
      </c>
      <c r="U255" s="365">
        <f t="shared" si="33"/>
        <v>-823.2019600000001</v>
      </c>
      <c r="V255" s="365">
        <f>IF($Q255="ekrk",IF($R255="data",IFERROR(INDEX(data!$A:$ALL,MATCH($M255,data!$A:$A,0),MATCH(V$2,data!$1:$1,0)),"#data"),IFERROR(U255*INDEX(indexy_SDcast!$A:$ALI,MATCH($R255,indexy_SDcast!$K:$K,0),MATCH(V$2,indexy_SDcast!$2:$2,0)),"#ekrk")),"#popis")</f>
        <v>-847.06362174048058</v>
      </c>
      <c r="W255" s="365">
        <f>IF($Q255="ekrk",IF($R255="data",IFERROR(INDEX(data!$A:$ALL,MATCH($M255,data!$A:$A,0),MATCH(W$2,data!$1:$1,0)),"#data"),IFERROR(V255*INDEX(indexy_SDcast!$A:$ALI,MATCH($R255,indexy_SDcast!$K:$K,0),MATCH(W$2,indexy_SDcast!$2:$2,0)),"#ekrk")),"#popis")</f>
        <v>-878.38554330519457</v>
      </c>
      <c r="X255" s="365">
        <f>IF($Q255="ekrk",IF($R255="data",IFERROR(INDEX(data!$A:$ALL,MATCH($M255,data!$A:$A,0),MATCH(X$2,data!$1:$1,0)),"#data"),IFERROR(W255*INDEX(indexy_SDcast!$A:$ALI,MATCH($R255,indexy_SDcast!$K:$K,0),MATCH(X$2,indexy_SDcast!$2:$2,0)),"#ekrk")),"#popis")</f>
        <v>-915.92187645035676</v>
      </c>
      <c r="Y255" s="362">
        <f>IF($Q255="ekrk",IF($R255="data",IFERROR(INDEX(data!$A:$ALL,MATCH($M255,data!$A:$A,0),MATCH(Y$2,data!$1:$1,0)),"#data"),IFERROR(X255*INDEX(indexy_SDcast!$A:$ALI,MATCH($R255,indexy_SDcast!$K:$K,0),MATCH(Y$2,indexy_SDcast!$2:$2,0)),"#ekrk")),"#popis")</f>
        <v>-958.1407563299905</v>
      </c>
    </row>
    <row r="256" spans="1:44" x14ac:dyDescent="0.25">
      <c r="A256" s="330">
        <v>614000</v>
      </c>
      <c r="B256" s="329">
        <v>-101197.99673000006</v>
      </c>
      <c r="C256" s="157"/>
      <c r="D256" s="330">
        <v>614000</v>
      </c>
      <c r="E256" s="329">
        <v>-101197.99673000006</v>
      </c>
      <c r="F256" s="157"/>
      <c r="G256" s="330">
        <v>614000</v>
      </c>
      <c r="H256" s="329">
        <v>-101197.99673000006</v>
      </c>
      <c r="I256" s="157"/>
      <c r="J256" s="330">
        <v>614000</v>
      </c>
      <c r="K256" s="329">
        <v>-101197.99673000006</v>
      </c>
      <c r="L256" s="157"/>
      <c r="M256" s="360">
        <f t="shared" si="30"/>
        <v>614000</v>
      </c>
      <c r="N256" s="237">
        <f t="shared" si="31"/>
        <v>-101197.99673000006</v>
      </c>
      <c r="O256" s="361"/>
      <c r="P256" s="361"/>
      <c r="Q256" s="361" t="s">
        <v>698</v>
      </c>
      <c r="R256" s="362">
        <f>IF(Q256="ekrk",INDEX(indexy_SDcast!$A:$C,MATCH($M256,indexy_SDcast!$A:$A,0),2),"")</f>
        <v>39</v>
      </c>
      <c r="S256" s="236"/>
      <c r="T256" s="364">
        <f t="shared" si="32"/>
        <v>614000</v>
      </c>
      <c r="U256" s="365">
        <f t="shared" si="33"/>
        <v>-101197.99673000006</v>
      </c>
      <c r="V256" s="365">
        <f>IF($Q256="ekrk",IF($R256="data",IFERROR(INDEX(data!$A:$ALL,MATCH($M256,data!$A:$A,0),MATCH(V$2,data!$1:$1,0)),"#data"),IFERROR(U256*INDEX(indexy_SDcast!$A:$ALI,MATCH($R256,indexy_SDcast!$K:$K,0),MATCH(V$2,indexy_SDcast!$2:$2,0)),"#ekrk")),"#popis")</f>
        <v>-104131.36239738199</v>
      </c>
      <c r="W256" s="365">
        <f>IF($Q256="ekrk",IF($R256="data",IFERROR(INDEX(data!$A:$ALL,MATCH($M256,data!$A:$A,0),MATCH(W$2,data!$1:$1,0)),"#data"),IFERROR(V256*INDEX(indexy_SDcast!$A:$ALI,MATCH($R256,indexy_SDcast!$K:$K,0),MATCH(W$2,indexy_SDcast!$2:$2,0)),"#ekrk")),"#popis")</f>
        <v>-107981.83393426129</v>
      </c>
      <c r="X256" s="365">
        <f>IF($Q256="ekrk",IF($R256="data",IFERROR(INDEX(data!$A:$ALL,MATCH($M256,data!$A:$A,0),MATCH(X$2,data!$1:$1,0)),"#data"),IFERROR(W256*INDEX(indexy_SDcast!$A:$ALI,MATCH($R256,indexy_SDcast!$K:$K,0),MATCH(X$2,indexy_SDcast!$2:$2,0)),"#ekrk")),"#popis")</f>
        <v>-112596.25652246833</v>
      </c>
      <c r="Y256" s="362">
        <f>IF($Q256="ekrk",IF($R256="data",IFERROR(INDEX(data!$A:$ALL,MATCH($M256,data!$A:$A,0),MATCH(Y$2,data!$1:$1,0)),"#data"),IFERROR(X256*INDEX(indexy_SDcast!$A:$ALI,MATCH($R256,indexy_SDcast!$K:$K,0),MATCH(Y$2,indexy_SDcast!$2:$2,0)),"#ekrk")),"#popis")</f>
        <v>-117786.31470454972</v>
      </c>
    </row>
    <row r="257" spans="1:44" x14ac:dyDescent="0.25">
      <c r="A257" s="330">
        <v>615000</v>
      </c>
      <c r="B257" s="329">
        <v>-205.83435</v>
      </c>
      <c r="C257" s="157"/>
      <c r="D257" s="330">
        <v>615000</v>
      </c>
      <c r="E257" s="329">
        <v>-205.83435</v>
      </c>
      <c r="F257" s="157"/>
      <c r="G257" s="330">
        <v>615000</v>
      </c>
      <c r="H257" s="329">
        <v>-205.83435</v>
      </c>
      <c r="I257" s="157"/>
      <c r="J257" s="330">
        <v>615000</v>
      </c>
      <c r="K257" s="329">
        <v>-205.83435</v>
      </c>
      <c r="L257" s="157"/>
      <c r="M257" s="360">
        <f t="shared" si="30"/>
        <v>615000</v>
      </c>
      <c r="N257" s="237">
        <f t="shared" si="31"/>
        <v>-205.83435</v>
      </c>
      <c r="O257" s="361"/>
      <c r="P257" s="361"/>
      <c r="Q257" s="361" t="s">
        <v>698</v>
      </c>
      <c r="R257" s="362">
        <f>IF(Q257="ekrk",INDEX(indexy_SDcast!$A:$C,MATCH($M257,indexy_SDcast!$A:$A,0),2),"")</f>
        <v>39</v>
      </c>
      <c r="S257" s="236"/>
      <c r="T257" s="364">
        <f t="shared" si="32"/>
        <v>615000</v>
      </c>
      <c r="U257" s="365">
        <f t="shared" si="33"/>
        <v>-205.83435</v>
      </c>
      <c r="V257" s="365">
        <f>IF($Q257="ekrk",IF($R257="data",IFERROR(INDEX(data!$A:$ALL,MATCH($M257,data!$A:$A,0),MATCH(V$2,data!$1:$1,0)),"#data"),IFERROR(U257*INDEX(indexy_SDcast!$A:$ALI,MATCH($R257,indexy_SDcast!$K:$K,0),MATCH(V$2,indexy_SDcast!$2:$2,0)),"#ekrk")),"#popis")</f>
        <v>-211.80074691464253</v>
      </c>
      <c r="W257" s="365">
        <f>IF($Q257="ekrk",IF($R257="data",IFERROR(INDEX(data!$A:$ALL,MATCH($M257,data!$A:$A,0),MATCH(W$2,data!$1:$1,0)),"#data"),IFERROR(V257*INDEX(indexy_SDcast!$A:$ALI,MATCH($R257,indexy_SDcast!$K:$K,0),MATCH(W$2,indexy_SDcast!$2:$2,0)),"#ekrk")),"#popis")</f>
        <v>-219.63251564126691</v>
      </c>
      <c r="X257" s="365">
        <f>IF($Q257="ekrk",IF($R257="data",IFERROR(INDEX(data!$A:$ALL,MATCH($M257,data!$A:$A,0),MATCH(X$2,data!$1:$1,0)),"#data"),IFERROR(W257*INDEX(indexy_SDcast!$A:$ALI,MATCH($R257,indexy_SDcast!$K:$K,0),MATCH(X$2,indexy_SDcast!$2:$2,0)),"#ekrk")),"#popis")</f>
        <v>-229.01814287461059</v>
      </c>
      <c r="Y257" s="362">
        <f>IF($Q257="ekrk",IF($R257="data",IFERROR(INDEX(data!$A:$ALL,MATCH($M257,data!$A:$A,0),MATCH(Y$2,data!$1:$1,0)),"#data"),IFERROR(X257*INDEX(indexy_SDcast!$A:$ALI,MATCH($R257,indexy_SDcast!$K:$K,0),MATCH(Y$2,indexy_SDcast!$2:$2,0)),"#ekrk")),"#popis")</f>
        <v>-239.57459939440858</v>
      </c>
    </row>
    <row r="258" spans="1:44" x14ac:dyDescent="0.25">
      <c r="A258" s="330">
        <v>616000</v>
      </c>
      <c r="B258" s="329">
        <v>-840.72973999999965</v>
      </c>
      <c r="C258" s="157"/>
      <c r="D258" s="330">
        <v>616000</v>
      </c>
      <c r="E258" s="329">
        <v>-840.72973999999965</v>
      </c>
      <c r="F258" s="157"/>
      <c r="G258" s="330">
        <v>616000</v>
      </c>
      <c r="H258" s="329">
        <v>-840.72973999999965</v>
      </c>
      <c r="I258" s="157"/>
      <c r="J258" s="330">
        <v>616000</v>
      </c>
      <c r="K258" s="329">
        <v>-840.72973999999965</v>
      </c>
      <c r="L258" s="157"/>
      <c r="M258" s="360">
        <f t="shared" si="30"/>
        <v>616000</v>
      </c>
      <c r="N258" s="237">
        <f t="shared" si="31"/>
        <v>-840.72973999999965</v>
      </c>
      <c r="O258" s="361"/>
      <c r="P258" s="361"/>
      <c r="Q258" s="361" t="s">
        <v>698</v>
      </c>
      <c r="R258" s="362">
        <f>IF(Q258="ekrk",INDEX(indexy_SDcast!$A:$C,MATCH($M258,indexy_SDcast!$A:$A,0),2),"")</f>
        <v>39</v>
      </c>
      <c r="S258" s="236"/>
      <c r="T258" s="364">
        <f t="shared" si="32"/>
        <v>616000</v>
      </c>
      <c r="U258" s="365">
        <f t="shared" si="33"/>
        <v>-840.72973999999965</v>
      </c>
      <c r="V258" s="365">
        <f>IF($Q258="ekrk",IF($R258="data",IFERROR(INDEX(data!$A:$ALL,MATCH($M258,data!$A:$A,0),MATCH(V$2,data!$1:$1,0)),"#data"),IFERROR(U258*INDEX(indexy_SDcast!$A:$ALI,MATCH($R258,indexy_SDcast!$K:$K,0),MATCH(V$2,indexy_SDcast!$2:$2,0)),"#ekrk")),"#popis")</f>
        <v>-865.09946899219267</v>
      </c>
      <c r="W258" s="365">
        <f>IF($Q258="ekrk",IF($R258="data",IFERROR(INDEX(data!$A:$ALL,MATCH($M258,data!$A:$A,0),MATCH(W$2,data!$1:$1,0)),"#data"),IFERROR(V258*INDEX(indexy_SDcast!$A:$ALI,MATCH($R258,indexy_SDcast!$K:$K,0),MATCH(W$2,indexy_SDcast!$2:$2,0)),"#ekrk")),"#popis")</f>
        <v>-897.088303145846</v>
      </c>
      <c r="X258" s="365">
        <f>IF($Q258="ekrk",IF($R258="data",IFERROR(INDEX(data!$A:$ALL,MATCH($M258,data!$A:$A,0),MATCH(X$2,data!$1:$1,0)),"#data"),IFERROR(W258*INDEX(indexy_SDcast!$A:$ALI,MATCH($R258,indexy_SDcast!$K:$K,0),MATCH(X$2,indexy_SDcast!$2:$2,0)),"#ekrk")),"#popis")</f>
        <v>-935.4238673683675</v>
      </c>
      <c r="Y258" s="362">
        <f>IF($Q258="ekrk",IF($R258="data",IFERROR(INDEX(data!$A:$ALL,MATCH($M258,data!$A:$A,0),MATCH(Y$2,data!$1:$1,0)),"#data"),IFERROR(X258*INDEX(indexy_SDcast!$A:$ALI,MATCH($R258,indexy_SDcast!$K:$K,0),MATCH(Y$2,indexy_SDcast!$2:$2,0)),"#ekrk")),"#popis")</f>
        <v>-978.54168004254484</v>
      </c>
    </row>
    <row r="259" spans="1:44" x14ac:dyDescent="0.25">
      <c r="A259" s="330">
        <v>631001</v>
      </c>
      <c r="B259" s="329">
        <v>-918.96541999999977</v>
      </c>
      <c r="C259" s="157"/>
      <c r="D259" s="330">
        <v>631001</v>
      </c>
      <c r="E259" s="329">
        <v>-918.96541999999977</v>
      </c>
      <c r="F259" s="157"/>
      <c r="G259" s="330">
        <v>631001</v>
      </c>
      <c r="H259" s="329">
        <v>-918.96541999999977</v>
      </c>
      <c r="I259" s="157"/>
      <c r="J259" s="330">
        <v>631001</v>
      </c>
      <c r="K259" s="329">
        <v>-918.96541999999977</v>
      </c>
      <c r="L259" s="157"/>
      <c r="M259" s="360">
        <f t="shared" si="30"/>
        <v>631001</v>
      </c>
      <c r="N259" s="237">
        <f t="shared" si="31"/>
        <v>-918.96541999999977</v>
      </c>
      <c r="O259" s="361"/>
      <c r="P259" s="361"/>
      <c r="Q259" s="361" t="s">
        <v>698</v>
      </c>
      <c r="R259" s="362">
        <f>IF(Q259="ekrk",INDEX(indexy_SDcast!$A:$C,MATCH($M259,indexy_SDcast!$A:$A,0),2),"")</f>
        <v>25</v>
      </c>
      <c r="S259" s="236"/>
      <c r="T259" s="364">
        <f t="shared" si="32"/>
        <v>631001</v>
      </c>
      <c r="U259" s="365">
        <f t="shared" si="33"/>
        <v>-918.96541999999977</v>
      </c>
      <c r="V259" s="365">
        <f>IF($Q259="ekrk",IF($R259="data",IFERROR(INDEX(data!$A:$ALL,MATCH($M259,data!$A:$A,0),MATCH(V$2,data!$1:$1,0)),"#data"),IFERROR(U259*INDEX(indexy_SDcast!$A:$ALI,MATCH($R259,indexy_SDcast!$K:$K,0),MATCH(V$2,indexy_SDcast!$2:$2,0)),"#ekrk")),"#popis")</f>
        <v>-925.90130645532372</v>
      </c>
      <c r="W259" s="365">
        <f>IF($Q259="ekrk",IF($R259="data",IFERROR(INDEX(data!$A:$ALL,MATCH($M259,data!$A:$A,0),MATCH(W$2,data!$1:$1,0)),"#data"),IFERROR(V259*INDEX(indexy_SDcast!$A:$ALI,MATCH($R259,indexy_SDcast!$K:$K,0),MATCH(W$2,indexy_SDcast!$2:$2,0)),"#ekrk")),"#popis")</f>
        <v>-945.11341634575342</v>
      </c>
      <c r="X259" s="365">
        <f>IF($Q259="ekrk",IF($R259="data",IFERROR(INDEX(data!$A:$ALL,MATCH($M259,data!$A:$A,0),MATCH(X$2,data!$1:$1,0)),"#data"),IFERROR(W259*INDEX(indexy_SDcast!$A:$ALI,MATCH($R259,indexy_SDcast!$K:$K,0),MATCH(X$2,indexy_SDcast!$2:$2,0)),"#ekrk")),"#popis")</f>
        <v>-966.6124889747864</v>
      </c>
      <c r="Y259" s="362">
        <f>IF($Q259="ekrk",IF($R259="data",IFERROR(INDEX(data!$A:$ALL,MATCH($M259,data!$A:$A,0),MATCH(Y$2,data!$1:$1,0)),"#data"),IFERROR(X259*INDEX(indexy_SDcast!$A:$ALI,MATCH($R259,indexy_SDcast!$K:$K,0),MATCH(Y$2,indexy_SDcast!$2:$2,0)),"#ekrk")),"#popis")</f>
        <v>-989.37945321504822</v>
      </c>
    </row>
    <row r="260" spans="1:44" x14ac:dyDescent="0.25">
      <c r="A260" s="330">
        <v>631002</v>
      </c>
      <c r="B260" s="329">
        <v>-1864.6068500000003</v>
      </c>
      <c r="C260" s="157"/>
      <c r="D260" s="330">
        <v>631002</v>
      </c>
      <c r="E260" s="329">
        <v>-1864.6068500000003</v>
      </c>
      <c r="F260" s="157"/>
      <c r="G260" s="330">
        <v>631002</v>
      </c>
      <c r="H260" s="329">
        <v>-1864.6068500000003</v>
      </c>
      <c r="I260" s="157"/>
      <c r="J260" s="330">
        <v>631002</v>
      </c>
      <c r="K260" s="329">
        <v>-1864.6068500000003</v>
      </c>
      <c r="L260" s="157"/>
      <c r="M260" s="360">
        <f t="shared" si="30"/>
        <v>631002</v>
      </c>
      <c r="N260" s="237">
        <f t="shared" si="31"/>
        <v>-1864.6068500000003</v>
      </c>
      <c r="O260" s="361"/>
      <c r="P260" s="361"/>
      <c r="Q260" s="361" t="s">
        <v>698</v>
      </c>
      <c r="R260" s="362">
        <f>IF(Q260="ekrk",INDEX(indexy_SDcast!$A:$C,MATCH($M260,indexy_SDcast!$A:$A,0),2),"")</f>
        <v>25</v>
      </c>
      <c r="S260" s="236"/>
      <c r="T260" s="364">
        <f t="shared" si="32"/>
        <v>631002</v>
      </c>
      <c r="U260" s="365">
        <f t="shared" si="33"/>
        <v>-1864.6068500000003</v>
      </c>
      <c r="V260" s="365">
        <f>IF($Q260="ekrk",IF($R260="data",IFERROR(INDEX(data!$A:$ALL,MATCH($M260,data!$A:$A,0),MATCH(V$2,data!$1:$1,0)),"#data"),IFERROR(U260*INDEX(indexy_SDcast!$A:$ALI,MATCH($R260,indexy_SDcast!$K:$K,0),MATCH(V$2,indexy_SDcast!$2:$2,0)),"#ekrk")),"#popis")</f>
        <v>-1878.6799599494686</v>
      </c>
      <c r="W260" s="365">
        <f>IF($Q260="ekrk",IF($R260="data",IFERROR(INDEX(data!$A:$ALL,MATCH($M260,data!$A:$A,0),MATCH(W$2,data!$1:$1,0)),"#data"),IFERROR(V260*INDEX(indexy_SDcast!$A:$ALI,MATCH($R260,indexy_SDcast!$K:$K,0),MATCH(W$2,indexy_SDcast!$2:$2,0)),"#ekrk")),"#popis")</f>
        <v>-1917.6618747473594</v>
      </c>
      <c r="X260" s="365">
        <f>IF($Q260="ekrk",IF($R260="data",IFERROR(INDEX(data!$A:$ALL,MATCH($M260,data!$A:$A,0),MATCH(X$2,data!$1:$1,0)),"#data"),IFERROR(W260*INDEX(indexy_SDcast!$A:$ALI,MATCH($R260,indexy_SDcast!$K:$K,0),MATCH(X$2,indexy_SDcast!$2:$2,0)),"#ekrk")),"#popis")</f>
        <v>-1961.284101678099</v>
      </c>
      <c r="Y260" s="362">
        <f>IF($Q260="ekrk",IF($R260="data",IFERROR(INDEX(data!$A:$ALL,MATCH($M260,data!$A:$A,0),MATCH(Y$2,data!$1:$1,0)),"#data"),IFERROR(X260*INDEX(indexy_SDcast!$A:$ALI,MATCH($R260,indexy_SDcast!$K:$K,0),MATCH(Y$2,indexy_SDcast!$2:$2,0)),"#ekrk")),"#popis")</f>
        <v>-2007.4789165777688</v>
      </c>
    </row>
    <row r="261" spans="1:44" x14ac:dyDescent="0.25">
      <c r="A261" s="330">
        <v>631003</v>
      </c>
      <c r="B261" s="329">
        <v>-6.48062</v>
      </c>
      <c r="C261" s="157"/>
      <c r="D261" s="330">
        <v>631003</v>
      </c>
      <c r="E261" s="329">
        <v>-6.48062</v>
      </c>
      <c r="F261" s="157"/>
      <c r="G261" s="330">
        <v>631003</v>
      </c>
      <c r="H261" s="329">
        <v>-6.48062</v>
      </c>
      <c r="I261" s="157"/>
      <c r="J261" s="330">
        <v>631003</v>
      </c>
      <c r="K261" s="329">
        <v>-6.48062</v>
      </c>
      <c r="L261" s="157"/>
      <c r="M261" s="360">
        <f t="shared" si="30"/>
        <v>631003</v>
      </c>
      <c r="N261" s="237">
        <f t="shared" si="31"/>
        <v>-6.48062</v>
      </c>
      <c r="O261" s="361"/>
      <c r="P261" s="361"/>
      <c r="Q261" s="361" t="s">
        <v>698</v>
      </c>
      <c r="R261" s="362">
        <f>IF(Q261="ekrk",INDEX(indexy_SDcast!$A:$C,MATCH($M261,indexy_SDcast!$A:$A,0),2),"")</f>
        <v>25</v>
      </c>
      <c r="S261" s="236"/>
      <c r="T261" s="364">
        <f t="shared" si="32"/>
        <v>631003</v>
      </c>
      <c r="U261" s="365">
        <f t="shared" si="33"/>
        <v>-6.48062</v>
      </c>
      <c r="V261" s="365">
        <f>IF($Q261="ekrk",IF($R261="data",IFERROR(INDEX(data!$A:$ALL,MATCH($M261,data!$A:$A,0),MATCH(V$2,data!$1:$1,0)),"#data"),IFERROR(U261*INDEX(indexy_SDcast!$A:$ALI,MATCH($R261,indexy_SDcast!$K:$K,0),MATCH(V$2,indexy_SDcast!$2:$2,0)),"#ekrk")),"#popis")</f>
        <v>-6.5295324438219904</v>
      </c>
      <c r="W261" s="365">
        <f>IF($Q261="ekrk",IF($R261="data",IFERROR(INDEX(data!$A:$ALL,MATCH($M261,data!$A:$A,0),MATCH(W$2,data!$1:$1,0)),"#data"),IFERROR(V261*INDEX(indexy_SDcast!$A:$ALI,MATCH($R261,indexy_SDcast!$K:$K,0),MATCH(W$2,indexy_SDcast!$2:$2,0)),"#ekrk")),"#popis")</f>
        <v>-6.6650178286780566</v>
      </c>
      <c r="X261" s="365">
        <f>IF($Q261="ekrk",IF($R261="data",IFERROR(INDEX(data!$A:$ALL,MATCH($M261,data!$A:$A,0),MATCH(X$2,data!$1:$1,0)),"#data"),IFERROR(W261*INDEX(indexy_SDcast!$A:$ALI,MATCH($R261,indexy_SDcast!$K:$K,0),MATCH(X$2,indexy_SDcast!$2:$2,0)),"#ekrk")),"#popis")</f>
        <v>-6.8166310635494662</v>
      </c>
      <c r="Y261" s="362">
        <f>IF($Q261="ekrk",IF($R261="data",IFERROR(INDEX(data!$A:$ALL,MATCH($M261,data!$A:$A,0),MATCH(Y$2,data!$1:$1,0)),"#data"),IFERROR(X261*INDEX(indexy_SDcast!$A:$ALI,MATCH($R261,indexy_SDcast!$K:$K,0),MATCH(Y$2,indexy_SDcast!$2:$2,0)),"#ekrk")),"#popis")</f>
        <v>-6.9771855747243547</v>
      </c>
    </row>
    <row r="262" spans="1:44" x14ac:dyDescent="0.25">
      <c r="A262" s="330">
        <v>631004</v>
      </c>
      <c r="B262" s="329">
        <v>-4.125869999999999</v>
      </c>
      <c r="C262" s="157"/>
      <c r="D262" s="330">
        <v>631004</v>
      </c>
      <c r="E262" s="329">
        <v>-4.125869999999999</v>
      </c>
      <c r="F262" s="157"/>
      <c r="G262" s="330">
        <v>631004</v>
      </c>
      <c r="H262" s="329">
        <v>-4.125869999999999</v>
      </c>
      <c r="I262" s="157"/>
      <c r="J262" s="330">
        <v>631004</v>
      </c>
      <c r="K262" s="329">
        <v>-4.125869999999999</v>
      </c>
      <c r="L262" s="157"/>
      <c r="M262" s="360">
        <f t="shared" si="30"/>
        <v>631004</v>
      </c>
      <c r="N262" s="237">
        <f t="shared" si="31"/>
        <v>-4.125869999999999</v>
      </c>
      <c r="O262" s="361"/>
      <c r="P262" s="361"/>
      <c r="Q262" s="361" t="s">
        <v>698</v>
      </c>
      <c r="R262" s="362">
        <f>IF(Q262="ekrk",INDEX(indexy_SDcast!$A:$C,MATCH($M262,indexy_SDcast!$A:$A,0),2),"")</f>
        <v>25</v>
      </c>
      <c r="S262" s="236"/>
      <c r="T262" s="364">
        <f t="shared" si="32"/>
        <v>631004</v>
      </c>
      <c r="U262" s="365">
        <f t="shared" si="33"/>
        <v>-4.125869999999999</v>
      </c>
      <c r="V262" s="365">
        <f>IF($Q262="ekrk",IF($R262="data",IFERROR(INDEX(data!$A:$ALL,MATCH($M262,data!$A:$A,0),MATCH(V$2,data!$1:$1,0)),"#data"),IFERROR(U262*INDEX(indexy_SDcast!$A:$ALI,MATCH($R262,indexy_SDcast!$K:$K,0),MATCH(V$2,indexy_SDcast!$2:$2,0)),"#ekrk")),"#popis")</f>
        <v>-4.1570099811425187</v>
      </c>
      <c r="W262" s="365">
        <f>IF($Q262="ekrk",IF($R262="data",IFERROR(INDEX(data!$A:$ALL,MATCH($M262,data!$A:$A,0),MATCH(W$2,data!$1:$1,0)),"#data"),IFERROR(V262*INDEX(indexy_SDcast!$A:$ALI,MATCH($R262,indexy_SDcast!$K:$K,0),MATCH(W$2,indexy_SDcast!$2:$2,0)),"#ekrk")),"#popis")</f>
        <v>-4.243266401796113</v>
      </c>
      <c r="X262" s="365">
        <f>IF($Q262="ekrk",IF($R262="data",IFERROR(INDEX(data!$A:$ALL,MATCH($M262,data!$A:$A,0),MATCH(X$2,data!$1:$1,0)),"#data"),IFERROR(W262*INDEX(indexy_SDcast!$A:$ALI,MATCH($R262,indexy_SDcast!$K:$K,0),MATCH(X$2,indexy_SDcast!$2:$2,0)),"#ekrk")),"#popis")</f>
        <v>-4.3397905765446563</v>
      </c>
      <c r="Y262" s="362">
        <f>IF($Q262="ekrk",IF($R262="data",IFERROR(INDEX(data!$A:$ALL,MATCH($M262,data!$A:$A,0),MATCH(Y$2,data!$1:$1,0)),"#data"),IFERROR(X262*INDEX(indexy_SDcast!$A:$ALI,MATCH($R262,indexy_SDcast!$K:$K,0),MATCH(Y$2,indexy_SDcast!$2:$2,0)),"#ekrk")),"#popis")</f>
        <v>-4.4420071917791768</v>
      </c>
    </row>
    <row r="263" spans="1:44" x14ac:dyDescent="0.25">
      <c r="A263" s="330">
        <v>637006</v>
      </c>
      <c r="B263" s="329">
        <v>-2021.8860899999991</v>
      </c>
      <c r="C263" s="157"/>
      <c r="D263" s="330">
        <v>637006</v>
      </c>
      <c r="E263" s="329">
        <v>-2021.8860899999991</v>
      </c>
      <c r="F263" s="157"/>
      <c r="G263" s="330">
        <v>637006</v>
      </c>
      <c r="H263" s="329">
        <v>-2021.8860899999991</v>
      </c>
      <c r="I263" s="157"/>
      <c r="J263" s="330">
        <v>637006</v>
      </c>
      <c r="K263" s="329">
        <v>-2021.8860899999991</v>
      </c>
      <c r="L263" s="157"/>
      <c r="M263" s="360">
        <f t="shared" si="30"/>
        <v>637006</v>
      </c>
      <c r="N263" s="237">
        <f t="shared" si="31"/>
        <v>-2021.8860899999991</v>
      </c>
      <c r="O263" s="361"/>
      <c r="P263" s="361"/>
      <c r="Q263" s="361" t="s">
        <v>698</v>
      </c>
      <c r="R263" s="362">
        <f>IF(Q263="ekrk",INDEX(indexy_SDcast!$A:$C,MATCH($M263,indexy_SDcast!$A:$A,0),2),"")</f>
        <v>25</v>
      </c>
      <c r="S263" s="236"/>
      <c r="T263" s="364">
        <f t="shared" si="32"/>
        <v>637006</v>
      </c>
      <c r="U263" s="365">
        <f t="shared" si="33"/>
        <v>-2021.8860899999991</v>
      </c>
      <c r="V263" s="365">
        <f>IF($Q263="ekrk",IF($R263="data",IFERROR(INDEX(data!$A:$ALL,MATCH($M263,data!$A:$A,0),MATCH(V$2,data!$1:$1,0)),"#data"),IFERROR(U263*INDEX(indexy_SDcast!$A:$ALI,MATCH($R263,indexy_SDcast!$K:$K,0),MATCH(V$2,indexy_SDcast!$2:$2,0)),"#ekrk")),"#popis")</f>
        <v>-2037.1462641487053</v>
      </c>
      <c r="W263" s="365">
        <f>IF($Q263="ekrk",IF($R263="data",IFERROR(INDEX(data!$A:$ALL,MATCH($M263,data!$A:$A,0),MATCH(W$2,data!$1:$1,0)),"#data"),IFERROR(V263*INDEX(indexy_SDcast!$A:$ALI,MATCH($R263,indexy_SDcast!$K:$K,0),MATCH(W$2,indexy_SDcast!$2:$2,0)),"#ekrk")),"#popis")</f>
        <v>-2079.4162961886609</v>
      </c>
      <c r="X263" s="365">
        <f>IF($Q263="ekrk",IF($R263="data",IFERROR(INDEX(data!$A:$ALL,MATCH($M263,data!$A:$A,0),MATCH(X$2,data!$1:$1,0)),"#data"),IFERROR(W263*INDEX(indexy_SDcast!$A:$ALI,MATCH($R263,indexy_SDcast!$K:$K,0),MATCH(X$2,indexy_SDcast!$2:$2,0)),"#ekrk")),"#popis")</f>
        <v>-2126.7180498243324</v>
      </c>
      <c r="Y263" s="362">
        <f>IF($Q263="ekrk",IF($R263="data",IFERROR(INDEX(data!$A:$ALL,MATCH($M263,data!$A:$A,0),MATCH(Y$2,data!$1:$1,0)),"#data"),IFERROR(X263*INDEX(indexy_SDcast!$A:$ALI,MATCH($R263,indexy_SDcast!$K:$K,0),MATCH(Y$2,indexy_SDcast!$2:$2,0)),"#ekrk")),"#popis")</f>
        <v>-2176.8093887442592</v>
      </c>
    </row>
    <row r="264" spans="1:44" x14ac:dyDescent="0.25">
      <c r="A264" s="330">
        <v>637007</v>
      </c>
      <c r="B264" s="329">
        <v>-4041.8572099999997</v>
      </c>
      <c r="C264" s="157"/>
      <c r="D264" s="330">
        <v>637007</v>
      </c>
      <c r="E264" s="329">
        <v>-4041.8572099999997</v>
      </c>
      <c r="F264" s="157"/>
      <c r="G264" s="330">
        <v>637007</v>
      </c>
      <c r="H264" s="329">
        <v>-4041.8572099999997</v>
      </c>
      <c r="I264" s="157"/>
      <c r="J264" s="330">
        <v>637007</v>
      </c>
      <c r="K264" s="329">
        <v>-4041.8572099999997</v>
      </c>
      <c r="L264" s="157"/>
      <c r="M264" s="360">
        <f t="shared" si="30"/>
        <v>637007</v>
      </c>
      <c r="N264" s="237">
        <f t="shared" si="31"/>
        <v>-4041.8572099999997</v>
      </c>
      <c r="O264" s="361"/>
      <c r="P264" s="361"/>
      <c r="Q264" s="361" t="s">
        <v>698</v>
      </c>
      <c r="R264" s="362">
        <f>IF(Q264="ekrk",INDEX(indexy_SDcast!$A:$C,MATCH($M264,indexy_SDcast!$A:$A,0),2),"")</f>
        <v>25</v>
      </c>
      <c r="S264" s="236"/>
      <c r="T264" s="364">
        <f t="shared" si="32"/>
        <v>637007</v>
      </c>
      <c r="U264" s="365">
        <f t="shared" si="33"/>
        <v>-4041.8572099999997</v>
      </c>
      <c r="V264" s="365">
        <f>IF($Q264="ekrk",IF($R264="data",IFERROR(INDEX(data!$A:$ALL,MATCH($M264,data!$A:$A,0),MATCH(V$2,data!$1:$1,0)),"#data"),IFERROR(U264*INDEX(indexy_SDcast!$A:$ALI,MATCH($R264,indexy_SDcast!$K:$K,0),MATCH(V$2,indexy_SDcast!$2:$2,0)),"#ekrk")),"#popis")</f>
        <v>-4072.363105071865</v>
      </c>
      <c r="W264" s="365">
        <f>IF($Q264="ekrk",IF($R264="data",IFERROR(INDEX(data!$A:$ALL,MATCH($M264,data!$A:$A,0),MATCH(W$2,data!$1:$1,0)),"#data"),IFERROR(V264*INDEX(indexy_SDcast!$A:$ALI,MATCH($R264,indexy_SDcast!$K:$K,0),MATCH(W$2,indexy_SDcast!$2:$2,0)),"#ekrk")),"#popis")</f>
        <v>-4156.8631343329716</v>
      </c>
      <c r="X264" s="365">
        <f>IF($Q264="ekrk",IF($R264="data",IFERROR(INDEX(data!$A:$ALL,MATCH($M264,data!$A:$A,0),MATCH(X$2,data!$1:$1,0)),"#data"),IFERROR(W264*INDEX(indexy_SDcast!$A:$ALI,MATCH($R264,indexy_SDcast!$K:$K,0),MATCH(X$2,indexy_SDcast!$2:$2,0)),"#ekrk")),"#popis")</f>
        <v>-4251.4218411382508</v>
      </c>
      <c r="Y264" s="362">
        <f>IF($Q264="ekrk",IF($R264="data",IFERROR(INDEX(data!$A:$ALL,MATCH($M264,data!$A:$A,0),MATCH(Y$2,data!$1:$1,0)),"#data"),IFERROR(X264*INDEX(indexy_SDcast!$A:$ALI,MATCH($R264,indexy_SDcast!$K:$K,0),MATCH(Y$2,indexy_SDcast!$2:$2,0)),"#ekrk")),"#popis")</f>
        <v>-4351.5570764383065</v>
      </c>
    </row>
    <row r="265" spans="1:44" x14ac:dyDescent="0.25">
      <c r="A265" s="330">
        <v>637009</v>
      </c>
      <c r="B265" s="329">
        <v>-126.83921000000004</v>
      </c>
      <c r="C265" s="157"/>
      <c r="D265" s="330">
        <v>637009</v>
      </c>
      <c r="E265" s="329">
        <v>-126.83921000000004</v>
      </c>
      <c r="F265" s="157"/>
      <c r="G265" s="330">
        <v>637009</v>
      </c>
      <c r="H265" s="329">
        <v>-126.83921000000004</v>
      </c>
      <c r="I265" s="157"/>
      <c r="J265" s="330">
        <v>637009</v>
      </c>
      <c r="K265" s="329">
        <v>-126.83921000000004</v>
      </c>
      <c r="L265" s="157"/>
      <c r="M265" s="360">
        <f t="shared" si="30"/>
        <v>637009</v>
      </c>
      <c r="N265" s="237">
        <f t="shared" si="31"/>
        <v>-126.83921000000004</v>
      </c>
      <c r="O265" s="361"/>
      <c r="P265" s="361"/>
      <c r="Q265" s="361" t="s">
        <v>698</v>
      </c>
      <c r="R265" s="362">
        <f>IF(Q265="ekrk",INDEX(indexy_SDcast!$A:$C,MATCH($M265,indexy_SDcast!$A:$A,0),2),"")</f>
        <v>39</v>
      </c>
      <c r="S265" s="236"/>
      <c r="T265" s="364">
        <f t="shared" si="32"/>
        <v>637009</v>
      </c>
      <c r="U265" s="365">
        <f t="shared" si="33"/>
        <v>-126.83921000000004</v>
      </c>
      <c r="V265" s="365">
        <f>IF($Q265="ekrk",IF($R265="data",IFERROR(INDEX(data!$A:$ALL,MATCH($M265,data!$A:$A,0),MATCH(V$2,data!$1:$1,0)),"#data"),IFERROR(U265*INDEX(indexy_SDcast!$A:$ALI,MATCH($R265,indexy_SDcast!$K:$K,0),MATCH(V$2,indexy_SDcast!$2:$2,0)),"#ekrk")),"#popis")</f>
        <v>-130.51582214563896</v>
      </c>
      <c r="W265" s="365">
        <f>IF($Q265="ekrk",IF($R265="data",IFERROR(INDEX(data!$A:$ALL,MATCH($M265,data!$A:$A,0),MATCH(W$2,data!$1:$1,0)),"#data"),IFERROR(V265*INDEX(indexy_SDcast!$A:$ALI,MATCH($R265,indexy_SDcast!$K:$K,0),MATCH(W$2,indexy_SDcast!$2:$2,0)),"#ekrk")),"#popis")</f>
        <v>-135.34191340877237</v>
      </c>
      <c r="X265" s="365">
        <f>IF($Q265="ekrk",IF($R265="data",IFERROR(INDEX(data!$A:$ALL,MATCH($M265,data!$A:$A,0),MATCH(X$2,data!$1:$1,0)),"#data"),IFERROR(W265*INDEX(indexy_SDcast!$A:$ALI,MATCH($R265,indexy_SDcast!$K:$K,0),MATCH(X$2,indexy_SDcast!$2:$2,0)),"#ekrk")),"#popis")</f>
        <v>-141.12552311061174</v>
      </c>
      <c r="Y265" s="362">
        <f>IF($Q265="ekrk",IF($R265="data",IFERROR(INDEX(data!$A:$ALL,MATCH($M265,data!$A:$A,0),MATCH(Y$2,data!$1:$1,0)),"#data"),IFERROR(X265*INDEX(indexy_SDcast!$A:$ALI,MATCH($R265,indexy_SDcast!$K:$K,0),MATCH(Y$2,indexy_SDcast!$2:$2,0)),"#ekrk")),"#popis")</f>
        <v>-147.63062104674594</v>
      </c>
    </row>
    <row r="266" spans="1:44" x14ac:dyDescent="0.25">
      <c r="A266" s="330">
        <v>637013</v>
      </c>
      <c r="B266" s="329">
        <v>-31.567209999999996</v>
      </c>
      <c r="C266" s="157"/>
      <c r="D266" s="330">
        <v>637013</v>
      </c>
      <c r="E266" s="329">
        <v>-31.567209999999996</v>
      </c>
      <c r="F266" s="157"/>
      <c r="G266" s="330">
        <v>637013</v>
      </c>
      <c r="H266" s="329">
        <v>-31.567209999999996</v>
      </c>
      <c r="I266" s="157"/>
      <c r="J266" s="330">
        <v>637013</v>
      </c>
      <c r="K266" s="329">
        <v>-31.567209999999996</v>
      </c>
      <c r="L266" s="157"/>
      <c r="M266" s="360">
        <f t="shared" si="30"/>
        <v>637013</v>
      </c>
      <c r="N266" s="237">
        <f t="shared" si="31"/>
        <v>-31.567209999999996</v>
      </c>
      <c r="O266" s="361"/>
      <c r="P266" s="361"/>
      <c r="Q266" s="361" t="s">
        <v>698</v>
      </c>
      <c r="R266" s="362">
        <f>IF(Q266="ekrk",INDEX(indexy_SDcast!$A:$C,MATCH($M266,indexy_SDcast!$A:$A,0),2),"")</f>
        <v>39</v>
      </c>
      <c r="S266" s="236"/>
      <c r="T266" s="364">
        <f t="shared" si="32"/>
        <v>637013</v>
      </c>
      <c r="U266" s="365">
        <f t="shared" si="33"/>
        <v>-31.567209999999996</v>
      </c>
      <c r="V266" s="365">
        <f>IF($Q266="ekrk",IF($R266="data",IFERROR(INDEX(data!$A:$ALL,MATCH($M266,data!$A:$A,0),MATCH(V$2,data!$1:$1,0)),"#data"),IFERROR(U266*INDEX(indexy_SDcast!$A:$ALI,MATCH($R266,indexy_SDcast!$K:$K,0),MATCH(V$2,indexy_SDcast!$2:$2,0)),"#ekrk")),"#popis")</f>
        <v>-32.482229793090276</v>
      </c>
      <c r="W266" s="365">
        <f>IF($Q266="ekrk",IF($R266="data",IFERROR(INDEX(data!$A:$ALL,MATCH($M266,data!$A:$A,0),MATCH(W$2,data!$1:$1,0)),"#data"),IFERROR(V266*INDEX(indexy_SDcast!$A:$ALI,MATCH($R266,indexy_SDcast!$K:$K,0),MATCH(W$2,indexy_SDcast!$2:$2,0)),"#ekrk")),"#popis")</f>
        <v>-33.683327122397969</v>
      </c>
      <c r="X266" s="365">
        <f>IF($Q266="ekrk",IF($R266="data",IFERROR(INDEX(data!$A:$ALL,MATCH($M266,data!$A:$A,0),MATCH(X$2,data!$1:$1,0)),"#data"),IFERROR(W266*INDEX(indexy_SDcast!$A:$ALI,MATCH($R266,indexy_SDcast!$K:$K,0),MATCH(X$2,indexy_SDcast!$2:$2,0)),"#ekrk")),"#popis")</f>
        <v>-35.122727620209339</v>
      </c>
      <c r="Y266" s="362">
        <f>IF($Q266="ekrk",IF($R266="data",IFERROR(INDEX(data!$A:$ALL,MATCH($M266,data!$A:$A,0),MATCH(Y$2,data!$1:$1,0)),"#data"),IFERROR(X266*INDEX(indexy_SDcast!$A:$ALI,MATCH($R266,indexy_SDcast!$K:$K,0),MATCH(Y$2,indexy_SDcast!$2:$2,0)),"#ekrk")),"#popis")</f>
        <v>-36.741689080317101</v>
      </c>
    </row>
    <row r="267" spans="1:44" x14ac:dyDescent="0.25">
      <c r="A267" s="330">
        <v>637014</v>
      </c>
      <c r="B267" s="329">
        <v>-36506.99793000002</v>
      </c>
      <c r="C267" s="157"/>
      <c r="D267" s="330">
        <v>637014</v>
      </c>
      <c r="E267" s="329">
        <v>-36506.99793000002</v>
      </c>
      <c r="F267" s="157"/>
      <c r="G267" s="330">
        <v>637014</v>
      </c>
      <c r="H267" s="329">
        <v>-36506.99793000002</v>
      </c>
      <c r="I267" s="157"/>
      <c r="J267" s="330">
        <v>637014</v>
      </c>
      <c r="K267" s="329">
        <v>-36506.99793000002</v>
      </c>
      <c r="L267" s="157"/>
      <c r="M267" s="360">
        <f t="shared" si="30"/>
        <v>637014</v>
      </c>
      <c r="N267" s="237">
        <f t="shared" si="31"/>
        <v>-36506.99793000002</v>
      </c>
      <c r="O267" s="361"/>
      <c r="P267" s="361"/>
      <c r="Q267" s="361" t="s">
        <v>698</v>
      </c>
      <c r="R267" s="362">
        <f>IF(Q267="ekrk",INDEX(indexy_SDcast!$A:$C,MATCH($M267,indexy_SDcast!$A:$A,0),2),"")</f>
        <v>25</v>
      </c>
      <c r="S267" s="236"/>
      <c r="T267" s="364">
        <f t="shared" si="32"/>
        <v>637014</v>
      </c>
      <c r="U267" s="365">
        <f t="shared" si="33"/>
        <v>-36506.99793000002</v>
      </c>
      <c r="V267" s="365">
        <f>IF($Q267="ekrk",IF($R267="data",IFERROR(INDEX(data!$A:$ALL,MATCH($M267,data!$A:$A,0),MATCH(V$2,data!$1:$1,0)),"#data"),IFERROR(U267*INDEX(indexy_SDcast!$A:$ALI,MATCH($R267,indexy_SDcast!$K:$K,0),MATCH(V$2,indexy_SDcast!$2:$2,0)),"#ekrk")),"#popis")</f>
        <v>-36782.534296174963</v>
      </c>
      <c r="W267" s="365">
        <f>IF($Q267="ekrk",IF($R267="data",IFERROR(INDEX(data!$A:$ALL,MATCH($M267,data!$A:$A,0),MATCH(W$2,data!$1:$1,0)),"#data"),IFERROR(V267*INDEX(indexy_SDcast!$A:$ALI,MATCH($R267,indexy_SDcast!$K:$K,0),MATCH(W$2,indexy_SDcast!$2:$2,0)),"#ekrk")),"#popis")</f>
        <v>-37545.75828778158</v>
      </c>
      <c r="X267" s="365">
        <f>IF($Q267="ekrk",IF($R267="data",IFERROR(INDEX(data!$A:$ALL,MATCH($M267,data!$A:$A,0),MATCH(X$2,data!$1:$1,0)),"#data"),IFERROR(W267*INDEX(indexy_SDcast!$A:$ALI,MATCH($R267,indexy_SDcast!$K:$K,0),MATCH(X$2,indexy_SDcast!$2:$2,0)),"#ekrk")),"#popis")</f>
        <v>-38399.834603259289</v>
      </c>
      <c r="Y267" s="362">
        <f>IF($Q267="ekrk",IF($R267="data",IFERROR(INDEX(data!$A:$ALL,MATCH($M267,data!$A:$A,0),MATCH(Y$2,data!$1:$1,0)),"#data"),IFERROR(X267*INDEX(indexy_SDcast!$A:$ALI,MATCH($R267,indexy_SDcast!$K:$K,0),MATCH(Y$2,indexy_SDcast!$2:$2,0)),"#ekrk")),"#popis")</f>
        <v>-39304.279425994428</v>
      </c>
    </row>
    <row r="268" spans="1:44" x14ac:dyDescent="0.25">
      <c r="A268" s="330">
        <v>637026</v>
      </c>
      <c r="B268" s="329">
        <v>-660.14992999999993</v>
      </c>
      <c r="C268" s="157"/>
      <c r="D268" s="330">
        <v>637026</v>
      </c>
      <c r="E268" s="329">
        <v>-660.14992999999993</v>
      </c>
      <c r="F268" s="157"/>
      <c r="G268" s="330">
        <v>637026</v>
      </c>
      <c r="H268" s="329">
        <v>-660.14992999999993</v>
      </c>
      <c r="I268" s="157"/>
      <c r="J268" s="330">
        <v>637026</v>
      </c>
      <c r="K268" s="329">
        <v>-660.14992999999993</v>
      </c>
      <c r="L268" s="157"/>
      <c r="M268" s="360">
        <f t="shared" si="30"/>
        <v>637026</v>
      </c>
      <c r="N268" s="237">
        <f t="shared" si="31"/>
        <v>-660.14992999999993</v>
      </c>
      <c r="O268" s="361"/>
      <c r="P268" s="361"/>
      <c r="Q268" s="361" t="s">
        <v>698</v>
      </c>
      <c r="R268" s="362">
        <f>IF(Q268="ekrk",INDEX(indexy_SDcast!$A:$C,MATCH($M268,indexy_SDcast!$A:$A,0),2),"")</f>
        <v>39</v>
      </c>
      <c r="S268" s="236"/>
      <c r="T268" s="364">
        <f t="shared" si="32"/>
        <v>637026</v>
      </c>
      <c r="U268" s="365">
        <f t="shared" si="33"/>
        <v>-660.14992999999993</v>
      </c>
      <c r="V268" s="365">
        <f>IF($Q268="ekrk",IF($R268="data",IFERROR(INDEX(data!$A:$ALL,MATCH($M268,data!$A:$A,0),MATCH(V$2,data!$1:$1,0)),"#data"),IFERROR(U268*INDEX(indexy_SDcast!$A:$ALI,MATCH($R268,indexy_SDcast!$K:$K,0),MATCH(V$2,indexy_SDcast!$2:$2,0)),"#ekrk")),"#popis")</f>
        <v>-679.28530028952389</v>
      </c>
      <c r="W268" s="365">
        <f>IF($Q268="ekrk",IF($R268="data",IFERROR(INDEX(data!$A:$ALL,MATCH($M268,data!$A:$A,0),MATCH(W$2,data!$1:$1,0)),"#data"),IFERROR(V268*INDEX(indexy_SDcast!$A:$ALI,MATCH($R268,indexy_SDcast!$K:$K,0),MATCH(W$2,indexy_SDcast!$2:$2,0)),"#ekrk")),"#popis")</f>
        <v>-704.40327295374277</v>
      </c>
      <c r="X268" s="365">
        <f>IF($Q268="ekrk",IF($R268="data",IFERROR(INDEX(data!$A:$ALL,MATCH($M268,data!$A:$A,0),MATCH(X$2,data!$1:$1,0)),"#data"),IFERROR(W268*INDEX(indexy_SDcast!$A:$ALI,MATCH($R268,indexy_SDcast!$K:$K,0),MATCH(X$2,indexy_SDcast!$2:$2,0)),"#ekrk")),"#popis")</f>
        <v>-734.50476554279771</v>
      </c>
      <c r="Y268" s="362">
        <f>IF($Q268="ekrk",IF($R268="data",IFERROR(INDEX(data!$A:$ALL,MATCH($M268,data!$A:$A,0),MATCH(Y$2,data!$1:$1,0)),"#data"),IFERROR(X268*INDEX(indexy_SDcast!$A:$ALI,MATCH($R268,indexy_SDcast!$K:$K,0),MATCH(Y$2,indexy_SDcast!$2:$2,0)),"#ekrk")),"#popis")</f>
        <v>-768.36133045819054</v>
      </c>
    </row>
    <row r="269" spans="1:44" x14ac:dyDescent="0.25">
      <c r="A269" s="330">
        <v>637027</v>
      </c>
      <c r="B269" s="329">
        <v>-28676.112010000023</v>
      </c>
      <c r="C269" s="157"/>
      <c r="D269" s="330">
        <v>637027</v>
      </c>
      <c r="E269" s="329">
        <v>-28676.112010000023</v>
      </c>
      <c r="F269" s="157"/>
      <c r="G269" s="330">
        <v>637027</v>
      </c>
      <c r="H269" s="329">
        <v>-28676.112010000023</v>
      </c>
      <c r="I269" s="157"/>
      <c r="J269" s="330">
        <v>637027</v>
      </c>
      <c r="K269" s="329">
        <v>-28676.112010000023</v>
      </c>
      <c r="L269" s="157"/>
      <c r="M269" s="360">
        <f t="shared" si="30"/>
        <v>637027</v>
      </c>
      <c r="N269" s="237">
        <f t="shared" si="31"/>
        <v>-28676.112010000023</v>
      </c>
      <c r="O269" s="361"/>
      <c r="P269" s="361"/>
      <c r="Q269" s="361" t="s">
        <v>698</v>
      </c>
      <c r="R269" s="362">
        <f>IF(Q269="ekrk",INDEX(indexy_SDcast!$A:$C,MATCH($M269,indexy_SDcast!$A:$A,0),2),"")</f>
        <v>39</v>
      </c>
      <c r="S269" s="236"/>
      <c r="T269" s="364">
        <f t="shared" si="32"/>
        <v>637027</v>
      </c>
      <c r="U269" s="365">
        <f t="shared" si="33"/>
        <v>-28676.112010000023</v>
      </c>
      <c r="V269" s="365">
        <f>IF($Q269="ekrk",IF($R269="data",IFERROR(INDEX(data!$A:$ALL,MATCH($M269,data!$A:$A,0),MATCH(V$2,data!$1:$1,0)),"#data"),IFERROR(U269*INDEX(indexy_SDcast!$A:$ALI,MATCH($R269,indexy_SDcast!$K:$K,0),MATCH(V$2,indexy_SDcast!$2:$2,0)),"#ekrk")),"#popis")</f>
        <v>-29507.329278742618</v>
      </c>
      <c r="W269" s="365">
        <f>IF($Q269="ekrk",IF($R269="data",IFERROR(INDEX(data!$A:$ALL,MATCH($M269,data!$A:$A,0),MATCH(W$2,data!$1:$1,0)),"#data"),IFERROR(V269*INDEX(indexy_SDcast!$A:$ALI,MATCH($R269,indexy_SDcast!$K:$K,0),MATCH(W$2,indexy_SDcast!$2:$2,0)),"#ekrk")),"#popis")</f>
        <v>-30598.423536047561</v>
      </c>
      <c r="X269" s="365">
        <f>IF($Q269="ekrk",IF($R269="data",IFERROR(INDEX(data!$A:$ALL,MATCH($M269,data!$A:$A,0),MATCH(X$2,data!$1:$1,0)),"#data"),IFERROR(W269*INDEX(indexy_SDcast!$A:$ALI,MATCH($R269,indexy_SDcast!$K:$K,0),MATCH(X$2,indexy_SDcast!$2:$2,0)),"#ekrk")),"#popis")</f>
        <v>-31905.995852463508</v>
      </c>
      <c r="Y269" s="362">
        <f>IF($Q269="ekrk",IF($R269="data",IFERROR(INDEX(data!$A:$ALL,MATCH($M269,data!$A:$A,0),MATCH(Y$2,data!$1:$1,0)),"#data"),IFERROR(X269*INDEX(indexy_SDcast!$A:$ALI,MATCH($R269,indexy_SDcast!$K:$K,0),MATCH(Y$2,indexy_SDcast!$2:$2,0)),"#ekrk")),"#popis")</f>
        <v>-33376.683954767243</v>
      </c>
    </row>
    <row r="270" spans="1:44" s="18" customFormat="1" x14ac:dyDescent="0.25">
      <c r="A270" s="333" t="s">
        <v>700</v>
      </c>
      <c r="B270" s="334">
        <v>-469263.65769000025</v>
      </c>
      <c r="C270" s="164"/>
      <c r="D270" s="333" t="s">
        <v>700</v>
      </c>
      <c r="E270" s="334">
        <v>-469263.65769000025</v>
      </c>
      <c r="F270" s="164"/>
      <c r="G270" s="333" t="s">
        <v>700</v>
      </c>
      <c r="H270" s="334">
        <v>-469263.65769000025</v>
      </c>
      <c r="I270" s="164"/>
      <c r="J270" s="333" t="s">
        <v>700</v>
      </c>
      <c r="K270" s="334">
        <v>-469263.65769000025</v>
      </c>
      <c r="L270" s="164"/>
      <c r="M270" s="358" t="str">
        <f t="shared" si="30"/>
        <v>D121PAY</v>
      </c>
      <c r="N270" s="239">
        <f t="shared" si="31"/>
        <v>-469263.65769000025</v>
      </c>
      <c r="O270" s="243"/>
      <c r="P270" s="243">
        <f>MATCH(Q270,Q271:Q$1550,0)</f>
        <v>18</v>
      </c>
      <c r="Q270" s="243" t="s">
        <v>697</v>
      </c>
      <c r="R270" s="359" t="str">
        <f>IF(Q270="ekrk",INDEX(indexy_SDcast!$A:$C,MATCH($M270,indexy_SDcast!$A:$A,0),2),"")</f>
        <v/>
      </c>
      <c r="S270" s="240"/>
      <c r="T270" s="363" t="str">
        <f t="shared" si="32"/>
        <v>D121PAY</v>
      </c>
      <c r="U270" s="244">
        <f>SUM(U271:U287)</f>
        <v>-469263.65769000025</v>
      </c>
      <c r="V270" s="244">
        <f>SUM(V271:V287)</f>
        <v>-482865.9220321544</v>
      </c>
      <c r="W270" s="244">
        <f>SUM(W271:W287)</f>
        <v>-500720.88374694064</v>
      </c>
      <c r="X270" s="244">
        <f>SUM(X271:X287)</f>
        <v>-522118.35100754962</v>
      </c>
      <c r="Y270" s="359">
        <f>SUM(Y271:Y287)</f>
        <v>-546185.08913326007</v>
      </c>
      <c r="Z270" s="58"/>
      <c r="AA270" s="58"/>
      <c r="AB270" s="58"/>
      <c r="AC270" s="58"/>
      <c r="AD270" s="58"/>
      <c r="AE270" s="58"/>
      <c r="AF270" s="58"/>
      <c r="AG270" s="58"/>
      <c r="AH270" s="58"/>
      <c r="AI270" s="58"/>
      <c r="AJ270" s="58"/>
      <c r="AK270" s="58"/>
      <c r="AL270" s="58"/>
      <c r="AM270" s="58"/>
      <c r="AN270" s="58"/>
      <c r="AO270" s="58"/>
      <c r="AP270" s="58"/>
      <c r="AQ270" s="58"/>
      <c r="AR270" s="58"/>
    </row>
    <row r="271" spans="1:44" x14ac:dyDescent="0.25">
      <c r="A271" s="330">
        <v>621000</v>
      </c>
      <c r="B271" s="329">
        <v>-92799.150069999974</v>
      </c>
      <c r="C271" s="157"/>
      <c r="D271" s="330">
        <v>621000</v>
      </c>
      <c r="E271" s="329">
        <v>-92799.150069999974</v>
      </c>
      <c r="F271" s="157"/>
      <c r="G271" s="330">
        <v>621000</v>
      </c>
      <c r="H271" s="329">
        <v>-92799.150069999974</v>
      </c>
      <c r="I271" s="157"/>
      <c r="J271" s="330">
        <v>621000</v>
      </c>
      <c r="K271" s="329">
        <v>-92799.150069999974</v>
      </c>
      <c r="L271" s="157"/>
      <c r="M271" s="360">
        <f t="shared" si="30"/>
        <v>621000</v>
      </c>
      <c r="N271" s="237">
        <f t="shared" si="31"/>
        <v>-92799.150069999974</v>
      </c>
      <c r="O271" s="361"/>
      <c r="P271" s="361"/>
      <c r="Q271" s="361" t="s">
        <v>698</v>
      </c>
      <c r="R271" s="362">
        <f>IF(Q271="ekrk",INDEX(indexy_SDcast!$A:$C,MATCH($M271,indexy_SDcast!$A:$A,0),2),"")</f>
        <v>39</v>
      </c>
      <c r="S271" s="236"/>
      <c r="T271" s="364">
        <f t="shared" si="32"/>
        <v>621000</v>
      </c>
      <c r="U271" s="365">
        <f t="shared" ref="U271:U287" si="34">N271</f>
        <v>-92799.150069999974</v>
      </c>
      <c r="V271" s="365">
        <f>IF($Q271="ekrk",IF($R271="data",IFERROR(INDEX(data!$A:$ALL,MATCH($M271,data!$A:$A,0),MATCH(V$2,data!$1:$1,0)),"#data"),IFERROR(U271*INDEX(indexy_SDcast!$A:$ALI,MATCH($R271,indexy_SDcast!$K:$K,0),MATCH(V$2,indexy_SDcast!$2:$2,0)),"#ekrk")),"#popis")</f>
        <v>-95489.0634039945</v>
      </c>
      <c r="W271" s="365">
        <f>IF($Q271="ekrk",IF($R271="data",IFERROR(INDEX(data!$A:$ALL,MATCH($M271,data!$A:$A,0),MATCH(W$2,data!$1:$1,0)),"#data"),IFERROR(V271*INDEX(indexy_SDcast!$A:$ALI,MATCH($R271,indexy_SDcast!$K:$K,0),MATCH(W$2,indexy_SDcast!$2:$2,0)),"#ekrk")),"#popis")</f>
        <v>-99019.968140621539</v>
      </c>
      <c r="X271" s="365">
        <f>IF($Q271="ekrk",IF($R271="data",IFERROR(INDEX(data!$A:$ALL,MATCH($M271,data!$A:$A,0),MATCH(X$2,data!$1:$1,0)),"#data"),IFERROR(W271*INDEX(indexy_SDcast!$A:$ALI,MATCH($R271,indexy_SDcast!$K:$K,0),MATCH(X$2,indexy_SDcast!$2:$2,0)),"#ekrk")),"#popis")</f>
        <v>-103251.42042313969</v>
      </c>
      <c r="Y271" s="362">
        <f>IF($Q271="ekrk",IF($R271="data",IFERROR(INDEX(data!$A:$ALL,MATCH($M271,data!$A:$A,0),MATCH(Y$2,data!$1:$1,0)),"#data"),IFERROR(X271*INDEX(indexy_SDcast!$A:$ALI,MATCH($R271,indexy_SDcast!$K:$K,0),MATCH(Y$2,indexy_SDcast!$2:$2,0)),"#ekrk")),"#popis")</f>
        <v>-108010.73388461083</v>
      </c>
    </row>
    <row r="272" spans="1:44" x14ac:dyDescent="0.25">
      <c r="A272" s="330">
        <v>623000</v>
      </c>
      <c r="B272" s="329">
        <v>-39686.003420000015</v>
      </c>
      <c r="C272" s="157"/>
      <c r="D272" s="330">
        <v>623000</v>
      </c>
      <c r="E272" s="329">
        <v>-39686.003420000015</v>
      </c>
      <c r="F272" s="157"/>
      <c r="G272" s="330">
        <v>623000</v>
      </c>
      <c r="H272" s="329">
        <v>-39686.003420000015</v>
      </c>
      <c r="I272" s="157"/>
      <c r="J272" s="330">
        <v>623000</v>
      </c>
      <c r="K272" s="329">
        <v>-39686.003420000015</v>
      </c>
      <c r="L272" s="157"/>
      <c r="M272" s="360">
        <f t="shared" si="30"/>
        <v>623000</v>
      </c>
      <c r="N272" s="237">
        <f t="shared" si="31"/>
        <v>-39686.003420000015</v>
      </c>
      <c r="O272" s="361"/>
      <c r="P272" s="361"/>
      <c r="Q272" s="361" t="s">
        <v>698</v>
      </c>
      <c r="R272" s="362">
        <f>IF(Q272="ekrk",INDEX(indexy_SDcast!$A:$C,MATCH($M272,indexy_SDcast!$A:$A,0),2),"")</f>
        <v>39</v>
      </c>
      <c r="S272" s="236"/>
      <c r="T272" s="364">
        <f t="shared" si="32"/>
        <v>623000</v>
      </c>
      <c r="U272" s="365">
        <f t="shared" si="34"/>
        <v>-39686.003420000015</v>
      </c>
      <c r="V272" s="365">
        <f>IF($Q272="ekrk",IF($R272="data",IFERROR(INDEX(data!$A:$ALL,MATCH($M272,data!$A:$A,0),MATCH(V$2,data!$1:$1,0)),"#data"),IFERROR(U272*INDEX(indexy_SDcast!$A:$ALI,MATCH($R272,indexy_SDcast!$K:$K,0),MATCH(V$2,indexy_SDcast!$2:$2,0)),"#ekrk")),"#popis")</f>
        <v>-40836.357811089649</v>
      </c>
      <c r="W272" s="365">
        <f>IF($Q272="ekrk",IF($R272="data",IFERROR(INDEX(data!$A:$ALL,MATCH($M272,data!$A:$A,0),MATCH(W$2,data!$1:$1,0)),"#data"),IFERROR(V272*INDEX(indexy_SDcast!$A:$ALI,MATCH($R272,indexy_SDcast!$K:$K,0),MATCH(W$2,indexy_SDcast!$2:$2,0)),"#ekrk")),"#popis")</f>
        <v>-42346.366225474638</v>
      </c>
      <c r="X272" s="365">
        <f>IF($Q272="ekrk",IF($R272="data",IFERROR(INDEX(data!$A:$ALL,MATCH($M272,data!$A:$A,0),MATCH(X$2,data!$1:$1,0)),"#data"),IFERROR(W272*INDEX(indexy_SDcast!$A:$ALI,MATCH($R272,indexy_SDcast!$K:$K,0),MATCH(X$2,indexy_SDcast!$2:$2,0)),"#ekrk")),"#popis")</f>
        <v>-44155.967171484488</v>
      </c>
      <c r="Y272" s="362">
        <f>IF($Q272="ekrk",IF($R272="data",IFERROR(INDEX(data!$A:$ALL,MATCH($M272,data!$A:$A,0),MATCH(Y$2,data!$1:$1,0)),"#data"),IFERROR(X272*INDEX(indexy_SDcast!$A:$ALI,MATCH($R272,indexy_SDcast!$K:$K,0),MATCH(Y$2,indexy_SDcast!$2:$2,0)),"#ekrk")),"#popis")</f>
        <v>-46191.310492692945</v>
      </c>
    </row>
    <row r="273" spans="1:44" x14ac:dyDescent="0.25">
      <c r="A273" s="330">
        <v>625000</v>
      </c>
      <c r="B273" s="329">
        <v>-7.228489999999983</v>
      </c>
      <c r="C273" s="157"/>
      <c r="D273" s="330">
        <v>625000</v>
      </c>
      <c r="E273" s="329">
        <v>-7.228489999999983</v>
      </c>
      <c r="F273" s="157"/>
      <c r="G273" s="330">
        <v>625000</v>
      </c>
      <c r="H273" s="329">
        <v>-7.228489999999983</v>
      </c>
      <c r="I273" s="157"/>
      <c r="J273" s="330">
        <v>625000</v>
      </c>
      <c r="K273" s="329">
        <v>-7.228489999999983</v>
      </c>
      <c r="L273" s="157"/>
      <c r="M273" s="360">
        <f t="shared" si="30"/>
        <v>625000</v>
      </c>
      <c r="N273" s="237">
        <f t="shared" si="31"/>
        <v>-7.228489999999983</v>
      </c>
      <c r="O273" s="361"/>
      <c r="P273" s="361"/>
      <c r="Q273" s="361" t="s">
        <v>698</v>
      </c>
      <c r="R273" s="362">
        <f>IF(Q273="ekrk",INDEX(indexy_SDcast!$A:$C,MATCH($M273,indexy_SDcast!$A:$A,0),2),"")</f>
        <v>39</v>
      </c>
      <c r="S273" s="236"/>
      <c r="T273" s="364">
        <f t="shared" si="32"/>
        <v>625000</v>
      </c>
      <c r="U273" s="365">
        <f t="shared" si="34"/>
        <v>-7.228489999999983</v>
      </c>
      <c r="V273" s="365">
        <f>IF($Q273="ekrk",IF($R273="data",IFERROR(INDEX(data!$A:$ALL,MATCH($M273,data!$A:$A,0),MATCH(V$2,data!$1:$1,0)),"#data"),IFERROR(U273*INDEX(indexy_SDcast!$A:$ALI,MATCH($R273,indexy_SDcast!$K:$K,0),MATCH(V$2,indexy_SDcast!$2:$2,0)),"#ekrk")),"#popis")</f>
        <v>-7.4380179064622629</v>
      </c>
      <c r="W273" s="365">
        <f>IF($Q273="ekrk",IF($R273="data",IFERROR(INDEX(data!$A:$ALL,MATCH($M273,data!$A:$A,0),MATCH(W$2,data!$1:$1,0)),"#data"),IFERROR(V273*INDEX(indexy_SDcast!$A:$ALI,MATCH($R273,indexy_SDcast!$K:$K,0),MATCH(W$2,indexy_SDcast!$2:$2,0)),"#ekrk")),"#popis")</f>
        <v>-7.7130539338440718</v>
      </c>
      <c r="X273" s="365">
        <f>IF($Q273="ekrk",IF($R273="data",IFERROR(INDEX(data!$A:$ALL,MATCH($M273,data!$A:$A,0),MATCH(X$2,data!$1:$1,0)),"#data"),IFERROR(W273*INDEX(indexy_SDcast!$A:$ALI,MATCH($R273,indexy_SDcast!$K:$K,0),MATCH(X$2,indexy_SDcast!$2:$2,0)),"#ekrk")),"#popis")</f>
        <v>-8.0426583589555865</v>
      </c>
      <c r="Y273" s="362">
        <f>IF($Q273="ekrk",IF($R273="data",IFERROR(INDEX(data!$A:$ALL,MATCH($M273,data!$A:$A,0),MATCH(Y$2,data!$1:$1,0)),"#data"),IFERROR(X273*INDEX(indexy_SDcast!$A:$ALI,MATCH($R273,indexy_SDcast!$K:$K,0),MATCH(Y$2,indexy_SDcast!$2:$2,0)),"#ekrk")),"#popis")</f>
        <v>-8.4133799629482837</v>
      </c>
    </row>
    <row r="274" spans="1:44" x14ac:dyDescent="0.25">
      <c r="A274" s="330">
        <v>625001</v>
      </c>
      <c r="B274" s="329">
        <v>-20120.182850000001</v>
      </c>
      <c r="C274" s="157"/>
      <c r="D274" s="330">
        <v>625001</v>
      </c>
      <c r="E274" s="329">
        <v>-20120.182850000001</v>
      </c>
      <c r="F274" s="157"/>
      <c r="G274" s="330">
        <v>625001</v>
      </c>
      <c r="H274" s="329">
        <v>-20120.182850000001</v>
      </c>
      <c r="I274" s="157"/>
      <c r="J274" s="330">
        <v>625001</v>
      </c>
      <c r="K274" s="329">
        <v>-20120.182850000001</v>
      </c>
      <c r="L274" s="157"/>
      <c r="M274" s="360">
        <f t="shared" si="30"/>
        <v>625001</v>
      </c>
      <c r="N274" s="237">
        <f t="shared" si="31"/>
        <v>-20120.182850000001</v>
      </c>
      <c r="O274" s="361"/>
      <c r="P274" s="361"/>
      <c r="Q274" s="361" t="s">
        <v>698</v>
      </c>
      <c r="R274" s="362">
        <f>IF(Q274="ekrk",INDEX(indexy_SDcast!$A:$C,MATCH($M274,indexy_SDcast!$A:$A,0),2),"")</f>
        <v>39</v>
      </c>
      <c r="S274" s="236"/>
      <c r="T274" s="364">
        <f t="shared" si="32"/>
        <v>625001</v>
      </c>
      <c r="U274" s="365">
        <f t="shared" si="34"/>
        <v>-20120.182850000001</v>
      </c>
      <c r="V274" s="365">
        <f>IF($Q274="ekrk",IF($R274="data",IFERROR(INDEX(data!$A:$ALL,MATCH($M274,data!$A:$A,0),MATCH(V$2,data!$1:$1,0)),"#data"),IFERROR(U274*INDEX(indexy_SDcast!$A:$ALI,MATCH($R274,indexy_SDcast!$K:$K,0),MATCH(V$2,indexy_SDcast!$2:$2,0)),"#ekrk")),"#popis")</f>
        <v>-20703.394529091871</v>
      </c>
      <c r="W274" s="365">
        <f>IF($Q274="ekrk",IF($R274="data",IFERROR(INDEX(data!$A:$ALL,MATCH($M274,data!$A:$A,0),MATCH(W$2,data!$1:$1,0)),"#data"),IFERROR(V274*INDEX(indexy_SDcast!$A:$ALI,MATCH($R274,indexy_SDcast!$K:$K,0),MATCH(W$2,indexy_SDcast!$2:$2,0)),"#ekrk")),"#popis")</f>
        <v>-21468.945171239764</v>
      </c>
      <c r="X274" s="365">
        <f>IF($Q274="ekrk",IF($R274="data",IFERROR(INDEX(data!$A:$ALL,MATCH($M274,data!$A:$A,0),MATCH(X$2,data!$1:$1,0)),"#data"),IFERROR(W274*INDEX(indexy_SDcast!$A:$ALI,MATCH($R274,indexy_SDcast!$K:$K,0),MATCH(X$2,indexy_SDcast!$2:$2,0)),"#ekrk")),"#popis")</f>
        <v>-22386.384539823361</v>
      </c>
      <c r="Y274" s="362">
        <f>IF($Q274="ekrk",IF($R274="data",IFERROR(INDEX(data!$A:$ALL,MATCH($M274,data!$A:$A,0),MATCH(Y$2,data!$1:$1,0)),"#data"),IFERROR(X274*INDEX(indexy_SDcast!$A:$ALI,MATCH($R274,indexy_SDcast!$K:$K,0),MATCH(Y$2,indexy_SDcast!$2:$2,0)),"#ekrk")),"#popis")</f>
        <v>-23418.271760913573</v>
      </c>
    </row>
    <row r="275" spans="1:44" x14ac:dyDescent="0.25">
      <c r="A275" s="330">
        <v>625002</v>
      </c>
      <c r="B275" s="329">
        <v>-184528.78105000019</v>
      </c>
      <c r="C275" s="157"/>
      <c r="D275" s="330">
        <v>625002</v>
      </c>
      <c r="E275" s="329">
        <v>-184528.78105000019</v>
      </c>
      <c r="F275" s="157"/>
      <c r="G275" s="330">
        <v>625002</v>
      </c>
      <c r="H275" s="329">
        <v>-184528.78105000019</v>
      </c>
      <c r="I275" s="157"/>
      <c r="J275" s="330">
        <v>625002</v>
      </c>
      <c r="K275" s="329">
        <v>-184528.78105000019</v>
      </c>
      <c r="L275" s="157"/>
      <c r="M275" s="360">
        <f t="shared" si="30"/>
        <v>625002</v>
      </c>
      <c r="N275" s="237">
        <f t="shared" si="31"/>
        <v>-184528.78105000019</v>
      </c>
      <c r="O275" s="361"/>
      <c r="P275" s="361"/>
      <c r="Q275" s="361" t="s">
        <v>698</v>
      </c>
      <c r="R275" s="362">
        <f>IF(Q275="ekrk",INDEX(indexy_SDcast!$A:$C,MATCH($M275,indexy_SDcast!$A:$A,0),2),"")</f>
        <v>39</v>
      </c>
      <c r="S275" s="236"/>
      <c r="T275" s="364">
        <f t="shared" si="32"/>
        <v>625002</v>
      </c>
      <c r="U275" s="365">
        <f t="shared" si="34"/>
        <v>-184528.78105000019</v>
      </c>
      <c r="V275" s="365">
        <f>IF($Q275="ekrk",IF($R275="data",IFERROR(INDEX(data!$A:$ALL,MATCH($M275,data!$A:$A,0),MATCH(V$2,data!$1:$1,0)),"#data"),IFERROR(U275*INDEX(indexy_SDcast!$A:$ALI,MATCH($R275,indexy_SDcast!$K:$K,0),MATCH(V$2,indexy_SDcast!$2:$2,0)),"#ekrk")),"#popis")</f>
        <v>-189877.60620925797</v>
      </c>
      <c r="W275" s="365">
        <f>IF($Q275="ekrk",IF($R275="data",IFERROR(INDEX(data!$A:$ALL,MATCH($M275,data!$A:$A,0),MATCH(W$2,data!$1:$1,0)),"#data"),IFERROR(V275*INDEX(indexy_SDcast!$A:$ALI,MATCH($R275,indexy_SDcast!$K:$K,0),MATCH(W$2,indexy_SDcast!$2:$2,0)),"#ekrk")),"#popis")</f>
        <v>-196898.72166734116</v>
      </c>
      <c r="X275" s="365">
        <f>IF($Q275="ekrk",IF($R275="data",IFERROR(INDEX(data!$A:$ALL,MATCH($M275,data!$A:$A,0),MATCH(X$2,data!$1:$1,0)),"#data"),IFERROR(W275*INDEX(indexy_SDcast!$A:$ALI,MATCH($R275,indexy_SDcast!$K:$K,0),MATCH(X$2,indexy_SDcast!$2:$2,0)),"#ekrk")),"#popis")</f>
        <v>-205312.85833966333</v>
      </c>
      <c r="Y275" s="362">
        <f>IF($Q275="ekrk",IF($R275="data",IFERROR(INDEX(data!$A:$ALL,MATCH($M275,data!$A:$A,0),MATCH(Y$2,data!$1:$1,0)),"#data"),IFERROR(X275*INDEX(indexy_SDcast!$A:$ALI,MATCH($R275,indexy_SDcast!$K:$K,0),MATCH(Y$2,indexy_SDcast!$2:$2,0)),"#ekrk")),"#popis")</f>
        <v>-214776.63371926176</v>
      </c>
    </row>
    <row r="276" spans="1:44" x14ac:dyDescent="0.25">
      <c r="A276" s="330">
        <v>625003</v>
      </c>
      <c r="B276" s="329">
        <v>-10890.742739999991</v>
      </c>
      <c r="C276" s="157"/>
      <c r="D276" s="330">
        <v>625003</v>
      </c>
      <c r="E276" s="329">
        <v>-10890.742739999991</v>
      </c>
      <c r="F276" s="157"/>
      <c r="G276" s="330">
        <v>625003</v>
      </c>
      <c r="H276" s="329">
        <v>-10890.742739999991</v>
      </c>
      <c r="I276" s="157"/>
      <c r="J276" s="330">
        <v>625003</v>
      </c>
      <c r="K276" s="329">
        <v>-10890.742739999991</v>
      </c>
      <c r="L276" s="157"/>
      <c r="M276" s="360">
        <f t="shared" si="30"/>
        <v>625003</v>
      </c>
      <c r="N276" s="237">
        <f t="shared" si="31"/>
        <v>-10890.742739999991</v>
      </c>
      <c r="O276" s="361"/>
      <c r="P276" s="361"/>
      <c r="Q276" s="361" t="s">
        <v>698</v>
      </c>
      <c r="R276" s="362">
        <f>IF(Q276="ekrk",INDEX(indexy_SDcast!$A:$C,MATCH($M276,indexy_SDcast!$A:$A,0),2),"")</f>
        <v>39</v>
      </c>
      <c r="S276" s="236"/>
      <c r="T276" s="364">
        <f t="shared" si="32"/>
        <v>625003</v>
      </c>
      <c r="U276" s="365">
        <f t="shared" si="34"/>
        <v>-10890.742739999991</v>
      </c>
      <c r="V276" s="365">
        <f>IF($Q276="ekrk",IF($R276="data",IFERROR(INDEX(data!$A:$ALL,MATCH($M276,data!$A:$A,0),MATCH(V$2,data!$1:$1,0)),"#data"),IFERROR(U276*INDEX(indexy_SDcast!$A:$ALI,MATCH($R276,indexy_SDcast!$K:$K,0),MATCH(V$2,indexy_SDcast!$2:$2,0)),"#ekrk")),"#popis")</f>
        <v>-11206.426171274223</v>
      </c>
      <c r="W276" s="365">
        <f>IF($Q276="ekrk",IF($R276="data",IFERROR(INDEX(data!$A:$ALL,MATCH($M276,data!$A:$A,0),MATCH(W$2,data!$1:$1,0)),"#data"),IFERROR(V276*INDEX(indexy_SDcast!$A:$ALI,MATCH($R276,indexy_SDcast!$K:$K,0),MATCH(W$2,indexy_SDcast!$2:$2,0)),"#ekrk")),"#popis")</f>
        <v>-11620.806853608554</v>
      </c>
      <c r="X276" s="365">
        <f>IF($Q276="ekrk",IF($R276="data",IFERROR(INDEX(data!$A:$ALL,MATCH($M276,data!$A:$A,0),MATCH(X$2,data!$1:$1,0)),"#data"),IFERROR(W276*INDEX(indexy_SDcast!$A:$ALI,MATCH($R276,indexy_SDcast!$K:$K,0),MATCH(X$2,indexy_SDcast!$2:$2,0)),"#ekrk")),"#popis")</f>
        <v>-12117.402546464891</v>
      </c>
      <c r="Y276" s="362">
        <f>IF($Q276="ekrk",IF($R276="data",IFERROR(INDEX(data!$A:$ALL,MATCH($M276,data!$A:$A,0),MATCH(Y$2,data!$1:$1,0)),"#data"),IFERROR(X276*INDEX(indexy_SDcast!$A:$ALI,MATCH($R276,indexy_SDcast!$K:$K,0),MATCH(Y$2,indexy_SDcast!$2:$2,0)),"#ekrk")),"#popis")</f>
        <v>-12675.947085814691</v>
      </c>
    </row>
    <row r="277" spans="1:44" x14ac:dyDescent="0.25">
      <c r="A277" s="330">
        <v>625004</v>
      </c>
      <c r="B277" s="329">
        <v>-36340.116339999979</v>
      </c>
      <c r="C277" s="157"/>
      <c r="D277" s="330">
        <v>625004</v>
      </c>
      <c r="E277" s="329">
        <v>-36340.116339999979</v>
      </c>
      <c r="F277" s="157"/>
      <c r="G277" s="330">
        <v>625004</v>
      </c>
      <c r="H277" s="329">
        <v>-36340.116339999979</v>
      </c>
      <c r="I277" s="157"/>
      <c r="J277" s="330">
        <v>625004</v>
      </c>
      <c r="K277" s="329">
        <v>-36340.116339999979</v>
      </c>
      <c r="L277" s="157"/>
      <c r="M277" s="360">
        <f t="shared" si="30"/>
        <v>625004</v>
      </c>
      <c r="N277" s="237">
        <f t="shared" si="31"/>
        <v>-36340.116339999979</v>
      </c>
      <c r="O277" s="361"/>
      <c r="P277" s="361"/>
      <c r="Q277" s="361" t="s">
        <v>698</v>
      </c>
      <c r="R277" s="362">
        <f>IF(Q277="ekrk",INDEX(indexy_SDcast!$A:$C,MATCH($M277,indexy_SDcast!$A:$A,0),2),"")</f>
        <v>39</v>
      </c>
      <c r="S277" s="236"/>
      <c r="T277" s="364">
        <f t="shared" si="32"/>
        <v>625004</v>
      </c>
      <c r="U277" s="365">
        <f t="shared" si="34"/>
        <v>-36340.116339999979</v>
      </c>
      <c r="V277" s="365">
        <f>IF($Q277="ekrk",IF($R277="data",IFERROR(INDEX(data!$A:$ALL,MATCH($M277,data!$A:$A,0),MATCH(V$2,data!$1:$1,0)),"#data"),IFERROR(U277*INDEX(indexy_SDcast!$A:$ALI,MATCH($R277,indexy_SDcast!$K:$K,0),MATCH(V$2,indexy_SDcast!$2:$2,0)),"#ekrk")),"#popis")</f>
        <v>-37393.485508016522</v>
      </c>
      <c r="W277" s="365">
        <f>IF($Q277="ekrk",IF($R277="data",IFERROR(INDEX(data!$A:$ALL,MATCH($M277,data!$A:$A,0),MATCH(W$2,data!$1:$1,0)),"#data"),IFERROR(V277*INDEX(indexy_SDcast!$A:$ALI,MATCH($R277,indexy_SDcast!$K:$K,0),MATCH(W$2,indexy_SDcast!$2:$2,0)),"#ekrk")),"#popis")</f>
        <v>-38776.186629930831</v>
      </c>
      <c r="X277" s="365">
        <f>IF($Q277="ekrk",IF($R277="data",IFERROR(INDEX(data!$A:$ALL,MATCH($M277,data!$A:$A,0),MATCH(X$2,data!$1:$1,0)),"#data"),IFERROR(W277*INDEX(indexy_SDcast!$A:$ALI,MATCH($R277,indexy_SDcast!$K:$K,0),MATCH(X$2,indexy_SDcast!$2:$2,0)),"#ekrk")),"#popis")</f>
        <v>-40433.221938097726</v>
      </c>
      <c r="Y277" s="362">
        <f>IF($Q277="ekrk",IF($R277="data",IFERROR(INDEX(data!$A:$ALL,MATCH($M277,data!$A:$A,0),MATCH(Y$2,data!$1:$1,0)),"#data"),IFERROR(X277*INDEX(indexy_SDcast!$A:$ALI,MATCH($R277,indexy_SDcast!$K:$K,0),MATCH(Y$2,indexy_SDcast!$2:$2,0)),"#ekrk")),"#popis")</f>
        <v>-42296.967508589776</v>
      </c>
    </row>
    <row r="278" spans="1:44" x14ac:dyDescent="0.25">
      <c r="A278" s="330">
        <v>625005</v>
      </c>
      <c r="B278" s="329">
        <v>-12227.842919999992</v>
      </c>
      <c r="C278" s="157"/>
      <c r="D278" s="330">
        <v>625005</v>
      </c>
      <c r="E278" s="329">
        <v>-12227.842919999992</v>
      </c>
      <c r="F278" s="157"/>
      <c r="G278" s="330">
        <v>625005</v>
      </c>
      <c r="H278" s="329">
        <v>-12227.842919999992</v>
      </c>
      <c r="I278" s="157"/>
      <c r="J278" s="330">
        <v>625005</v>
      </c>
      <c r="K278" s="329">
        <v>-12227.842919999992</v>
      </c>
      <c r="L278" s="157"/>
      <c r="M278" s="360">
        <f t="shared" si="30"/>
        <v>625005</v>
      </c>
      <c r="N278" s="237">
        <f t="shared" si="31"/>
        <v>-12227.842919999992</v>
      </c>
      <c r="O278" s="361"/>
      <c r="P278" s="361"/>
      <c r="Q278" s="361" t="s">
        <v>698</v>
      </c>
      <c r="R278" s="362">
        <f>IF(Q278="ekrk",INDEX(indexy_SDcast!$A:$C,MATCH($M278,indexy_SDcast!$A:$A,0),2),"")</f>
        <v>39</v>
      </c>
      <c r="S278" s="236"/>
      <c r="T278" s="364">
        <f t="shared" si="32"/>
        <v>625005</v>
      </c>
      <c r="U278" s="365">
        <f t="shared" si="34"/>
        <v>-12227.842919999992</v>
      </c>
      <c r="V278" s="365">
        <f>IF($Q278="ekrk",IF($R278="data",IFERROR(INDEX(data!$A:$ALL,MATCH($M278,data!$A:$A,0),MATCH(V$2,data!$1:$1,0)),"#data"),IFERROR(U278*INDEX(indexy_SDcast!$A:$ALI,MATCH($R278,indexy_SDcast!$K:$K,0),MATCH(V$2,indexy_SDcast!$2:$2,0)),"#ekrk")),"#popis")</f>
        <v>-12582.284072658047</v>
      </c>
      <c r="W278" s="365">
        <f>IF($Q278="ekrk",IF($R278="data",IFERROR(INDEX(data!$A:$ALL,MATCH($M278,data!$A:$A,0),MATCH(W$2,data!$1:$1,0)),"#data"),IFERROR(V278*INDEX(indexy_SDcast!$A:$ALI,MATCH($R278,indexy_SDcast!$K:$K,0),MATCH(W$2,indexy_SDcast!$2:$2,0)),"#ekrk")),"#popis")</f>
        <v>-13047.53993386358</v>
      </c>
      <c r="X278" s="365">
        <f>IF($Q278="ekrk",IF($R278="data",IFERROR(INDEX(data!$A:$ALL,MATCH($M278,data!$A:$A,0),MATCH(X$2,data!$1:$1,0)),"#data"),IFERROR(W278*INDEX(indexy_SDcast!$A:$ALI,MATCH($R278,indexy_SDcast!$K:$K,0),MATCH(X$2,indexy_SDcast!$2:$2,0)),"#ekrk")),"#popis")</f>
        <v>-13605.104672280666</v>
      </c>
      <c r="Y278" s="362">
        <f>IF($Q278="ekrk",IF($R278="data",IFERROR(INDEX(data!$A:$ALL,MATCH($M278,data!$A:$A,0),MATCH(Y$2,data!$1:$1,0)),"#data"),IFERROR(X278*INDEX(indexy_SDcast!$A:$ALI,MATCH($R278,indexy_SDcast!$K:$K,0),MATCH(Y$2,indexy_SDcast!$2:$2,0)),"#ekrk")),"#popis")</f>
        <v>-14232.223965614843</v>
      </c>
    </row>
    <row r="279" spans="1:44" x14ac:dyDescent="0.25">
      <c r="A279" s="330">
        <v>625006</v>
      </c>
      <c r="B279" s="329">
        <v>-713.45678999999984</v>
      </c>
      <c r="C279" s="157"/>
      <c r="D279" s="330">
        <v>625006</v>
      </c>
      <c r="E279" s="329">
        <v>-713.45678999999984</v>
      </c>
      <c r="F279" s="157"/>
      <c r="G279" s="330">
        <v>625006</v>
      </c>
      <c r="H279" s="329">
        <v>-713.45678999999984</v>
      </c>
      <c r="I279" s="157"/>
      <c r="J279" s="330">
        <v>625006</v>
      </c>
      <c r="K279" s="329">
        <v>-713.45678999999984</v>
      </c>
      <c r="L279" s="157"/>
      <c r="M279" s="360">
        <f t="shared" si="30"/>
        <v>625006</v>
      </c>
      <c r="N279" s="237">
        <f t="shared" si="31"/>
        <v>-713.45678999999984</v>
      </c>
      <c r="O279" s="361"/>
      <c r="P279" s="361"/>
      <c r="Q279" s="361" t="s">
        <v>698</v>
      </c>
      <c r="R279" s="362">
        <f>IF(Q279="ekrk",INDEX(indexy_SDcast!$A:$C,MATCH($M279,indexy_SDcast!$A:$A,0),2),"")</f>
        <v>39</v>
      </c>
      <c r="S279" s="236"/>
      <c r="T279" s="364">
        <f t="shared" si="32"/>
        <v>625006</v>
      </c>
      <c r="U279" s="365">
        <f t="shared" si="34"/>
        <v>-713.45678999999984</v>
      </c>
      <c r="V279" s="365">
        <f>IF($Q279="ekrk",IF($R279="data",IFERROR(INDEX(data!$A:$ALL,MATCH($M279,data!$A:$A,0),MATCH(V$2,data!$1:$1,0)),"#data"),IFERROR(U279*INDEX(indexy_SDcast!$A:$ALI,MATCH($R279,indexy_SDcast!$K:$K,0),MATCH(V$2,indexy_SDcast!$2:$2,0)),"#ekrk")),"#popis")</f>
        <v>-734.13733428518242</v>
      </c>
      <c r="W279" s="365">
        <f>IF($Q279="ekrk",IF($R279="data",IFERROR(INDEX(data!$A:$ALL,MATCH($M279,data!$A:$A,0),MATCH(W$2,data!$1:$1,0)),"#data"),IFERROR(V279*INDEX(indexy_SDcast!$A:$ALI,MATCH($R279,indexy_SDcast!$K:$K,0),MATCH(W$2,indexy_SDcast!$2:$2,0)),"#ekrk")),"#popis")</f>
        <v>-761.28357384976346</v>
      </c>
      <c r="X279" s="365">
        <f>IF($Q279="ekrk",IF($R279="data",IFERROR(INDEX(data!$A:$ALL,MATCH($M279,data!$A:$A,0),MATCH(X$2,data!$1:$1,0)),"#data"),IFERROR(W279*INDEX(indexy_SDcast!$A:$ALI,MATCH($R279,indexy_SDcast!$K:$K,0),MATCH(X$2,indexy_SDcast!$2:$2,0)),"#ekrk")),"#popis")</f>
        <v>-793.81575070964118</v>
      </c>
      <c r="Y279" s="362">
        <f>IF($Q279="ekrk",IF($R279="data",IFERROR(INDEX(data!$A:$ALL,MATCH($M279,data!$A:$A,0),MATCH(Y$2,data!$1:$1,0)),"#data"),IFERROR(X279*INDEX(indexy_SDcast!$A:$ALI,MATCH($R279,indexy_SDcast!$K:$K,0),MATCH(Y$2,indexy_SDcast!$2:$2,0)),"#ekrk")),"#popis")</f>
        <v>-830.40622058208783</v>
      </c>
    </row>
    <row r="280" spans="1:44" x14ac:dyDescent="0.25">
      <c r="A280" s="330">
        <v>625007</v>
      </c>
      <c r="B280" s="329">
        <v>-62421.215629999977</v>
      </c>
      <c r="C280" s="157"/>
      <c r="D280" s="330">
        <v>625007</v>
      </c>
      <c r="E280" s="329">
        <v>-62421.215629999977</v>
      </c>
      <c r="F280" s="157"/>
      <c r="G280" s="330">
        <v>625007</v>
      </c>
      <c r="H280" s="329">
        <v>-62421.215629999977</v>
      </c>
      <c r="I280" s="157"/>
      <c r="J280" s="330">
        <v>625007</v>
      </c>
      <c r="K280" s="329">
        <v>-62421.215629999977</v>
      </c>
      <c r="L280" s="157"/>
      <c r="M280" s="360">
        <f t="shared" si="30"/>
        <v>625007</v>
      </c>
      <c r="N280" s="237">
        <f t="shared" si="31"/>
        <v>-62421.215629999977</v>
      </c>
      <c r="O280" s="361"/>
      <c r="P280" s="361"/>
      <c r="Q280" s="361" t="s">
        <v>698</v>
      </c>
      <c r="R280" s="362">
        <f>IF(Q280="ekrk",INDEX(indexy_SDcast!$A:$C,MATCH($M280,indexy_SDcast!$A:$A,0),2),"")</f>
        <v>39</v>
      </c>
      <c r="S280" s="236"/>
      <c r="T280" s="364">
        <f t="shared" si="32"/>
        <v>625007</v>
      </c>
      <c r="U280" s="365">
        <f t="shared" si="34"/>
        <v>-62421.215629999977</v>
      </c>
      <c r="V280" s="365">
        <f>IF($Q280="ekrk",IF($R280="data",IFERROR(INDEX(data!$A:$ALL,MATCH($M280,data!$A:$A,0),MATCH(V$2,data!$1:$1,0)),"#data"),IFERROR(U280*INDEX(indexy_SDcast!$A:$ALI,MATCH($R280,indexy_SDcast!$K:$K,0),MATCH(V$2,indexy_SDcast!$2:$2,0)),"#ekrk")),"#popis")</f>
        <v>-64230.581988642582</v>
      </c>
      <c r="W280" s="365">
        <f>IF($Q280="ekrk",IF($R280="data",IFERROR(INDEX(data!$A:$ALL,MATCH($M280,data!$A:$A,0),MATCH(W$2,data!$1:$1,0)),"#data"),IFERROR(V280*INDEX(indexy_SDcast!$A:$ALI,MATCH($R280,indexy_SDcast!$K:$K,0),MATCH(W$2,indexy_SDcast!$2:$2,0)),"#ekrk")),"#popis")</f>
        <v>-66605.640011994416</v>
      </c>
      <c r="X280" s="365">
        <f>IF($Q280="ekrk",IF($R280="data",IFERROR(INDEX(data!$A:$ALL,MATCH($M280,data!$A:$A,0),MATCH(X$2,data!$1:$1,0)),"#data"),IFERROR(W280*INDEX(indexy_SDcast!$A:$ALI,MATCH($R280,indexy_SDcast!$K:$K,0),MATCH(X$2,indexy_SDcast!$2:$2,0)),"#ekrk")),"#popis")</f>
        <v>-69451.920340595287</v>
      </c>
      <c r="Y280" s="362">
        <f>IF($Q280="ekrk",IF($R280="data",IFERROR(INDEX(data!$A:$ALL,MATCH($M280,data!$A:$A,0),MATCH(Y$2,data!$1:$1,0)),"#data"),IFERROR(X280*INDEX(indexy_SDcast!$A:$ALI,MATCH($R280,indexy_SDcast!$K:$K,0),MATCH(Y$2,indexy_SDcast!$2:$2,0)),"#ekrk")),"#popis")</f>
        <v>-72653.26573659468</v>
      </c>
    </row>
    <row r="281" spans="1:44" x14ac:dyDescent="0.25">
      <c r="A281" s="330">
        <v>627000</v>
      </c>
      <c r="B281" s="329">
        <v>-8846.981029999999</v>
      </c>
      <c r="C281" s="157"/>
      <c r="D281" s="330">
        <v>627000</v>
      </c>
      <c r="E281" s="329">
        <v>-8846.981029999999</v>
      </c>
      <c r="F281" s="157"/>
      <c r="G281" s="330">
        <v>627000</v>
      </c>
      <c r="H281" s="329">
        <v>-8846.981029999999</v>
      </c>
      <c r="I281" s="157"/>
      <c r="J281" s="330">
        <v>627000</v>
      </c>
      <c r="K281" s="329">
        <v>-8846.981029999999</v>
      </c>
      <c r="L281" s="157"/>
      <c r="M281" s="360">
        <f t="shared" si="30"/>
        <v>627000</v>
      </c>
      <c r="N281" s="237">
        <f t="shared" si="31"/>
        <v>-8846.981029999999</v>
      </c>
      <c r="O281" s="361"/>
      <c r="P281" s="361"/>
      <c r="Q281" s="361" t="s">
        <v>698</v>
      </c>
      <c r="R281" s="362">
        <f>IF(Q281="ekrk",INDEX(indexy_SDcast!$A:$C,MATCH($M281,indexy_SDcast!$A:$A,0),2),"")</f>
        <v>39</v>
      </c>
      <c r="S281" s="236"/>
      <c r="T281" s="364">
        <f t="shared" si="32"/>
        <v>627000</v>
      </c>
      <c r="U281" s="365">
        <f t="shared" si="34"/>
        <v>-8846.981029999999</v>
      </c>
      <c r="V281" s="365">
        <f>IF($Q281="ekrk",IF($R281="data",IFERROR(INDEX(data!$A:$ALL,MATCH($M281,data!$A:$A,0),MATCH(V$2,data!$1:$1,0)),"#data"),IFERROR(U281*INDEX(indexy_SDcast!$A:$ALI,MATCH($R281,indexy_SDcast!$K:$K,0),MATCH(V$2,indexy_SDcast!$2:$2,0)),"#ekrk")),"#popis")</f>
        <v>-9103.4231657333839</v>
      </c>
      <c r="W281" s="365">
        <f>IF($Q281="ekrk",IF($R281="data",IFERROR(INDEX(data!$A:$ALL,MATCH($M281,data!$A:$A,0),MATCH(W$2,data!$1:$1,0)),"#data"),IFERROR(V281*INDEX(indexy_SDcast!$A:$ALI,MATCH($R281,indexy_SDcast!$K:$K,0),MATCH(W$2,indexy_SDcast!$2:$2,0)),"#ekrk")),"#popis")</f>
        <v>-9440.0409817383079</v>
      </c>
      <c r="X281" s="365">
        <f>IF($Q281="ekrk",IF($R281="data",IFERROR(INDEX(data!$A:$ALL,MATCH($M281,data!$A:$A,0),MATCH(X$2,data!$1:$1,0)),"#data"),IFERROR(W281*INDEX(indexy_SDcast!$A:$ALI,MATCH($R281,indexy_SDcast!$K:$K,0),MATCH(X$2,indexy_SDcast!$2:$2,0)),"#ekrk")),"#popis")</f>
        <v>-9843.4453021932895</v>
      </c>
      <c r="Y281" s="362">
        <f>IF($Q281="ekrk",IF($R281="data",IFERROR(INDEX(data!$A:$ALL,MATCH($M281,data!$A:$A,0),MATCH(Y$2,data!$1:$1,0)),"#data"),IFERROR(X281*INDEX(indexy_SDcast!$A:$ALI,MATCH($R281,indexy_SDcast!$K:$K,0),MATCH(Y$2,indexy_SDcast!$2:$2,0)),"#ekrk")),"#popis")</f>
        <v>-10297.173120580612</v>
      </c>
    </row>
    <row r="282" spans="1:44" x14ac:dyDescent="0.25">
      <c r="A282" s="330">
        <v>628001</v>
      </c>
      <c r="B282" s="329">
        <v>-29.374000000000002</v>
      </c>
      <c r="C282" s="157"/>
      <c r="D282" s="330">
        <v>628001</v>
      </c>
      <c r="E282" s="329">
        <v>-29.374000000000002</v>
      </c>
      <c r="F282" s="157"/>
      <c r="G282" s="330">
        <v>628001</v>
      </c>
      <c r="H282" s="329">
        <v>-29.374000000000002</v>
      </c>
      <c r="I282" s="157"/>
      <c r="J282" s="330">
        <v>628001</v>
      </c>
      <c r="K282" s="329">
        <v>-29.374000000000002</v>
      </c>
      <c r="L282" s="157"/>
      <c r="M282" s="360">
        <f t="shared" si="30"/>
        <v>628001</v>
      </c>
      <c r="N282" s="237">
        <f t="shared" si="31"/>
        <v>-29.374000000000002</v>
      </c>
      <c r="O282" s="361"/>
      <c r="P282" s="361"/>
      <c r="Q282" s="361" t="s">
        <v>698</v>
      </c>
      <c r="R282" s="362">
        <f>IF(Q282="ekrk",INDEX(indexy_SDcast!$A:$C,MATCH($M282,indexy_SDcast!$A:$A,0),2),"")</f>
        <v>39</v>
      </c>
      <c r="S282" s="236"/>
      <c r="T282" s="364">
        <f t="shared" si="32"/>
        <v>628001</v>
      </c>
      <c r="U282" s="365">
        <f t="shared" si="34"/>
        <v>-29.374000000000002</v>
      </c>
      <c r="V282" s="365">
        <f>IF($Q282="ekrk",IF($R282="data",IFERROR(INDEX(data!$A:$ALL,MATCH($M282,data!$A:$A,0),MATCH(V$2,data!$1:$1,0)),"#data"),IFERROR(U282*INDEX(indexy_SDcast!$A:$ALI,MATCH($R282,indexy_SDcast!$K:$K,0),MATCH(V$2,indexy_SDcast!$2:$2,0)),"#ekrk")),"#popis")</f>
        <v>-30.225446529555004</v>
      </c>
      <c r="W282" s="365">
        <f>IF($Q282="ekrk",IF($R282="data",IFERROR(INDEX(data!$A:$ALL,MATCH($M282,data!$A:$A,0),MATCH(W$2,data!$1:$1,0)),"#data"),IFERROR(V282*INDEX(indexy_SDcast!$A:$ALI,MATCH($R282,indexy_SDcast!$K:$K,0),MATCH(W$2,indexy_SDcast!$2:$2,0)),"#ekrk")),"#popis")</f>
        <v>-31.343094650851885</v>
      </c>
      <c r="X282" s="365">
        <f>IF($Q282="ekrk",IF($R282="data",IFERROR(INDEX(data!$A:$ALL,MATCH($M282,data!$A:$A,0),MATCH(X$2,data!$1:$1,0)),"#data"),IFERROR(W282*INDEX(indexy_SDcast!$A:$ALI,MATCH($R282,indexy_SDcast!$K:$K,0),MATCH(X$2,indexy_SDcast!$2:$2,0)),"#ekrk")),"#popis")</f>
        <v>-32.682489238549408</v>
      </c>
      <c r="Y282" s="362">
        <f>IF($Q282="ekrk",IF($R282="data",IFERROR(INDEX(data!$A:$ALL,MATCH($M282,data!$A:$A,0),MATCH(Y$2,data!$1:$1,0)),"#data"),IFERROR(X282*INDEX(indexy_SDcast!$A:$ALI,MATCH($R282,indexy_SDcast!$K:$K,0),MATCH(Y$2,indexy_SDcast!$2:$2,0)),"#ekrk")),"#popis")</f>
        <v>-34.188969346522377</v>
      </c>
    </row>
    <row r="283" spans="1:44" x14ac:dyDescent="0.25">
      <c r="A283" s="330">
        <v>628002</v>
      </c>
      <c r="B283" s="329">
        <v>-400.32062000000002</v>
      </c>
      <c r="C283" s="157"/>
      <c r="D283" s="330">
        <v>628002</v>
      </c>
      <c r="E283" s="329">
        <v>-400.32062000000002</v>
      </c>
      <c r="F283" s="157"/>
      <c r="G283" s="330">
        <v>628002</v>
      </c>
      <c r="H283" s="329">
        <v>-400.32062000000002</v>
      </c>
      <c r="I283" s="157"/>
      <c r="J283" s="330">
        <v>628002</v>
      </c>
      <c r="K283" s="329">
        <v>-400.32062000000002</v>
      </c>
      <c r="L283" s="157"/>
      <c r="M283" s="360">
        <f t="shared" si="30"/>
        <v>628002</v>
      </c>
      <c r="N283" s="237">
        <f t="shared" si="31"/>
        <v>-400.32062000000002</v>
      </c>
      <c r="O283" s="361"/>
      <c r="P283" s="361"/>
      <c r="Q283" s="361" t="s">
        <v>698</v>
      </c>
      <c r="R283" s="362">
        <f>IF(Q283="ekrk",INDEX(indexy_SDcast!$A:$C,MATCH($M283,indexy_SDcast!$A:$A,0),2),"")</f>
        <v>39</v>
      </c>
      <c r="S283" s="236"/>
      <c r="T283" s="364">
        <f t="shared" si="32"/>
        <v>628002</v>
      </c>
      <c r="U283" s="365">
        <f t="shared" si="34"/>
        <v>-400.32062000000002</v>
      </c>
      <c r="V283" s="365">
        <f>IF($Q283="ekrk",IF($R283="data",IFERROR(INDEX(data!$A:$ALL,MATCH($M283,data!$A:$A,0),MATCH(V$2,data!$1:$1,0)),"#data"),IFERROR(U283*INDEX(indexy_SDcast!$A:$ALI,MATCH($R283,indexy_SDcast!$K:$K,0),MATCH(V$2,indexy_SDcast!$2:$2,0)),"#ekrk")),"#popis")</f>
        <v>-411.92447383700915</v>
      </c>
      <c r="W283" s="365">
        <f>IF($Q283="ekrk",IF($R283="data",IFERROR(INDEX(data!$A:$ALL,MATCH($M283,data!$A:$A,0),MATCH(W$2,data!$1:$1,0)),"#data"),IFERROR(V283*INDEX(indexy_SDcast!$A:$ALI,MATCH($R283,indexy_SDcast!$K:$K,0),MATCH(W$2,indexy_SDcast!$2:$2,0)),"#ekrk")),"#popis")</f>
        <v>-427.15622943241334</v>
      </c>
      <c r="X283" s="365">
        <f>IF($Q283="ekrk",IF($R283="data",IFERROR(INDEX(data!$A:$ALL,MATCH($M283,data!$A:$A,0),MATCH(X$2,data!$1:$1,0)),"#data"),IFERROR(W283*INDEX(indexy_SDcast!$A:$ALI,MATCH($R283,indexy_SDcast!$K:$K,0),MATCH(X$2,indexy_SDcast!$2:$2,0)),"#ekrk")),"#popis")</f>
        <v>-445.41003455843349</v>
      </c>
      <c r="Y283" s="362">
        <f>IF($Q283="ekrk",IF($R283="data",IFERROR(INDEX(data!$A:$ALL,MATCH($M283,data!$A:$A,0),MATCH(Y$2,data!$1:$1,0)),"#data"),IFERROR(X283*INDEX(indexy_SDcast!$A:$ALI,MATCH($R283,indexy_SDcast!$K:$K,0),MATCH(Y$2,indexy_SDcast!$2:$2,0)),"#ekrk")),"#popis")</f>
        <v>-465.94094797987441</v>
      </c>
    </row>
    <row r="284" spans="1:44" x14ac:dyDescent="0.25">
      <c r="A284" s="330">
        <v>628003</v>
      </c>
      <c r="B284" s="329">
        <v>-16.918520000000001</v>
      </c>
      <c r="C284" s="157"/>
      <c r="D284" s="330">
        <v>628003</v>
      </c>
      <c r="E284" s="329">
        <v>-16.918520000000001</v>
      </c>
      <c r="F284" s="157"/>
      <c r="G284" s="330">
        <v>628003</v>
      </c>
      <c r="H284" s="329">
        <v>-16.918520000000001</v>
      </c>
      <c r="I284" s="157"/>
      <c r="J284" s="330">
        <v>628003</v>
      </c>
      <c r="K284" s="329">
        <v>-16.918520000000001</v>
      </c>
      <c r="L284" s="157"/>
      <c r="M284" s="360">
        <f t="shared" si="30"/>
        <v>628003</v>
      </c>
      <c r="N284" s="237">
        <f t="shared" si="31"/>
        <v>-16.918520000000001</v>
      </c>
      <c r="O284" s="361"/>
      <c r="P284" s="361"/>
      <c r="Q284" s="361" t="s">
        <v>698</v>
      </c>
      <c r="R284" s="362">
        <f>IF(Q284="ekrk",INDEX(indexy_SDcast!$A:$C,MATCH($M284,indexy_SDcast!$A:$A,0),2),"")</f>
        <v>39</v>
      </c>
      <c r="S284" s="236"/>
      <c r="T284" s="364">
        <f t="shared" si="32"/>
        <v>628003</v>
      </c>
      <c r="U284" s="365">
        <f t="shared" si="34"/>
        <v>-16.918520000000001</v>
      </c>
      <c r="V284" s="365">
        <f>IF($Q284="ekrk",IF($R284="data",IFERROR(INDEX(data!$A:$ALL,MATCH($M284,data!$A:$A,0),MATCH(V$2,data!$1:$1,0)),"#data"),IFERROR(U284*INDEX(indexy_SDcast!$A:$ALI,MATCH($R284,indexy_SDcast!$K:$K,0),MATCH(V$2,indexy_SDcast!$2:$2,0)),"#ekrk")),"#popis")</f>
        <v>-17.40892699731759</v>
      </c>
      <c r="W284" s="365">
        <f>IF($Q284="ekrk",IF($R284="data",IFERROR(INDEX(data!$A:$ALL,MATCH($M284,data!$A:$A,0),MATCH(W$2,data!$1:$1,0)),"#data"),IFERROR(V284*INDEX(indexy_SDcast!$A:$ALI,MATCH($R284,indexy_SDcast!$K:$K,0),MATCH(W$2,indexy_SDcast!$2:$2,0)),"#ekrk")),"#popis")</f>
        <v>-18.052657918987219</v>
      </c>
      <c r="X284" s="365">
        <f>IF($Q284="ekrk",IF($R284="data",IFERROR(INDEX(data!$A:$ALL,MATCH($M284,data!$A:$A,0),MATCH(X$2,data!$1:$1,0)),"#data"),IFERROR(W284*INDEX(indexy_SDcast!$A:$ALI,MATCH($R284,indexy_SDcast!$K:$K,0),MATCH(X$2,indexy_SDcast!$2:$2,0)),"#ekrk")),"#popis")</f>
        <v>-18.824107980941747</v>
      </c>
      <c r="Y284" s="362">
        <f>IF($Q284="ekrk",IF($R284="data",IFERROR(INDEX(data!$A:$ALL,MATCH($M284,data!$A:$A,0),MATCH(Y$2,data!$1:$1,0)),"#data"),IFERROR(X284*INDEX(indexy_SDcast!$A:$ALI,MATCH($R284,indexy_SDcast!$K:$K,0),MATCH(Y$2,indexy_SDcast!$2:$2,0)),"#ekrk")),"#popis")</f>
        <v>-19.691794160431868</v>
      </c>
    </row>
    <row r="285" spans="1:44" x14ac:dyDescent="0.25">
      <c r="A285" s="330">
        <v>628004</v>
      </c>
      <c r="B285" s="329">
        <v>-63.416530000000002</v>
      </c>
      <c r="C285" s="157"/>
      <c r="D285" s="330">
        <v>628004</v>
      </c>
      <c r="E285" s="329">
        <v>-63.416530000000002</v>
      </c>
      <c r="F285" s="157"/>
      <c r="G285" s="330">
        <v>628004</v>
      </c>
      <c r="H285" s="329">
        <v>-63.416530000000002</v>
      </c>
      <c r="I285" s="157"/>
      <c r="J285" s="330">
        <v>628004</v>
      </c>
      <c r="K285" s="329">
        <v>-63.416530000000002</v>
      </c>
      <c r="L285" s="157"/>
      <c r="M285" s="360">
        <f t="shared" si="30"/>
        <v>628004</v>
      </c>
      <c r="N285" s="237">
        <f t="shared" si="31"/>
        <v>-63.416530000000002</v>
      </c>
      <c r="O285" s="361"/>
      <c r="P285" s="361"/>
      <c r="Q285" s="361" t="s">
        <v>698</v>
      </c>
      <c r="R285" s="362">
        <f>IF(Q285="ekrk",INDEX(indexy_SDcast!$A:$C,MATCH($M285,indexy_SDcast!$A:$A,0),2),"")</f>
        <v>39</v>
      </c>
      <c r="S285" s="236"/>
      <c r="T285" s="364">
        <f t="shared" si="32"/>
        <v>628004</v>
      </c>
      <c r="U285" s="365">
        <f t="shared" si="34"/>
        <v>-63.416530000000002</v>
      </c>
      <c r="V285" s="365">
        <f>IF($Q285="ekrk",IF($R285="data",IFERROR(INDEX(data!$A:$ALL,MATCH($M285,data!$A:$A,0),MATCH(V$2,data!$1:$1,0)),"#data"),IFERROR(U285*INDEX(indexy_SDcast!$A:$ALI,MATCH($R285,indexy_SDcast!$K:$K,0),MATCH(V$2,indexy_SDcast!$2:$2,0)),"#ekrk")),"#popis")</f>
        <v>-65.254746939637798</v>
      </c>
      <c r="W285" s="365">
        <f>IF($Q285="ekrk",IF($R285="data",IFERROR(INDEX(data!$A:$ALL,MATCH($M285,data!$A:$A,0),MATCH(W$2,data!$1:$1,0)),"#data"),IFERROR(V285*INDEX(indexy_SDcast!$A:$ALI,MATCH($R285,indexy_SDcast!$K:$K,0),MATCH(W$2,indexy_SDcast!$2:$2,0)),"#ekrk")),"#popis")</f>
        <v>-67.667675570864972</v>
      </c>
      <c r="X285" s="365">
        <f>IF($Q285="ekrk",IF($R285="data",IFERROR(INDEX(data!$A:$ALL,MATCH($M285,data!$A:$A,0),MATCH(X$2,data!$1:$1,0)),"#data"),IFERROR(W285*INDEX(indexy_SDcast!$A:$ALI,MATCH($R285,indexy_SDcast!$K:$K,0),MATCH(X$2,indexy_SDcast!$2:$2,0)),"#ekrk")),"#popis")</f>
        <v>-70.559340208046066</v>
      </c>
      <c r="Y285" s="362">
        <f>IF($Q285="ekrk",IF($R285="data",IFERROR(INDEX(data!$A:$ALL,MATCH($M285,data!$A:$A,0),MATCH(Y$2,data!$1:$1,0)),"#data"),IFERROR(X285*INDEX(indexy_SDcast!$A:$ALI,MATCH($R285,indexy_SDcast!$K:$K,0),MATCH(Y$2,indexy_SDcast!$2:$2,0)),"#ekrk")),"#popis")</f>
        <v>-73.811731471124673</v>
      </c>
    </row>
    <row r="286" spans="1:44" x14ac:dyDescent="0.25">
      <c r="A286" s="330">
        <v>628005</v>
      </c>
      <c r="B286" s="329">
        <v>-16.933669999999999</v>
      </c>
      <c r="C286" s="157"/>
      <c r="D286" s="330">
        <v>628005</v>
      </c>
      <c r="E286" s="329">
        <v>-16.933669999999999</v>
      </c>
      <c r="F286" s="157"/>
      <c r="G286" s="330">
        <v>628005</v>
      </c>
      <c r="H286" s="329">
        <v>-16.933669999999999</v>
      </c>
      <c r="I286" s="157"/>
      <c r="J286" s="330">
        <v>628005</v>
      </c>
      <c r="K286" s="329">
        <v>-16.933669999999999</v>
      </c>
      <c r="L286" s="157"/>
      <c r="M286" s="360">
        <f t="shared" si="30"/>
        <v>628005</v>
      </c>
      <c r="N286" s="237">
        <f t="shared" si="31"/>
        <v>-16.933669999999999</v>
      </c>
      <c r="O286" s="361"/>
      <c r="P286" s="361"/>
      <c r="Q286" s="361" t="s">
        <v>698</v>
      </c>
      <c r="R286" s="362">
        <f>IF(Q286="ekrk",INDEX(indexy_SDcast!$A:$C,MATCH($M286,indexy_SDcast!$A:$A,0),2),"")</f>
        <v>39</v>
      </c>
      <c r="S286" s="236"/>
      <c r="T286" s="364">
        <f t="shared" si="32"/>
        <v>628005</v>
      </c>
      <c r="U286" s="365">
        <f t="shared" si="34"/>
        <v>-16.933669999999999</v>
      </c>
      <c r="V286" s="365">
        <f>IF($Q286="ekrk",IF($R286="data",IFERROR(INDEX(data!$A:$ALL,MATCH($M286,data!$A:$A,0),MATCH(V$2,data!$1:$1,0)),"#data"),IFERROR(U286*INDEX(indexy_SDcast!$A:$ALI,MATCH($R286,indexy_SDcast!$K:$K,0),MATCH(V$2,indexy_SDcast!$2:$2,0)),"#ekrk")),"#popis")</f>
        <v>-17.424516141285817</v>
      </c>
      <c r="W286" s="365">
        <f>IF($Q286="ekrk",IF($R286="data",IFERROR(INDEX(data!$A:$ALL,MATCH($M286,data!$A:$A,0),MATCH(W$2,data!$1:$1,0)),"#data"),IFERROR(V286*INDEX(indexy_SDcast!$A:$ALI,MATCH($R286,indexy_SDcast!$K:$K,0),MATCH(W$2,indexy_SDcast!$2:$2,0)),"#ekrk")),"#popis")</f>
        <v>-18.068823503652581</v>
      </c>
      <c r="X286" s="365">
        <f>IF($Q286="ekrk",IF($R286="data",IFERROR(INDEX(data!$A:$ALL,MATCH($M286,data!$A:$A,0),MATCH(X$2,data!$1:$1,0)),"#data"),IFERROR(W286*INDEX(indexy_SDcast!$A:$ALI,MATCH($R286,indexy_SDcast!$K:$K,0),MATCH(X$2,indexy_SDcast!$2:$2,0)),"#ekrk")),"#popis")</f>
        <v>-18.840964374758183</v>
      </c>
      <c r="Y286" s="362">
        <f>IF($Q286="ekrk",IF($R286="data",IFERROR(INDEX(data!$A:$ALL,MATCH($M286,data!$A:$A,0),MATCH(Y$2,data!$1:$1,0)),"#data"),IFERROR(X286*INDEX(indexy_SDcast!$A:$ALI,MATCH($R286,indexy_SDcast!$K:$K,0),MATCH(Y$2,indexy_SDcast!$2:$2,0)),"#ekrk")),"#popis")</f>
        <v>-19.709427539801371</v>
      </c>
    </row>
    <row r="287" spans="1:44" x14ac:dyDescent="0.25">
      <c r="A287" s="330">
        <v>629000</v>
      </c>
      <c r="B287" s="329">
        <v>-154.99302000000009</v>
      </c>
      <c r="C287" s="157"/>
      <c r="D287" s="330">
        <v>629000</v>
      </c>
      <c r="E287" s="329">
        <v>-154.99302000000009</v>
      </c>
      <c r="F287" s="157"/>
      <c r="G287" s="330">
        <v>629000</v>
      </c>
      <c r="H287" s="329">
        <v>-154.99302000000009</v>
      </c>
      <c r="I287" s="157"/>
      <c r="J287" s="330">
        <v>629000</v>
      </c>
      <c r="K287" s="329">
        <v>-154.99302000000009</v>
      </c>
      <c r="L287" s="157"/>
      <c r="M287" s="360">
        <f t="shared" si="30"/>
        <v>629000</v>
      </c>
      <c r="N287" s="237">
        <f t="shared" si="31"/>
        <v>-154.99302000000009</v>
      </c>
      <c r="O287" s="361"/>
      <c r="P287" s="361"/>
      <c r="Q287" s="361" t="s">
        <v>698</v>
      </c>
      <c r="R287" s="362">
        <f>IF(Q287="ekrk",INDEX(indexy_SDcast!$A:$C,MATCH($M287,indexy_SDcast!$A:$A,0),2),"")</f>
        <v>39</v>
      </c>
      <c r="S287" s="236"/>
      <c r="T287" s="364">
        <f t="shared" si="32"/>
        <v>629000</v>
      </c>
      <c r="U287" s="365">
        <f t="shared" si="34"/>
        <v>-154.99302000000009</v>
      </c>
      <c r="V287" s="365">
        <f>IF($Q287="ekrk",IF($R287="data",IFERROR(INDEX(data!$A:$ALL,MATCH($M287,data!$A:$A,0),MATCH(V$2,data!$1:$1,0)),"#data"),IFERROR(U287*INDEX(indexy_SDcast!$A:$ALI,MATCH($R287,indexy_SDcast!$K:$K,0),MATCH(V$2,indexy_SDcast!$2:$2,0)),"#ekrk")),"#popis")</f>
        <v>-159.48570975911525</v>
      </c>
      <c r="W287" s="365">
        <f>IF($Q287="ekrk",IF($R287="data",IFERROR(INDEX(data!$A:$ALL,MATCH($M287,data!$A:$A,0),MATCH(W$2,data!$1:$1,0)),"#data"),IFERROR(V287*INDEX(indexy_SDcast!$A:$ALI,MATCH($R287,indexy_SDcast!$K:$K,0),MATCH(W$2,indexy_SDcast!$2:$2,0)),"#ekrk")),"#popis")</f>
        <v>-165.38302226735826</v>
      </c>
      <c r="X287" s="365">
        <f>IF($Q287="ekrk",IF($R287="data",IFERROR(INDEX(data!$A:$ALL,MATCH($M287,data!$A:$A,0),MATCH(X$2,data!$1:$1,0)),"#data"),IFERROR(W287*INDEX(indexy_SDcast!$A:$ALI,MATCH($R287,indexy_SDcast!$K:$K,0),MATCH(X$2,indexy_SDcast!$2:$2,0)),"#ekrk")),"#popis")</f>
        <v>-172.45038837748606</v>
      </c>
      <c r="Y287" s="362">
        <f>IF($Q287="ekrk",IF($R287="data",IFERROR(INDEX(data!$A:$ALL,MATCH($M287,data!$A:$A,0),MATCH(Y$2,data!$1:$1,0)),"#data"),IFERROR(X287*INDEX(indexy_SDcast!$A:$ALI,MATCH($R287,indexy_SDcast!$K:$K,0),MATCH(Y$2,indexy_SDcast!$2:$2,0)),"#ekrk")),"#popis")</f>
        <v>-180.39938754357365</v>
      </c>
    </row>
    <row r="288" spans="1:44" s="18" customFormat="1" x14ac:dyDescent="0.25">
      <c r="A288" s="333" t="s">
        <v>701</v>
      </c>
      <c r="B288" s="334">
        <v>-24969.174779999994</v>
      </c>
      <c r="C288" s="164"/>
      <c r="D288" s="333" t="s">
        <v>701</v>
      </c>
      <c r="E288" s="334">
        <v>-24969.174779999994</v>
      </c>
      <c r="F288" s="164"/>
      <c r="G288" s="333" t="s">
        <v>701</v>
      </c>
      <c r="H288" s="334">
        <v>-24969.174779999994</v>
      </c>
      <c r="I288" s="164"/>
      <c r="J288" s="333" t="s">
        <v>701</v>
      </c>
      <c r="K288" s="334">
        <v>-24969.174779999994</v>
      </c>
      <c r="L288" s="164"/>
      <c r="M288" s="358" t="str">
        <f t="shared" si="30"/>
        <v>D122PAY</v>
      </c>
      <c r="N288" s="239">
        <f t="shared" si="31"/>
        <v>-24969.174779999994</v>
      </c>
      <c r="O288" s="243"/>
      <c r="P288" s="243">
        <f>MATCH(Q288,Q289:Q$1550,0)</f>
        <v>6</v>
      </c>
      <c r="Q288" s="243" t="s">
        <v>697</v>
      </c>
      <c r="R288" s="359" t="str">
        <f>IF(Q288="ekrk",INDEX(indexy_SDcast!$A:$C,MATCH($M288,indexy_SDcast!$A:$A,0),2),"")</f>
        <v/>
      </c>
      <c r="S288" s="240"/>
      <c r="T288" s="363" t="str">
        <f t="shared" si="32"/>
        <v>D122PAY</v>
      </c>
      <c r="U288" s="244">
        <f>SUM(U289:U293)</f>
        <v>-24969.174779999994</v>
      </c>
      <c r="V288" s="244">
        <f>SUM(V289:V293)</f>
        <v>-21637.727411330798</v>
      </c>
      <c r="W288" s="244">
        <f>SUM(W289:W293)</f>
        <v>-22369.558358952378</v>
      </c>
      <c r="X288" s="244">
        <f>SUM(X289:X293)</f>
        <v>-23274.656090316599</v>
      </c>
      <c r="Y288" s="359">
        <f>SUM(Y289:Y293)</f>
        <v>-24316.410771471914</v>
      </c>
      <c r="Z288" s="58"/>
      <c r="AA288" s="58"/>
      <c r="AB288" s="58"/>
      <c r="AC288" s="58"/>
      <c r="AD288" s="58"/>
      <c r="AE288" s="58"/>
      <c r="AF288" s="58"/>
      <c r="AG288" s="58"/>
      <c r="AH288" s="58"/>
      <c r="AI288" s="58"/>
      <c r="AJ288" s="58"/>
      <c r="AK288" s="58"/>
      <c r="AL288" s="58"/>
      <c r="AM288" s="58"/>
      <c r="AN288" s="58"/>
      <c r="AO288" s="58"/>
      <c r="AP288" s="58"/>
      <c r="AQ288" s="58"/>
      <c r="AR288" s="58"/>
    </row>
    <row r="289" spans="1:44" x14ac:dyDescent="0.25">
      <c r="A289" s="330">
        <v>637016</v>
      </c>
      <c r="B289" s="329">
        <v>-12726.101519999991</v>
      </c>
      <c r="C289" s="157"/>
      <c r="D289" s="330">
        <v>637016</v>
      </c>
      <c r="E289" s="329">
        <v>-12726.101519999991</v>
      </c>
      <c r="F289" s="157"/>
      <c r="G289" s="330">
        <v>637016</v>
      </c>
      <c r="H289" s="329">
        <v>-12726.101519999991</v>
      </c>
      <c r="I289" s="157"/>
      <c r="J289" s="330">
        <v>637016</v>
      </c>
      <c r="K289" s="329">
        <v>-12726.101519999991</v>
      </c>
      <c r="L289" s="157"/>
      <c r="M289" s="360">
        <f t="shared" si="30"/>
        <v>637016</v>
      </c>
      <c r="N289" s="237">
        <f t="shared" si="31"/>
        <v>-12726.101519999991</v>
      </c>
      <c r="O289" s="361"/>
      <c r="P289" s="361"/>
      <c r="Q289" s="361" t="s">
        <v>698</v>
      </c>
      <c r="R289" s="362">
        <f>IF(Q289="ekrk",INDEX(indexy_SDcast!$A:$C,MATCH($M289,indexy_SDcast!$A:$A,0),2),"")</f>
        <v>39</v>
      </c>
      <c r="S289" s="236"/>
      <c r="T289" s="364">
        <f t="shared" si="32"/>
        <v>637016</v>
      </c>
      <c r="U289" s="365">
        <f>N289</f>
        <v>-12726.101519999991</v>
      </c>
      <c r="V289" s="365">
        <f>IF($Q289="ekrk",IF($R289="data",IFERROR(INDEX(data!$A:$ALL,MATCH($M289,data!$A:$A,0),MATCH(V$2,data!$1:$1,0)),"#data"),IFERROR(U289*INDEX(indexy_SDcast!$A:$ALI,MATCH($R289,indexy_SDcast!$K:$K,0),MATCH(V$2,indexy_SDcast!$2:$2,0)),"#ekrk")),"#popis")</f>
        <v>-13094.985396011723</v>
      </c>
      <c r="W289" s="365">
        <f>IF($Q289="ekrk",IF($R289="data",IFERROR(INDEX(data!$A:$ALL,MATCH($M289,data!$A:$A,0),MATCH(W$2,data!$1:$1,0)),"#data"),IFERROR(V289*INDEX(indexy_SDcast!$A:$ALI,MATCH($R289,indexy_SDcast!$K:$K,0),MATCH(W$2,indexy_SDcast!$2:$2,0)),"#ekrk")),"#popis")</f>
        <v>-13579.199444328648</v>
      </c>
      <c r="X289" s="365">
        <f>IF($Q289="ekrk",IF($R289="data",IFERROR(INDEX(data!$A:$ALL,MATCH($M289,data!$A:$A,0),MATCH(X$2,data!$1:$1,0)),"#data"),IFERROR(W289*INDEX(indexy_SDcast!$A:$ALI,MATCH($R289,indexy_SDcast!$K:$K,0),MATCH(X$2,indexy_SDcast!$2:$2,0)),"#ekrk")),"#popis")</f>
        <v>-14159.483760335224</v>
      </c>
      <c r="Y289" s="362">
        <f>IF($Q289="ekrk",IF($R289="data",IFERROR(INDEX(data!$A:$ALL,MATCH($M289,data!$A:$A,0),MATCH(Y$2,data!$1:$1,0)),"#data"),IFERROR(X289*INDEX(indexy_SDcast!$A:$ALI,MATCH($R289,indexy_SDcast!$K:$K,0),MATCH(Y$2,indexy_SDcast!$2:$2,0)),"#ekrk")),"#popis")</f>
        <v>-14812.156831484015</v>
      </c>
    </row>
    <row r="290" spans="1:44" x14ac:dyDescent="0.25">
      <c r="A290" s="330">
        <v>642012</v>
      </c>
      <c r="B290" s="329">
        <v>-4322.1541000000016</v>
      </c>
      <c r="C290" s="157"/>
      <c r="D290" s="330">
        <v>642012</v>
      </c>
      <c r="E290" s="329">
        <v>-4322.1541000000016</v>
      </c>
      <c r="F290" s="157"/>
      <c r="G290" s="330">
        <v>642012</v>
      </c>
      <c r="H290" s="329">
        <v>-4322.1541000000016</v>
      </c>
      <c r="I290" s="157"/>
      <c r="J290" s="330">
        <v>642012</v>
      </c>
      <c r="K290" s="329">
        <v>-4322.1541000000016</v>
      </c>
      <c r="L290" s="157"/>
      <c r="M290" s="360">
        <f t="shared" si="30"/>
        <v>642012</v>
      </c>
      <c r="N290" s="237">
        <f t="shared" si="31"/>
        <v>-4322.1541000000016</v>
      </c>
      <c r="O290" s="361"/>
      <c r="P290" s="361"/>
      <c r="Q290" s="361" t="s">
        <v>698</v>
      </c>
      <c r="R290" s="362">
        <f>IF(Q290="ekrk",INDEX(indexy_SDcast!$A:$C,MATCH($M290,indexy_SDcast!$A:$A,0),2),"")</f>
        <v>43</v>
      </c>
      <c r="S290" s="236"/>
      <c r="T290" s="364">
        <f t="shared" si="32"/>
        <v>642012</v>
      </c>
      <c r="U290" s="365">
        <f>N290</f>
        <v>-4322.1541000000016</v>
      </c>
      <c r="V290" s="365">
        <f>IF($Q290="ekrk",IF($R290="data",IFERROR(INDEX(data!$A:$ALL,MATCH($M290,data!$A:$A,0),MATCH(V$2,data!$1:$1,0)),"#data"),IFERROR(U290*INDEX(indexy_SDcast!$A:$ALI,MATCH($R290,indexy_SDcast!$K:$K,0),MATCH(V$2,indexy_SDcast!$2:$2,0)),"#ekrk")),"#popis")</f>
        <v>-4430.1059672549991</v>
      </c>
      <c r="W290" s="365">
        <f>IF($Q290="ekrk",IF($R290="data",IFERROR(INDEX(data!$A:$ALL,MATCH($M290,data!$A:$A,0),MATCH(W$2,data!$1:$1,0)),"#data"),IFERROR(V290*INDEX(indexy_SDcast!$A:$ALI,MATCH($R290,indexy_SDcast!$K:$K,0),MATCH(W$2,indexy_SDcast!$2:$2,0)),"#ekrk")),"#popis")</f>
        <v>-4558.5187932705285</v>
      </c>
      <c r="X290" s="365">
        <f>IF($Q290="ekrk",IF($R290="data",IFERROR(INDEX(data!$A:$ALL,MATCH($M290,data!$A:$A,0),MATCH(X$2,data!$1:$1,0)),"#data"),IFERROR(W290*INDEX(indexy_SDcast!$A:$ALI,MATCH($R290,indexy_SDcast!$K:$K,0),MATCH(X$2,indexy_SDcast!$2:$2,0)),"#ekrk")),"#popis")</f>
        <v>-4727.0794118940948</v>
      </c>
      <c r="Y290" s="362">
        <f>IF($Q290="ekrk",IF($R290="data",IFERROR(INDEX(data!$A:$ALL,MATCH($M290,data!$A:$A,0),MATCH(Y$2,data!$1:$1,0)),"#data"),IFERROR(X290*INDEX(indexy_SDcast!$A:$ALI,MATCH($R290,indexy_SDcast!$K:$K,0),MATCH(Y$2,indexy_SDcast!$2:$2,0)),"#ekrk")),"#popis")</f>
        <v>-4929.083223273813</v>
      </c>
    </row>
    <row r="291" spans="1:44" x14ac:dyDescent="0.25">
      <c r="A291" s="330">
        <v>642013</v>
      </c>
      <c r="B291" s="329">
        <v>-3961.3417799999993</v>
      </c>
      <c r="C291" s="157"/>
      <c r="D291" s="330">
        <v>642013</v>
      </c>
      <c r="E291" s="329">
        <v>-3961.3417799999993</v>
      </c>
      <c r="F291" s="157"/>
      <c r="G291" s="330">
        <v>642013</v>
      </c>
      <c r="H291" s="329">
        <v>-3961.3417799999993</v>
      </c>
      <c r="I291" s="157"/>
      <c r="J291" s="330">
        <v>642013</v>
      </c>
      <c r="K291" s="329">
        <v>-3961.3417799999993</v>
      </c>
      <c r="L291" s="157"/>
      <c r="M291" s="360">
        <f t="shared" si="30"/>
        <v>642013</v>
      </c>
      <c r="N291" s="237">
        <f t="shared" si="31"/>
        <v>-3961.3417799999993</v>
      </c>
      <c r="O291" s="361"/>
      <c r="P291" s="361"/>
      <c r="Q291" s="361" t="s">
        <v>698</v>
      </c>
      <c r="R291" s="362">
        <f>IF(Q291="ekrk",INDEX(indexy_SDcast!$A:$C,MATCH($M291,indexy_SDcast!$A:$A,0),2),"")</f>
        <v>43</v>
      </c>
      <c r="S291" s="236"/>
      <c r="T291" s="364">
        <f t="shared" si="32"/>
        <v>642013</v>
      </c>
      <c r="U291" s="365">
        <f>N291</f>
        <v>-3961.3417799999993</v>
      </c>
      <c r="V291" s="365">
        <f>IF($Q291="ekrk",IF($R291="data",IFERROR(INDEX(data!$A:$ALL,MATCH($M291,data!$A:$A,0),MATCH(V$2,data!$1:$1,0)),"#data"),IFERROR(U291*INDEX(indexy_SDcast!$A:$ALI,MATCH($R291,indexy_SDcast!$K:$K,0),MATCH(V$2,indexy_SDcast!$2:$2,0)),"#ekrk")),"#popis")</f>
        <v>-4060.2818529571932</v>
      </c>
      <c r="W291" s="365">
        <f>IF($Q291="ekrk",IF($R291="data",IFERROR(INDEX(data!$A:$ALL,MATCH($M291,data!$A:$A,0),MATCH(W$2,data!$1:$1,0)),"#data"),IFERROR(V291*INDEX(indexy_SDcast!$A:$ALI,MATCH($R291,indexy_SDcast!$K:$K,0),MATCH(W$2,indexy_SDcast!$2:$2,0)),"#ekrk")),"#popis")</f>
        <v>-4177.9748090651647</v>
      </c>
      <c r="X291" s="365">
        <f>IF($Q291="ekrk",IF($R291="data",IFERROR(INDEX(data!$A:$ALL,MATCH($M291,data!$A:$A,0),MATCH(X$2,data!$1:$1,0)),"#data"),IFERROR(W291*INDEX(indexy_SDcast!$A:$ALI,MATCH($R291,indexy_SDcast!$K:$K,0),MATCH(X$2,indexy_SDcast!$2:$2,0)),"#ekrk")),"#popis")</f>
        <v>-4332.4640303116212</v>
      </c>
      <c r="Y291" s="362">
        <f>IF($Q291="ekrk",IF($R291="data",IFERROR(INDEX(data!$A:$ALL,MATCH($M291,data!$A:$A,0),MATCH(Y$2,data!$1:$1,0)),"#data"),IFERROR(X291*INDEX(indexy_SDcast!$A:$ALI,MATCH($R291,indexy_SDcast!$K:$K,0),MATCH(Y$2,indexy_SDcast!$2:$2,0)),"#ekrk")),"#popis")</f>
        <v>-4517.604615127354</v>
      </c>
    </row>
    <row r="292" spans="1:44" x14ac:dyDescent="0.25">
      <c r="A292" s="330">
        <v>642015</v>
      </c>
      <c r="B292" s="329">
        <v>-3908.1623800000002</v>
      </c>
      <c r="C292" s="157"/>
      <c r="D292" s="330">
        <v>642015</v>
      </c>
      <c r="E292" s="329">
        <v>-3908.1623800000002</v>
      </c>
      <c r="F292" s="157"/>
      <c r="G292" s="330">
        <v>642015</v>
      </c>
      <c r="H292" s="329">
        <v>-3908.1623800000002</v>
      </c>
      <c r="I292" s="157"/>
      <c r="J292" s="330">
        <v>642015</v>
      </c>
      <c r="K292" s="329">
        <v>-3908.1623800000002</v>
      </c>
      <c r="L292" s="157"/>
      <c r="M292" s="360">
        <f t="shared" si="30"/>
        <v>642015</v>
      </c>
      <c r="N292" s="237">
        <f t="shared" si="31"/>
        <v>-3908.1623800000002</v>
      </c>
      <c r="O292" s="361"/>
      <c r="P292" s="361"/>
      <c r="Q292" s="361" t="s">
        <v>698</v>
      </c>
      <c r="R292" s="362">
        <v>2</v>
      </c>
      <c r="S292" s="236"/>
      <c r="T292" s="364">
        <f t="shared" si="32"/>
        <v>642015</v>
      </c>
      <c r="U292" s="365">
        <f>N292</f>
        <v>-3908.1623800000002</v>
      </c>
      <c r="V292" s="365">
        <f>IF($Q292="ekrk",IF($R292="data",IFERROR(INDEX(data!$A:$ALL,MATCH($M292,data!$A:$A,0),MATCH(V$2,data!$1:$1,0)),"#data"),IFERROR(U292*INDEX(indexy_SDcast!$A:$ALI,MATCH($R292,indexy_SDcast!$K:$K,0),MATCH(V$2,indexy_SDcast!$2:$2,0)),"#ekrk")),"#popis")</f>
        <v>0</v>
      </c>
      <c r="W292" s="365">
        <f>IF($Q292="ekrk",IF($R292="data",IFERROR(INDEX(data!$A:$ALL,MATCH($M292,data!$A:$A,0),MATCH(W$2,data!$1:$1,0)),"#data"),IFERROR(V292*INDEX(indexy_SDcast!$A:$ALI,MATCH($R292,indexy_SDcast!$K:$K,0),MATCH(W$2,indexy_SDcast!$2:$2,0)),"#ekrk")),"#popis")</f>
        <v>0</v>
      </c>
      <c r="X292" s="365">
        <f>IF($Q292="ekrk",IF($R292="data",IFERROR(INDEX(data!$A:$ALL,MATCH($M292,data!$A:$A,0),MATCH(X$2,data!$1:$1,0)),"#data"),IFERROR(W292*INDEX(indexy_SDcast!$A:$ALI,MATCH($R292,indexy_SDcast!$K:$K,0),MATCH(X$2,indexy_SDcast!$2:$2,0)),"#ekrk")),"#popis")</f>
        <v>0</v>
      </c>
      <c r="Y292" s="362">
        <f>IF($Q292="ekrk",IF($R292="data",IFERROR(INDEX(data!$A:$ALL,MATCH($M292,data!$A:$A,0),MATCH(Y$2,data!$1:$1,0)),"#data"),IFERROR(X292*INDEX(indexy_SDcast!$A:$ALI,MATCH($R292,indexy_SDcast!$K:$K,0),MATCH(Y$2,indexy_SDcast!$2:$2,0)),"#ekrk")),"#popis")</f>
        <v>0</v>
      </c>
    </row>
    <row r="293" spans="1:44" x14ac:dyDescent="0.25">
      <c r="A293" s="330">
        <v>642017</v>
      </c>
      <c r="B293" s="329">
        <v>-51.414999999999999</v>
      </c>
      <c r="C293" s="157"/>
      <c r="D293" s="330">
        <v>642017</v>
      </c>
      <c r="E293" s="329">
        <v>-51.414999999999999</v>
      </c>
      <c r="F293" s="157"/>
      <c r="G293" s="330">
        <v>642017</v>
      </c>
      <c r="H293" s="329">
        <v>-51.414999999999999</v>
      </c>
      <c r="I293" s="157"/>
      <c r="J293" s="330">
        <v>642017</v>
      </c>
      <c r="K293" s="329">
        <v>-51.414999999999999</v>
      </c>
      <c r="L293" s="157"/>
      <c r="M293" s="360">
        <f t="shared" si="30"/>
        <v>642017</v>
      </c>
      <c r="N293" s="237">
        <f t="shared" si="31"/>
        <v>-51.414999999999999</v>
      </c>
      <c r="O293" s="361"/>
      <c r="P293" s="361"/>
      <c r="Q293" s="361" t="s">
        <v>698</v>
      </c>
      <c r="R293" s="362">
        <f>IF(Q293="ekrk",INDEX(indexy_SDcast!$A:$C,MATCH($M293,indexy_SDcast!$A:$A,0),2),"")</f>
        <v>6</v>
      </c>
      <c r="S293" s="236"/>
      <c r="T293" s="364">
        <f t="shared" si="32"/>
        <v>642017</v>
      </c>
      <c r="U293" s="365">
        <f>N293</f>
        <v>-51.414999999999999</v>
      </c>
      <c r="V293" s="365">
        <f>IF($Q293="ekrk",IF($R293="data",IFERROR(INDEX(data!$A:$ALL,MATCH($M293,data!$A:$A,0),MATCH(V$2,data!$1:$1,0)),"#data"),IFERROR(U293*INDEX(indexy_SDcast!$A:$ALI,MATCH($R293,indexy_SDcast!$K:$K,0),MATCH(V$2,indexy_SDcast!$2:$2,0)),"#ekrk")),"#popis")</f>
        <v>-52.354195106883317</v>
      </c>
      <c r="W293" s="365">
        <f>IF($Q293="ekrk",IF($R293="data",IFERROR(INDEX(data!$A:$ALL,MATCH($M293,data!$A:$A,0),MATCH(W$2,data!$1:$1,0)),"#data"),IFERROR(V293*INDEX(indexy_SDcast!$A:$ALI,MATCH($R293,indexy_SDcast!$K:$K,0),MATCH(W$2,indexy_SDcast!$2:$2,0)),"#ekrk")),"#popis")</f>
        <v>-53.865312288040016</v>
      </c>
      <c r="X293" s="365">
        <f>IF($Q293="ekrk",IF($R293="data",IFERROR(INDEX(data!$A:$ALL,MATCH($M293,data!$A:$A,0),MATCH(X$2,data!$1:$1,0)),"#data"),IFERROR(W293*INDEX(indexy_SDcast!$A:$ALI,MATCH($R293,indexy_SDcast!$K:$K,0),MATCH(X$2,indexy_SDcast!$2:$2,0)),"#ekrk")),"#popis")</f>
        <v>-55.628887775659393</v>
      </c>
      <c r="Y293" s="362">
        <f>IF($Q293="ekrk",IF($R293="data",IFERROR(INDEX(data!$A:$ALL,MATCH($M293,data!$A:$A,0),MATCH(Y$2,data!$1:$1,0)),"#data"),IFERROR(X293*INDEX(indexy_SDcast!$A:$ALI,MATCH($R293,indexy_SDcast!$K:$K,0),MATCH(Y$2,indexy_SDcast!$2:$2,0)),"#ekrk")),"#popis")</f>
        <v>-57.566101586731541</v>
      </c>
    </row>
    <row r="294" spans="1:44" s="18" customFormat="1" x14ac:dyDescent="0.25">
      <c r="A294" s="333" t="s">
        <v>706</v>
      </c>
      <c r="B294" s="334">
        <v>-9177.0530999999974</v>
      </c>
      <c r="C294" s="164"/>
      <c r="D294" s="333" t="s">
        <v>706</v>
      </c>
      <c r="E294" s="334">
        <v>-9177.0530999999974</v>
      </c>
      <c r="F294" s="164"/>
      <c r="G294" s="333" t="s">
        <v>706</v>
      </c>
      <c r="H294" s="334">
        <v>-9177.0530999999974</v>
      </c>
      <c r="I294" s="164"/>
      <c r="J294" s="333" t="s">
        <v>706</v>
      </c>
      <c r="K294" s="334">
        <v>-9177.0530999999974</v>
      </c>
      <c r="L294" s="164"/>
      <c r="M294" s="358" t="str">
        <f t="shared" si="30"/>
        <v>D29PAY</v>
      </c>
      <c r="N294" s="239">
        <f t="shared" si="31"/>
        <v>-9177.0530999999974</v>
      </c>
      <c r="O294" s="243"/>
      <c r="P294" s="243">
        <f>MATCH(Q294,Q295:Q$1550,0)</f>
        <v>3</v>
      </c>
      <c r="Q294" s="243" t="s">
        <v>697</v>
      </c>
      <c r="R294" s="359" t="str">
        <f>IF(Q294="ekrk",INDEX(indexy_SDcast!$A:$C,MATCH($M294,indexy_SDcast!$A:$A,0),2),"")</f>
        <v/>
      </c>
      <c r="S294" s="240"/>
      <c r="T294" s="363" t="str">
        <f t="shared" si="32"/>
        <v>D29PAY</v>
      </c>
      <c r="U294" s="244">
        <f>SUM(U295:U296)</f>
        <v>-9177.0530999999974</v>
      </c>
      <c r="V294" s="244">
        <f>SUM(V295:V296)</f>
        <v>-9246.0461974218124</v>
      </c>
      <c r="W294" s="244">
        <f>SUM(W295:W296)</f>
        <v>-9437.1541369601819</v>
      </c>
      <c r="X294" s="244">
        <f>SUM(X295:X296)</f>
        <v>-9651.0110998628825</v>
      </c>
      <c r="Y294" s="359">
        <f>SUM(Y295:Y296)</f>
        <v>-9877.4801160362476</v>
      </c>
      <c r="Z294" s="58"/>
      <c r="AA294" s="58"/>
      <c r="AB294" s="58"/>
      <c r="AC294" s="58"/>
      <c r="AD294" s="58"/>
      <c r="AE294" s="58"/>
      <c r="AF294" s="58"/>
      <c r="AG294" s="58"/>
      <c r="AH294" s="58"/>
      <c r="AI294" s="58"/>
      <c r="AJ294" s="58"/>
      <c r="AK294" s="58"/>
      <c r="AL294" s="58"/>
      <c r="AM294" s="58"/>
      <c r="AN294" s="58"/>
      <c r="AO294" s="58"/>
      <c r="AP294" s="58"/>
      <c r="AQ294" s="58"/>
      <c r="AR294" s="58"/>
    </row>
    <row r="295" spans="1:44" x14ac:dyDescent="0.25">
      <c r="A295" s="330">
        <v>637023</v>
      </c>
      <c r="B295" s="329">
        <v>-35.860960000000006</v>
      </c>
      <c r="C295" s="157"/>
      <c r="D295" s="330">
        <v>637023</v>
      </c>
      <c r="E295" s="329">
        <v>-35.860960000000006</v>
      </c>
      <c r="F295" s="157"/>
      <c r="G295" s="330">
        <v>637023</v>
      </c>
      <c r="H295" s="329">
        <v>-35.860960000000006</v>
      </c>
      <c r="I295" s="157"/>
      <c r="J295" s="330">
        <v>637023</v>
      </c>
      <c r="K295" s="329">
        <v>-35.860960000000006</v>
      </c>
      <c r="L295" s="157"/>
      <c r="M295" s="360">
        <f t="shared" si="30"/>
        <v>637023</v>
      </c>
      <c r="N295" s="237">
        <f t="shared" si="31"/>
        <v>-35.860960000000006</v>
      </c>
      <c r="O295" s="361"/>
      <c r="P295" s="361"/>
      <c r="Q295" s="361" t="s">
        <v>698</v>
      </c>
      <c r="R295" s="362">
        <f>IF(Q295="ekrk",INDEX(indexy_SDcast!$A:$C,MATCH($M295,indexy_SDcast!$A:$A,0),2),"")</f>
        <v>22</v>
      </c>
      <c r="S295" s="236"/>
      <c r="T295" s="364">
        <f t="shared" si="32"/>
        <v>637023</v>
      </c>
      <c r="U295" s="365">
        <f>N295</f>
        <v>-35.860960000000006</v>
      </c>
      <c r="V295" s="365">
        <f>IF($Q295="ekrk",IF($R295="data",IFERROR(INDEX(data!$A:$ALL,MATCH($M295,data!$A:$A,0),MATCH(V$2,data!$1:$1,0)),"#data"),IFERROR(U295*INDEX(indexy_SDcast!$A:$ALI,MATCH($R295,indexy_SDcast!$K:$K,0),MATCH(V$2,indexy_SDcast!$2:$2,0)),"#ekrk")),"#popis")</f>
        <v>-35.860960000000006</v>
      </c>
      <c r="W295" s="365">
        <f>IF($Q295="ekrk",IF($R295="data",IFERROR(INDEX(data!$A:$ALL,MATCH($M295,data!$A:$A,0),MATCH(W$2,data!$1:$1,0)),"#data"),IFERROR(V295*INDEX(indexy_SDcast!$A:$ALI,MATCH($R295,indexy_SDcast!$K:$K,0),MATCH(W$2,indexy_SDcast!$2:$2,0)),"#ekrk")),"#popis")</f>
        <v>-35.860960000000006</v>
      </c>
      <c r="X295" s="365">
        <f>IF($Q295="ekrk",IF($R295="data",IFERROR(INDEX(data!$A:$ALL,MATCH($M295,data!$A:$A,0),MATCH(X$2,data!$1:$1,0)),"#data"),IFERROR(W295*INDEX(indexy_SDcast!$A:$ALI,MATCH($R295,indexy_SDcast!$K:$K,0),MATCH(X$2,indexy_SDcast!$2:$2,0)),"#ekrk")),"#popis")</f>
        <v>-35.860960000000006</v>
      </c>
      <c r="Y295" s="362">
        <f>IF($Q295="ekrk",IF($R295="data",IFERROR(INDEX(data!$A:$ALL,MATCH($M295,data!$A:$A,0),MATCH(Y$2,data!$1:$1,0)),"#data"),IFERROR(X295*INDEX(indexy_SDcast!$A:$ALI,MATCH($R295,indexy_SDcast!$K:$K,0),MATCH(Y$2,indexy_SDcast!$2:$2,0)),"#ekrk")),"#popis")</f>
        <v>-35.860960000000006</v>
      </c>
    </row>
    <row r="296" spans="1:44" x14ac:dyDescent="0.25">
      <c r="A296" s="330">
        <v>637035</v>
      </c>
      <c r="B296" s="329">
        <v>-9141.1921399999974</v>
      </c>
      <c r="C296" s="157"/>
      <c r="D296" s="330">
        <v>637035</v>
      </c>
      <c r="E296" s="329">
        <v>-9141.1921399999974</v>
      </c>
      <c r="F296" s="157"/>
      <c r="G296" s="330">
        <v>637035</v>
      </c>
      <c r="H296" s="329">
        <v>-9141.1921399999974</v>
      </c>
      <c r="I296" s="157"/>
      <c r="J296" s="330">
        <v>637035</v>
      </c>
      <c r="K296" s="329">
        <v>-9141.1921399999974</v>
      </c>
      <c r="L296" s="157"/>
      <c r="M296" s="360">
        <f t="shared" si="30"/>
        <v>637035</v>
      </c>
      <c r="N296" s="237">
        <f t="shared" si="31"/>
        <v>-9141.1921399999974</v>
      </c>
      <c r="O296" s="361"/>
      <c r="P296" s="361"/>
      <c r="Q296" s="361" t="s">
        <v>698</v>
      </c>
      <c r="R296" s="362">
        <f>IF(Q296="ekrk",INDEX(indexy_SDcast!$A:$C,MATCH($M296,indexy_SDcast!$A:$A,0),2),"")</f>
        <v>25</v>
      </c>
      <c r="S296" s="236"/>
      <c r="T296" s="364">
        <f t="shared" si="32"/>
        <v>637035</v>
      </c>
      <c r="U296" s="365">
        <f>N296</f>
        <v>-9141.1921399999974</v>
      </c>
      <c r="V296" s="365">
        <f>IF($Q296="ekrk",IF($R296="data",IFERROR(INDEX(data!$A:$ALL,MATCH($M296,data!$A:$A,0),MATCH(V$2,data!$1:$1,0)),"#data"),IFERROR(U296*INDEX(indexy_SDcast!$A:$ALI,MATCH($R296,indexy_SDcast!$K:$K,0),MATCH(V$2,indexy_SDcast!$2:$2,0)),"#ekrk")),"#popis")</f>
        <v>-9210.1852374218124</v>
      </c>
      <c r="W296" s="365">
        <f>IF($Q296="ekrk",IF($R296="data",IFERROR(INDEX(data!$A:$ALL,MATCH($M296,data!$A:$A,0),MATCH(W$2,data!$1:$1,0)),"#data"),IFERROR(V296*INDEX(indexy_SDcast!$A:$ALI,MATCH($R296,indexy_SDcast!$K:$K,0),MATCH(W$2,indexy_SDcast!$2:$2,0)),"#ekrk")),"#popis")</f>
        <v>-9401.2931769601819</v>
      </c>
      <c r="X296" s="365">
        <f>IF($Q296="ekrk",IF($R296="data",IFERROR(INDEX(data!$A:$ALL,MATCH($M296,data!$A:$A,0),MATCH(X$2,data!$1:$1,0)),"#data"),IFERROR(W296*INDEX(indexy_SDcast!$A:$ALI,MATCH($R296,indexy_SDcast!$K:$K,0),MATCH(X$2,indexy_SDcast!$2:$2,0)),"#ekrk")),"#popis")</f>
        <v>-9615.1501398628825</v>
      </c>
      <c r="Y296" s="362">
        <f>IF($Q296="ekrk",IF($R296="data",IFERROR(INDEX(data!$A:$ALL,MATCH($M296,data!$A:$A,0),MATCH(Y$2,data!$1:$1,0)),"#data"),IFERROR(X296*INDEX(indexy_SDcast!$A:$ALI,MATCH($R296,indexy_SDcast!$K:$K,0),MATCH(Y$2,indexy_SDcast!$2:$2,0)),"#ekrk")),"#popis")</f>
        <v>-9841.6191560362477</v>
      </c>
    </row>
    <row r="297" spans="1:44" s="18" customFormat="1" x14ac:dyDescent="0.25">
      <c r="A297" s="333" t="s">
        <v>708</v>
      </c>
      <c r="B297" s="334">
        <v>-308.43982</v>
      </c>
      <c r="C297" s="164"/>
      <c r="D297" s="333" t="s">
        <v>708</v>
      </c>
      <c r="E297" s="334">
        <v>-308.43982</v>
      </c>
      <c r="F297" s="164"/>
      <c r="G297" s="333" t="s">
        <v>708</v>
      </c>
      <c r="H297" s="334">
        <v>-308.43982</v>
      </c>
      <c r="I297" s="164"/>
      <c r="J297" s="333" t="s">
        <v>708</v>
      </c>
      <c r="K297" s="334">
        <v>-308.43982</v>
      </c>
      <c r="L297" s="164"/>
      <c r="M297" s="358" t="str">
        <f t="shared" si="30"/>
        <v>D319PAY</v>
      </c>
      <c r="N297" s="239">
        <f t="shared" si="31"/>
        <v>-308.43982</v>
      </c>
      <c r="O297" s="243"/>
      <c r="P297" s="243">
        <f>MATCH(Q297,Q298:Q$1550,0)</f>
        <v>6</v>
      </c>
      <c r="Q297" s="243" t="s">
        <v>697</v>
      </c>
      <c r="R297" s="359" t="str">
        <f>IF(Q297="ekrk",INDEX(indexy_SDcast!$A:$C,MATCH($M297,indexy_SDcast!$A:$A,0),2),"")</f>
        <v/>
      </c>
      <c r="S297" s="240"/>
      <c r="T297" s="363" t="str">
        <f t="shared" si="32"/>
        <v>D319PAY</v>
      </c>
      <c r="U297" s="244">
        <f>SUM(U298:U302)</f>
        <v>-308.43982</v>
      </c>
      <c r="V297" s="244">
        <f>SUM(V298:V302)</f>
        <v>-310.76776784576396</v>
      </c>
      <c r="W297" s="244">
        <f>SUM(W298:W302)</f>
        <v>-317.21608416698564</v>
      </c>
      <c r="X297" s="244">
        <f>SUM(X298:X302)</f>
        <v>-324.43199234758492</v>
      </c>
      <c r="Y297" s="359">
        <f>SUM(Y298:Y302)</f>
        <v>-332.07345327678161</v>
      </c>
      <c r="Z297" s="58"/>
      <c r="AA297" s="58"/>
      <c r="AB297" s="58"/>
      <c r="AC297" s="58"/>
      <c r="AD297" s="58"/>
      <c r="AE297" s="58"/>
      <c r="AF297" s="58"/>
      <c r="AG297" s="58"/>
      <c r="AH297" s="58"/>
      <c r="AI297" s="58"/>
      <c r="AJ297" s="58"/>
      <c r="AK297" s="58"/>
      <c r="AL297" s="58"/>
      <c r="AM297" s="58"/>
      <c r="AN297" s="58"/>
      <c r="AO297" s="58"/>
      <c r="AP297" s="58"/>
      <c r="AQ297" s="58"/>
      <c r="AR297" s="58"/>
    </row>
    <row r="298" spans="1:44" x14ac:dyDescent="0.25">
      <c r="A298" s="330">
        <v>644001</v>
      </c>
      <c r="B298" s="329">
        <v>-23.258659999999999</v>
      </c>
      <c r="C298" s="157"/>
      <c r="D298" s="330">
        <v>644001</v>
      </c>
      <c r="E298" s="329">
        <v>-23.258659999999999</v>
      </c>
      <c r="F298" s="157"/>
      <c r="G298" s="330">
        <v>644001</v>
      </c>
      <c r="H298" s="329">
        <v>-23.258659999999999</v>
      </c>
      <c r="I298" s="157"/>
      <c r="J298" s="330">
        <v>644001</v>
      </c>
      <c r="K298" s="329">
        <v>-23.258659999999999</v>
      </c>
      <c r="L298" s="157"/>
      <c r="M298" s="360">
        <f t="shared" si="30"/>
        <v>644001</v>
      </c>
      <c r="N298" s="237">
        <f t="shared" si="31"/>
        <v>-23.258659999999999</v>
      </c>
      <c r="O298" s="361"/>
      <c r="P298" s="361"/>
      <c r="Q298" s="361" t="s">
        <v>698</v>
      </c>
      <c r="R298" s="362">
        <v>25</v>
      </c>
      <c r="S298" s="236"/>
      <c r="T298" s="364">
        <f t="shared" si="32"/>
        <v>644001</v>
      </c>
      <c r="U298" s="365">
        <f>N298</f>
        <v>-23.258659999999999</v>
      </c>
      <c r="V298" s="365">
        <f>IF($Q298="ekrk",IF($R298="data",IFERROR(INDEX(data!$A:$ALL,MATCH($M298,data!$A:$A,0),MATCH(V$2,data!$1:$1,0)),"#data"),IFERROR(U298*INDEX(indexy_SDcast!$A:$ALI,MATCH($R298,indexy_SDcast!$K:$K,0),MATCH(V$2,indexy_SDcast!$2:$2,0)),"#ekrk")),"#popis")</f>
        <v>-23.434204608482641</v>
      </c>
      <c r="W298" s="365">
        <f>IF($Q298="ekrk",IF($R298="data",IFERROR(INDEX(data!$A:$ALL,MATCH($M298,data!$A:$A,0),MATCH(W$2,data!$1:$1,0)),"#data"),IFERROR(V298*INDEX(indexy_SDcast!$A:$ALI,MATCH($R298,indexy_SDcast!$K:$K,0),MATCH(W$2,indexy_SDcast!$2:$2,0)),"#ekrk")),"#popis")</f>
        <v>-23.920455692690076</v>
      </c>
      <c r="X298" s="365">
        <f>IF($Q298="ekrk",IF($R298="data",IFERROR(INDEX(data!$A:$ALL,MATCH($M298,data!$A:$A,0),MATCH(X$2,data!$1:$1,0)),"#data"),IFERROR(W298*INDEX(indexy_SDcast!$A:$ALI,MATCH($R298,indexy_SDcast!$K:$K,0),MATCH(X$2,indexy_SDcast!$2:$2,0)),"#ekrk")),"#popis")</f>
        <v>-24.464588920895753</v>
      </c>
      <c r="Y298" s="362">
        <f>IF($Q298="ekrk",IF($R298="data",IFERROR(INDEX(data!$A:$ALL,MATCH($M298,data!$A:$A,0),MATCH(Y$2,data!$1:$1,0)),"#data"),IFERROR(X298*INDEX(indexy_SDcast!$A:$ALI,MATCH($R298,indexy_SDcast!$K:$K,0),MATCH(Y$2,indexy_SDcast!$2:$2,0)),"#ekrk")),"#popis")</f>
        <v>-25.040811996293311</v>
      </c>
    </row>
    <row r="299" spans="1:44" x14ac:dyDescent="0.25">
      <c r="A299" s="330">
        <v>644002</v>
      </c>
      <c r="B299" s="329">
        <v>-105.10655999999996</v>
      </c>
      <c r="C299" s="157"/>
      <c r="D299" s="330">
        <v>644002</v>
      </c>
      <c r="E299" s="329">
        <v>-105.10655999999996</v>
      </c>
      <c r="F299" s="157"/>
      <c r="G299" s="330">
        <v>644002</v>
      </c>
      <c r="H299" s="329">
        <v>-105.10655999999996</v>
      </c>
      <c r="I299" s="157"/>
      <c r="J299" s="330">
        <v>644002</v>
      </c>
      <c r="K299" s="329">
        <v>-105.10655999999996</v>
      </c>
      <c r="L299" s="157"/>
      <c r="M299" s="360">
        <f t="shared" si="30"/>
        <v>644002</v>
      </c>
      <c r="N299" s="237">
        <f t="shared" si="31"/>
        <v>-105.10655999999996</v>
      </c>
      <c r="O299" s="361"/>
      <c r="P299" s="361"/>
      <c r="Q299" s="361" t="s">
        <v>698</v>
      </c>
      <c r="R299" s="362">
        <v>25</v>
      </c>
      <c r="S299" s="236"/>
      <c r="T299" s="364">
        <f t="shared" si="32"/>
        <v>644002</v>
      </c>
      <c r="U299" s="365">
        <f>N299</f>
        <v>-105.10655999999996</v>
      </c>
      <c r="V299" s="365">
        <f>IF($Q299="ekrk",IF($R299="data",IFERROR(INDEX(data!$A:$ALL,MATCH($M299,data!$A:$A,0),MATCH(V$2,data!$1:$1,0)),"#data"),IFERROR(U299*INDEX(indexy_SDcast!$A:$ALI,MATCH($R299,indexy_SDcast!$K:$K,0),MATCH(V$2,indexy_SDcast!$2:$2,0)),"#ekrk")),"#popis")</f>
        <v>-105.89985118376364</v>
      </c>
      <c r="W299" s="365">
        <f>IF($Q299="ekrk",IF($R299="data",IFERROR(INDEX(data!$A:$ALL,MATCH($M299,data!$A:$A,0),MATCH(W$2,data!$1:$1,0)),"#data"),IFERROR(V299*INDEX(indexy_SDcast!$A:$ALI,MATCH($R299,indexy_SDcast!$K:$K,0),MATCH(W$2,indexy_SDcast!$2:$2,0)),"#ekrk")),"#popis")</f>
        <v>-108.09723395462464</v>
      </c>
      <c r="X299" s="365">
        <f>IF($Q299="ekrk",IF($R299="data",IFERROR(INDEX(data!$A:$ALL,MATCH($M299,data!$A:$A,0),MATCH(X$2,data!$1:$1,0)),"#data"),IFERROR(W299*INDEX(indexy_SDcast!$A:$ALI,MATCH($R299,indexy_SDcast!$K:$K,0),MATCH(X$2,indexy_SDcast!$2:$2,0)),"#ekrk")),"#popis")</f>
        <v>-110.55618781518211</v>
      </c>
      <c r="Y299" s="362">
        <f>IF($Q299="ekrk",IF($R299="data",IFERROR(INDEX(data!$A:$ALL,MATCH($M299,data!$A:$A,0),MATCH(Y$2,data!$1:$1,0)),"#data"),IFERROR(X299*INDEX(indexy_SDcast!$A:$ALI,MATCH($R299,indexy_SDcast!$K:$K,0),MATCH(Y$2,indexy_SDcast!$2:$2,0)),"#ekrk")),"#popis")</f>
        <v>-113.1601566271282</v>
      </c>
    </row>
    <row r="300" spans="1:44" x14ac:dyDescent="0.25">
      <c r="A300" s="330">
        <v>644003</v>
      </c>
      <c r="B300" s="329">
        <v>-173.73600000000005</v>
      </c>
      <c r="C300" s="157"/>
      <c r="D300" s="330">
        <v>644003</v>
      </c>
      <c r="E300" s="329">
        <v>-173.73600000000005</v>
      </c>
      <c r="F300" s="157"/>
      <c r="G300" s="330">
        <v>644003</v>
      </c>
      <c r="H300" s="329">
        <v>-173.73600000000005</v>
      </c>
      <c r="I300" s="157"/>
      <c r="J300" s="330">
        <v>644003</v>
      </c>
      <c r="K300" s="329">
        <v>-173.73600000000005</v>
      </c>
      <c r="L300" s="157"/>
      <c r="M300" s="360">
        <f t="shared" si="30"/>
        <v>644003</v>
      </c>
      <c r="N300" s="237">
        <f t="shared" si="31"/>
        <v>-173.73600000000005</v>
      </c>
      <c r="O300" s="361"/>
      <c r="P300" s="361"/>
      <c r="Q300" s="361" t="s">
        <v>698</v>
      </c>
      <c r="R300" s="362">
        <f>IF(Q300="ekrk",INDEX(indexy_SDcast!$A:$C,MATCH($M300,indexy_SDcast!$A:$A,0),2),"")</f>
        <v>25</v>
      </c>
      <c r="S300" s="236"/>
      <c r="T300" s="364">
        <f t="shared" si="32"/>
        <v>644003</v>
      </c>
      <c r="U300" s="365">
        <f>N300</f>
        <v>-173.73600000000005</v>
      </c>
      <c r="V300" s="365">
        <f>IF($Q300="ekrk",IF($R300="data",IFERROR(INDEX(data!$A:$ALL,MATCH($M300,data!$A:$A,0),MATCH(V$2,data!$1:$1,0)),"#data"),IFERROR(U300*INDEX(indexy_SDcast!$A:$ALI,MATCH($R300,indexy_SDcast!$K:$K,0),MATCH(V$2,indexy_SDcast!$2:$2,0)),"#ekrk")),"#popis")</f>
        <v>-175.04727150486491</v>
      </c>
      <c r="W300" s="365">
        <f>IF($Q300="ekrk",IF($R300="data",IFERROR(INDEX(data!$A:$ALL,MATCH($M300,data!$A:$A,0),MATCH(W$2,data!$1:$1,0)),"#data"),IFERROR(V300*INDEX(indexy_SDcast!$A:$ALI,MATCH($R300,indexy_SDcast!$K:$K,0),MATCH(W$2,indexy_SDcast!$2:$2,0)),"#ekrk")),"#popis")</f>
        <v>-178.67943769009926</v>
      </c>
      <c r="X300" s="365">
        <f>IF($Q300="ekrk",IF($R300="data",IFERROR(INDEX(data!$A:$ALL,MATCH($M300,data!$A:$A,0),MATCH(X$2,data!$1:$1,0)),"#data"),IFERROR(W300*INDEX(indexy_SDcast!$A:$ALI,MATCH($R300,indexy_SDcast!$K:$K,0),MATCH(X$2,indexy_SDcast!$2:$2,0)),"#ekrk")),"#popis")</f>
        <v>-182.74396808589771</v>
      </c>
      <c r="Y300" s="362">
        <f>IF($Q300="ekrk",IF($R300="data",IFERROR(INDEX(data!$A:$ALL,MATCH($M300,data!$A:$A,0),MATCH(Y$2,data!$1:$1,0)),"#data"),IFERROR(X300*INDEX(indexy_SDcast!$A:$ALI,MATCH($R300,indexy_SDcast!$K:$K,0),MATCH(Y$2,indexy_SDcast!$2:$2,0)),"#ekrk")),"#popis")</f>
        <v>-187.0482010996341</v>
      </c>
    </row>
    <row r="301" spans="1:44" x14ac:dyDescent="0.25">
      <c r="A301" s="330">
        <v>644004</v>
      </c>
      <c r="B301" s="329">
        <v>-6.3385999999999996</v>
      </c>
      <c r="C301" s="157"/>
      <c r="D301" s="330">
        <v>644004</v>
      </c>
      <c r="E301" s="329">
        <v>-6.3385999999999996</v>
      </c>
      <c r="F301" s="157"/>
      <c r="G301" s="330">
        <v>644004</v>
      </c>
      <c r="H301" s="329">
        <v>-6.3385999999999996</v>
      </c>
      <c r="I301" s="157"/>
      <c r="J301" s="330">
        <v>644004</v>
      </c>
      <c r="K301" s="329">
        <v>-6.3385999999999996</v>
      </c>
      <c r="L301" s="157"/>
      <c r="M301" s="360">
        <f t="shared" si="30"/>
        <v>644004</v>
      </c>
      <c r="N301" s="237">
        <f t="shared" si="31"/>
        <v>-6.3385999999999996</v>
      </c>
      <c r="O301" s="361"/>
      <c r="P301" s="361"/>
      <c r="Q301" s="361" t="s">
        <v>698</v>
      </c>
      <c r="R301" s="362">
        <f>IF(Q301="ekrk",INDEX(indexy_SDcast!$A:$C,MATCH($M301,indexy_SDcast!$A:$A,0),2),"")</f>
        <v>25</v>
      </c>
      <c r="S301" s="236"/>
      <c r="T301" s="364">
        <f t="shared" si="32"/>
        <v>644004</v>
      </c>
      <c r="U301" s="365">
        <f>N301</f>
        <v>-6.3385999999999996</v>
      </c>
      <c r="V301" s="365">
        <f>IF($Q301="ekrk",IF($R301="data",IFERROR(INDEX(data!$A:$ALL,MATCH($M301,data!$A:$A,0),MATCH(V$2,data!$1:$1,0)),"#data"),IFERROR(U301*INDEX(indexy_SDcast!$A:$ALI,MATCH($R301,indexy_SDcast!$K:$K,0),MATCH(V$2,indexy_SDcast!$2:$2,0)),"#ekrk")),"#popis")</f>
        <v>-6.3864405486527627</v>
      </c>
      <c r="W301" s="365">
        <f>IF($Q301="ekrk",IF($R301="data",IFERROR(INDEX(data!$A:$ALL,MATCH($M301,data!$A:$A,0),MATCH(W$2,data!$1:$1,0)),"#data"),IFERROR(V301*INDEX(indexy_SDcast!$A:$ALI,MATCH($R301,indexy_SDcast!$K:$K,0),MATCH(W$2,indexy_SDcast!$2:$2,0)),"#ekrk")),"#popis")</f>
        <v>-6.5189568295716658</v>
      </c>
      <c r="X301" s="365">
        <f>IF($Q301="ekrk",IF($R301="data",IFERROR(INDEX(data!$A:$ALL,MATCH($M301,data!$A:$A,0),MATCH(X$2,data!$1:$1,0)),"#data"),IFERROR(W301*INDEX(indexy_SDcast!$A:$ALI,MATCH($R301,indexy_SDcast!$K:$K,0),MATCH(X$2,indexy_SDcast!$2:$2,0)),"#ekrk")),"#popis")</f>
        <v>-6.6672475256093779</v>
      </c>
      <c r="Y301" s="362">
        <f>IF($Q301="ekrk",IF($R301="data",IFERROR(INDEX(data!$A:$ALL,MATCH($M301,data!$A:$A,0),MATCH(Y$2,data!$1:$1,0)),"#data"),IFERROR(X301*INDEX(indexy_SDcast!$A:$ALI,MATCH($R301,indexy_SDcast!$K:$K,0),MATCH(Y$2,indexy_SDcast!$2:$2,0)),"#ekrk")),"#popis")</f>
        <v>-6.8242835537260005</v>
      </c>
    </row>
    <row r="302" spans="1:44" x14ac:dyDescent="0.25">
      <c r="A302" s="330">
        <v>647001</v>
      </c>
      <c r="B302" s="329">
        <v>0</v>
      </c>
      <c r="C302" s="157"/>
      <c r="D302" s="330">
        <v>647001</v>
      </c>
      <c r="E302" s="329">
        <v>0</v>
      </c>
      <c r="F302" s="157"/>
      <c r="G302" s="330">
        <v>647001</v>
      </c>
      <c r="H302" s="329">
        <v>0</v>
      </c>
      <c r="I302" s="157"/>
      <c r="J302" s="330">
        <v>647001</v>
      </c>
      <c r="K302" s="329">
        <v>0</v>
      </c>
      <c r="L302" s="157"/>
      <c r="M302" s="360">
        <f t="shared" si="30"/>
        <v>647001</v>
      </c>
      <c r="N302" s="237">
        <f t="shared" si="31"/>
        <v>0</v>
      </c>
      <c r="O302" s="361"/>
      <c r="P302" s="361"/>
      <c r="Q302" s="361" t="s">
        <v>698</v>
      </c>
      <c r="R302" s="362">
        <f>IF(Q302="ekrk",INDEX(indexy_SDcast!$A:$C,MATCH($M302,indexy_SDcast!$A:$A,0),2),"")</f>
        <v>9</v>
      </c>
      <c r="S302" s="236"/>
      <c r="T302" s="364">
        <f t="shared" si="32"/>
        <v>647001</v>
      </c>
      <c r="U302" s="365">
        <f>N302</f>
        <v>0</v>
      </c>
      <c r="V302" s="365">
        <f>IF($Q302="ekrk",IF($R302="data",IFERROR(INDEX(data!$A:$ALL,MATCH($M302,data!$A:$A,0),MATCH(V$2,data!$1:$1,0)),"#data"),IFERROR(U302*INDEX(indexy_SDcast!$A:$ALI,MATCH($R302,indexy_SDcast!$K:$K,0),MATCH(V$2,indexy_SDcast!$2:$2,0)),"#ekrk")),"#popis")</f>
        <v>0</v>
      </c>
      <c r="W302" s="365">
        <f>IF($Q302="ekrk",IF($R302="data",IFERROR(INDEX(data!$A:$ALL,MATCH($M302,data!$A:$A,0),MATCH(W$2,data!$1:$1,0)),"#data"),IFERROR(V302*INDEX(indexy_SDcast!$A:$ALI,MATCH($R302,indexy_SDcast!$K:$K,0),MATCH(W$2,indexy_SDcast!$2:$2,0)),"#ekrk")),"#popis")</f>
        <v>0</v>
      </c>
      <c r="X302" s="365">
        <f>IF($Q302="ekrk",IF($R302="data",IFERROR(INDEX(data!$A:$ALL,MATCH($M302,data!$A:$A,0),MATCH(X$2,data!$1:$1,0)),"#data"),IFERROR(W302*INDEX(indexy_SDcast!$A:$ALI,MATCH($R302,indexy_SDcast!$K:$K,0),MATCH(X$2,indexy_SDcast!$2:$2,0)),"#ekrk")),"#popis")</f>
        <v>0</v>
      </c>
      <c r="Y302" s="362">
        <f>IF($Q302="ekrk",IF($R302="data",IFERROR(INDEX(data!$A:$ALL,MATCH($M302,data!$A:$A,0),MATCH(Y$2,data!$1:$1,0)),"#data"),IFERROR(X302*INDEX(indexy_SDcast!$A:$ALI,MATCH($R302,indexy_SDcast!$K:$K,0),MATCH(Y$2,indexy_SDcast!$2:$2,0)),"#ekrk")),"#popis")</f>
        <v>0</v>
      </c>
    </row>
    <row r="303" spans="1:44" s="18" customFormat="1" x14ac:dyDescent="0.25">
      <c r="A303" s="333" t="s">
        <v>709</v>
      </c>
      <c r="B303" s="334">
        <v>-362.08155999999991</v>
      </c>
      <c r="C303" s="164"/>
      <c r="D303" s="333" t="s">
        <v>709</v>
      </c>
      <c r="E303" s="334">
        <v>-362.08155999999991</v>
      </c>
      <c r="F303" s="164"/>
      <c r="G303" s="333" t="s">
        <v>709</v>
      </c>
      <c r="H303" s="334">
        <v>-362.08155999999991</v>
      </c>
      <c r="I303" s="164"/>
      <c r="J303" s="333" t="s">
        <v>709</v>
      </c>
      <c r="K303" s="334">
        <v>-362.08155999999991</v>
      </c>
      <c r="L303" s="164"/>
      <c r="M303" s="358" t="str">
        <f t="shared" si="30"/>
        <v>D39PAY</v>
      </c>
      <c r="N303" s="239">
        <f t="shared" si="31"/>
        <v>-362.08155999999991</v>
      </c>
      <c r="O303" s="243"/>
      <c r="P303" s="243">
        <f>MATCH(Q303,Q304:Q$1550,0)</f>
        <v>6</v>
      </c>
      <c r="Q303" s="243" t="s">
        <v>697</v>
      </c>
      <c r="R303" s="359" t="str">
        <f>IF(Q303="ekrk",INDEX(indexy_SDcast!$A:$C,MATCH($M303,indexy_SDcast!$A:$A,0),2),"")</f>
        <v/>
      </c>
      <c r="S303" s="240"/>
      <c r="T303" s="363" t="str">
        <f t="shared" si="32"/>
        <v>D39PAY</v>
      </c>
      <c r="U303" s="244">
        <f>SUM(U304:U308)</f>
        <v>-362.08155999999991</v>
      </c>
      <c r="V303" s="244">
        <f>SUM(V304:V308)</f>
        <v>-364.81436858351179</v>
      </c>
      <c r="W303" s="244">
        <f>SUM(W304:W308)</f>
        <v>-372.38413189410318</v>
      </c>
      <c r="X303" s="244">
        <f>SUM(X304:X308)</f>
        <v>-380.85498138055453</v>
      </c>
      <c r="Y303" s="359">
        <f>SUM(Y304:Y308)</f>
        <v>-389.82539283366259</v>
      </c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8"/>
      <c r="AN303" s="58"/>
      <c r="AO303" s="58"/>
      <c r="AP303" s="58"/>
      <c r="AQ303" s="58"/>
      <c r="AR303" s="58"/>
    </row>
    <row r="304" spans="1:44" x14ac:dyDescent="0.25">
      <c r="A304" s="330">
        <v>644001</v>
      </c>
      <c r="B304" s="329">
        <v>-27.303639999999994</v>
      </c>
      <c r="C304" s="157"/>
      <c r="D304" s="330">
        <v>644001</v>
      </c>
      <c r="E304" s="329">
        <v>-27.303639999999994</v>
      </c>
      <c r="F304" s="157"/>
      <c r="G304" s="330">
        <v>644001</v>
      </c>
      <c r="H304" s="329">
        <v>-27.303639999999994</v>
      </c>
      <c r="I304" s="157"/>
      <c r="J304" s="330">
        <v>644001</v>
      </c>
      <c r="K304" s="329">
        <v>-27.303639999999994</v>
      </c>
      <c r="L304" s="157"/>
      <c r="M304" s="360">
        <f t="shared" ref="M304:M367" si="35">J304</f>
        <v>644001</v>
      </c>
      <c r="N304" s="237">
        <f t="shared" ref="N304:N367" si="36">K304</f>
        <v>-27.303639999999994</v>
      </c>
      <c r="O304" s="361"/>
      <c r="P304" s="361"/>
      <c r="Q304" s="361" t="s">
        <v>698</v>
      </c>
      <c r="R304" s="362">
        <v>25</v>
      </c>
      <c r="S304" s="236"/>
      <c r="T304" s="364">
        <f t="shared" si="32"/>
        <v>644001</v>
      </c>
      <c r="U304" s="365">
        <f>N304</f>
        <v>-27.303639999999994</v>
      </c>
      <c r="V304" s="365">
        <f>IF($Q304="ekrk",IF($R304="data",IFERROR(INDEX(data!$A:$ALL,MATCH($M304,data!$A:$A,0),MATCH(V$2,data!$1:$1,0)),"#data"),IFERROR(U304*INDEX(indexy_SDcast!$A:$ALI,MATCH($R304,indexy_SDcast!$K:$K,0),MATCH(V$2,indexy_SDcast!$2:$2,0)),"#ekrk")),"#popis")</f>
        <v>-27.509714072794857</v>
      </c>
      <c r="W304" s="365">
        <f>IF($Q304="ekrk",IF($R304="data",IFERROR(INDEX(data!$A:$ALL,MATCH($M304,data!$A:$A,0),MATCH(W$2,data!$1:$1,0)),"#data"),IFERROR(V304*INDEX(indexy_SDcast!$A:$ALI,MATCH($R304,indexy_SDcast!$K:$K,0),MATCH(W$2,indexy_SDcast!$2:$2,0)),"#ekrk")),"#popis")</f>
        <v>-28.080530472054722</v>
      </c>
      <c r="X304" s="365">
        <f>IF($Q304="ekrk",IF($R304="data",IFERROR(INDEX(data!$A:$ALL,MATCH($M304,data!$A:$A,0),MATCH(X$2,data!$1:$1,0)),"#data"),IFERROR(W304*INDEX(indexy_SDcast!$A:$ALI,MATCH($R304,indexy_SDcast!$K:$K,0),MATCH(X$2,indexy_SDcast!$2:$2,0)),"#ekrk")),"#popis")</f>
        <v>-28.719295464318488</v>
      </c>
      <c r="Y304" s="362">
        <f>IF($Q304="ekrk",IF($R304="data",IFERROR(INDEX(data!$A:$ALL,MATCH($M304,data!$A:$A,0),MATCH(Y$2,data!$1:$1,0)),"#data"),IFERROR(X304*INDEX(indexy_SDcast!$A:$ALI,MATCH($R304,indexy_SDcast!$K:$K,0),MATCH(Y$2,indexy_SDcast!$2:$2,0)),"#ekrk")),"#popis")</f>
        <v>-29.39573114076536</v>
      </c>
    </row>
    <row r="305" spans="1:44" x14ac:dyDescent="0.25">
      <c r="A305" s="330">
        <v>644002</v>
      </c>
      <c r="B305" s="329">
        <v>-123.38600999999998</v>
      </c>
      <c r="C305" s="157"/>
      <c r="D305" s="330">
        <v>644002</v>
      </c>
      <c r="E305" s="329">
        <v>-123.38600999999998</v>
      </c>
      <c r="F305" s="157"/>
      <c r="G305" s="330">
        <v>644002</v>
      </c>
      <c r="H305" s="329">
        <v>-123.38600999999998</v>
      </c>
      <c r="I305" s="157"/>
      <c r="J305" s="330">
        <v>644002</v>
      </c>
      <c r="K305" s="329">
        <v>-123.38600999999998</v>
      </c>
      <c r="L305" s="157"/>
      <c r="M305" s="360">
        <f t="shared" si="35"/>
        <v>644002</v>
      </c>
      <c r="N305" s="237">
        <f t="shared" si="36"/>
        <v>-123.38600999999998</v>
      </c>
      <c r="O305" s="361"/>
      <c r="P305" s="361"/>
      <c r="Q305" s="361" t="s">
        <v>698</v>
      </c>
      <c r="R305" s="362">
        <v>25</v>
      </c>
      <c r="S305" s="236"/>
      <c r="T305" s="364">
        <f t="shared" si="32"/>
        <v>644002</v>
      </c>
      <c r="U305" s="365">
        <f>N305</f>
        <v>-123.38600999999998</v>
      </c>
      <c r="V305" s="365">
        <f>IF($Q305="ekrk",IF($R305="data",IFERROR(INDEX(data!$A:$ALL,MATCH($M305,data!$A:$A,0),MATCH(V$2,data!$1:$1,0)),"#data"),IFERROR(U305*INDEX(indexy_SDcast!$A:$ALI,MATCH($R305,indexy_SDcast!$K:$K,0),MATCH(V$2,indexy_SDcast!$2:$2,0)),"#ekrk")),"#popis")</f>
        <v>-124.31726523214513</v>
      </c>
      <c r="W305" s="365">
        <f>IF($Q305="ekrk",IF($R305="data",IFERROR(INDEX(data!$A:$ALL,MATCH($M305,data!$A:$A,0),MATCH(W$2,data!$1:$1,0)),"#data"),IFERROR(V305*INDEX(indexy_SDcast!$A:$ALI,MATCH($R305,indexy_SDcast!$K:$K,0),MATCH(W$2,indexy_SDcast!$2:$2,0)),"#ekrk")),"#popis")</f>
        <v>-126.89680253732649</v>
      </c>
      <c r="X305" s="365">
        <f>IF($Q305="ekrk",IF($R305="data",IFERROR(INDEX(data!$A:$ALL,MATCH($M305,data!$A:$A,0),MATCH(X$2,data!$1:$1,0)),"#data"),IFERROR(W305*INDEX(indexy_SDcast!$A:$ALI,MATCH($R305,indexy_SDcast!$K:$K,0),MATCH(X$2,indexy_SDcast!$2:$2,0)),"#ekrk")),"#popis")</f>
        <v>-129.78340167660269</v>
      </c>
      <c r="Y305" s="362">
        <f>IF($Q305="ekrk",IF($R305="data",IFERROR(INDEX(data!$A:$ALL,MATCH($M305,data!$A:$A,0),MATCH(Y$2,data!$1:$1,0)),"#data"),IFERROR(X305*INDEX(indexy_SDcast!$A:$ALI,MATCH($R305,indexy_SDcast!$K:$K,0),MATCH(Y$2,indexy_SDcast!$2:$2,0)),"#ekrk")),"#popis")</f>
        <v>-132.84023582539862</v>
      </c>
    </row>
    <row r="306" spans="1:44" x14ac:dyDescent="0.25">
      <c r="A306" s="330">
        <v>644003</v>
      </c>
      <c r="B306" s="329">
        <v>-203.95093999999995</v>
      </c>
      <c r="C306" s="157"/>
      <c r="D306" s="330">
        <v>644003</v>
      </c>
      <c r="E306" s="329">
        <v>-203.95093999999995</v>
      </c>
      <c r="F306" s="157"/>
      <c r="G306" s="330">
        <v>644003</v>
      </c>
      <c r="H306" s="329">
        <v>-203.95093999999995</v>
      </c>
      <c r="I306" s="157"/>
      <c r="J306" s="330">
        <v>644003</v>
      </c>
      <c r="K306" s="329">
        <v>-203.95093999999995</v>
      </c>
      <c r="L306" s="157"/>
      <c r="M306" s="360">
        <f t="shared" si="35"/>
        <v>644003</v>
      </c>
      <c r="N306" s="237">
        <f t="shared" si="36"/>
        <v>-203.95093999999995</v>
      </c>
      <c r="O306" s="361"/>
      <c r="P306" s="361"/>
      <c r="Q306" s="361" t="s">
        <v>698</v>
      </c>
      <c r="R306" s="362">
        <f>IF(Q306="ekrk",INDEX(indexy_SDcast!$A:$C,MATCH($M306,indexy_SDcast!$A:$A,0),2),"")</f>
        <v>25</v>
      </c>
      <c r="S306" s="236"/>
      <c r="T306" s="364">
        <f t="shared" si="32"/>
        <v>644003</v>
      </c>
      <c r="U306" s="365">
        <f>N306</f>
        <v>-203.95093999999995</v>
      </c>
      <c r="V306" s="365">
        <f>IF($Q306="ekrk",IF($R306="data",IFERROR(INDEX(data!$A:$ALL,MATCH($M306,data!$A:$A,0),MATCH(V$2,data!$1:$1,0)),"#data"),IFERROR(U306*INDEX(indexy_SDcast!$A:$ALI,MATCH($R306,indexy_SDcast!$K:$K,0),MATCH(V$2,indexy_SDcast!$2:$2,0)),"#ekrk")),"#popis")</f>
        <v>-205.49025859840444</v>
      </c>
      <c r="W306" s="365">
        <f>IF($Q306="ekrk",IF($R306="data",IFERROR(INDEX(data!$A:$ALL,MATCH($M306,data!$A:$A,0),MATCH(W$2,data!$1:$1,0)),"#data"),IFERROR(V306*INDEX(indexy_SDcast!$A:$ALI,MATCH($R306,indexy_SDcast!$K:$K,0),MATCH(W$2,indexy_SDcast!$2:$2,0)),"#ekrk")),"#popis")</f>
        <v>-209.75410551392432</v>
      </c>
      <c r="X306" s="365">
        <f>IF($Q306="ekrk",IF($R306="data",IFERROR(INDEX(data!$A:$ALL,MATCH($M306,data!$A:$A,0),MATCH(X$2,data!$1:$1,0)),"#data"),IFERROR(W306*INDEX(indexy_SDcast!$A:$ALI,MATCH($R306,indexy_SDcast!$K:$K,0),MATCH(X$2,indexy_SDcast!$2:$2,0)),"#ekrk")),"#popis")</f>
        <v>-214.5255103746421</v>
      </c>
      <c r="Y306" s="362">
        <f>IF($Q306="ekrk",IF($R306="data",IFERROR(INDEX(data!$A:$ALL,MATCH($M306,data!$A:$A,0),MATCH(Y$2,data!$1:$1,0)),"#data"),IFERROR(X306*INDEX(indexy_SDcast!$A:$ALI,MATCH($R306,indexy_SDcast!$K:$K,0),MATCH(Y$2,indexy_SDcast!$2:$2,0)),"#ekrk")),"#popis")</f>
        <v>-219.57830524231818</v>
      </c>
    </row>
    <row r="307" spans="1:44" x14ac:dyDescent="0.25">
      <c r="A307" s="330">
        <v>644004</v>
      </c>
      <c r="B307" s="329">
        <v>-7.4409700000000001</v>
      </c>
      <c r="C307" s="157"/>
      <c r="D307" s="330">
        <v>644004</v>
      </c>
      <c r="E307" s="329">
        <v>-7.4409700000000001</v>
      </c>
      <c r="F307" s="157"/>
      <c r="G307" s="330">
        <v>644004</v>
      </c>
      <c r="H307" s="329">
        <v>-7.4409700000000001</v>
      </c>
      <c r="I307" s="157"/>
      <c r="J307" s="330">
        <v>644004</v>
      </c>
      <c r="K307" s="329">
        <v>-7.4409700000000001</v>
      </c>
      <c r="L307" s="157"/>
      <c r="M307" s="360">
        <f t="shared" si="35"/>
        <v>644004</v>
      </c>
      <c r="N307" s="237">
        <f t="shared" si="36"/>
        <v>-7.4409700000000001</v>
      </c>
      <c r="O307" s="361"/>
      <c r="P307" s="361"/>
      <c r="Q307" s="361" t="s">
        <v>698</v>
      </c>
      <c r="R307" s="362">
        <f>IF(Q307="ekrk",INDEX(indexy_SDcast!$A:$C,MATCH($M307,indexy_SDcast!$A:$A,0),2),"")</f>
        <v>25</v>
      </c>
      <c r="S307" s="236"/>
      <c r="T307" s="364">
        <f t="shared" si="32"/>
        <v>644004</v>
      </c>
      <c r="U307" s="365">
        <f>N307</f>
        <v>-7.4409700000000001</v>
      </c>
      <c r="V307" s="365">
        <f>IF($Q307="ekrk",IF($R307="data",IFERROR(INDEX(data!$A:$ALL,MATCH($M307,data!$A:$A,0),MATCH(V$2,data!$1:$1,0)),"#data"),IFERROR(U307*INDEX(indexy_SDcast!$A:$ALI,MATCH($R307,indexy_SDcast!$K:$K,0),MATCH(V$2,indexy_SDcast!$2:$2,0)),"#ekrk")),"#popis")</f>
        <v>-7.4971306801673476</v>
      </c>
      <c r="W307" s="365">
        <f>IF($Q307="ekrk",IF($R307="data",IFERROR(INDEX(data!$A:$ALL,MATCH($M307,data!$A:$A,0),MATCH(W$2,data!$1:$1,0)),"#data"),IFERROR(V307*INDEX(indexy_SDcast!$A:$ALI,MATCH($R307,indexy_SDcast!$K:$K,0),MATCH(W$2,indexy_SDcast!$2:$2,0)),"#ekrk")),"#popis")</f>
        <v>-7.6526933707976328</v>
      </c>
      <c r="X307" s="365">
        <f>IF($Q307="ekrk",IF($R307="data",IFERROR(INDEX(data!$A:$ALL,MATCH($M307,data!$A:$A,0),MATCH(X$2,data!$1:$1,0)),"#data"),IFERROR(W307*INDEX(indexy_SDcast!$A:$ALI,MATCH($R307,indexy_SDcast!$K:$K,0),MATCH(X$2,indexy_SDcast!$2:$2,0)),"#ekrk")),"#popis")</f>
        <v>-7.8267738649912619</v>
      </c>
      <c r="Y307" s="362">
        <f>IF($Q307="ekrk",IF($R307="data",IFERROR(INDEX(data!$A:$ALL,MATCH($M307,data!$A:$A,0),MATCH(Y$2,data!$1:$1,0)),"#data"),IFERROR(X307*INDEX(indexy_SDcast!$A:$ALI,MATCH($R307,indexy_SDcast!$K:$K,0),MATCH(Y$2,indexy_SDcast!$2:$2,0)),"#ekrk")),"#popis")</f>
        <v>-8.0111206251804123</v>
      </c>
    </row>
    <row r="308" spans="1:44" x14ac:dyDescent="0.25">
      <c r="A308" s="330">
        <v>647001</v>
      </c>
      <c r="B308" s="329">
        <v>0</v>
      </c>
      <c r="C308" s="157"/>
      <c r="D308" s="330">
        <v>647001</v>
      </c>
      <c r="E308" s="329">
        <v>0</v>
      </c>
      <c r="F308" s="157"/>
      <c r="G308" s="330">
        <v>647001</v>
      </c>
      <c r="H308" s="329">
        <v>0</v>
      </c>
      <c r="I308" s="157"/>
      <c r="J308" s="330">
        <v>647001</v>
      </c>
      <c r="K308" s="329">
        <v>0</v>
      </c>
      <c r="L308" s="157"/>
      <c r="M308" s="360">
        <f t="shared" si="35"/>
        <v>647001</v>
      </c>
      <c r="N308" s="237">
        <f t="shared" si="36"/>
        <v>0</v>
      </c>
      <c r="O308" s="361"/>
      <c r="P308" s="361"/>
      <c r="Q308" s="361" t="s">
        <v>698</v>
      </c>
      <c r="R308" s="362">
        <f>IF(Q308="ekrk",INDEX(indexy_SDcast!$A:$C,MATCH($M308,indexy_SDcast!$A:$A,0),2),"")</f>
        <v>9</v>
      </c>
      <c r="S308" s="236"/>
      <c r="T308" s="364">
        <f t="shared" ref="T308:T371" si="37">M308</f>
        <v>647001</v>
      </c>
      <c r="U308" s="365">
        <f>N308</f>
        <v>0</v>
      </c>
      <c r="V308" s="365">
        <f>IF($Q308="ekrk",IF($R308="data",IFERROR(INDEX(data!$A:$ALL,MATCH($M308,data!$A:$A,0),MATCH(V$2,data!$1:$1,0)),"#data"),IFERROR(U308*INDEX(indexy_SDcast!$A:$ALI,MATCH($R308,indexy_SDcast!$K:$K,0),MATCH(V$2,indexy_SDcast!$2:$2,0)),"#ekrk")),"#popis")</f>
        <v>0</v>
      </c>
      <c r="W308" s="365">
        <f>IF($Q308="ekrk",IF($R308="data",IFERROR(INDEX(data!$A:$ALL,MATCH($M308,data!$A:$A,0),MATCH(W$2,data!$1:$1,0)),"#data"),IFERROR(V308*INDEX(indexy_SDcast!$A:$ALI,MATCH($R308,indexy_SDcast!$K:$K,0),MATCH(W$2,indexy_SDcast!$2:$2,0)),"#ekrk")),"#popis")</f>
        <v>0</v>
      </c>
      <c r="X308" s="365">
        <f>IF($Q308="ekrk",IF($R308="data",IFERROR(INDEX(data!$A:$ALL,MATCH($M308,data!$A:$A,0),MATCH(X$2,data!$1:$1,0)),"#data"),IFERROR(W308*INDEX(indexy_SDcast!$A:$ALI,MATCH($R308,indexy_SDcast!$K:$K,0),MATCH(X$2,indexy_SDcast!$2:$2,0)),"#ekrk")),"#popis")</f>
        <v>0</v>
      </c>
      <c r="Y308" s="362">
        <f>IF($Q308="ekrk",IF($R308="data",IFERROR(INDEX(data!$A:$ALL,MATCH($M308,data!$A:$A,0),MATCH(Y$2,data!$1:$1,0)),"#data"),IFERROR(X308*INDEX(indexy_SDcast!$A:$ALI,MATCH($R308,indexy_SDcast!$K:$K,0),MATCH(Y$2,indexy_SDcast!$2:$2,0)),"#ekrk")),"#popis")</f>
        <v>0</v>
      </c>
    </row>
    <row r="309" spans="1:44" s="18" customFormat="1" x14ac:dyDescent="0.25">
      <c r="A309" s="333" t="s">
        <v>713</v>
      </c>
      <c r="B309" s="334">
        <v>-21.865100000000002</v>
      </c>
      <c r="C309" s="164"/>
      <c r="D309" s="333" t="s">
        <v>713</v>
      </c>
      <c r="E309" s="334">
        <v>-21.865100000000002</v>
      </c>
      <c r="F309" s="164"/>
      <c r="G309" s="333" t="s">
        <v>713</v>
      </c>
      <c r="H309" s="334">
        <v>-21.865100000000002</v>
      </c>
      <c r="I309" s="164"/>
      <c r="J309" s="333" t="s">
        <v>713</v>
      </c>
      <c r="K309" s="334">
        <v>-21.865100000000002</v>
      </c>
      <c r="L309" s="164"/>
      <c r="M309" s="358" t="str">
        <f t="shared" si="35"/>
        <v>D41PUBPAY</v>
      </c>
      <c r="N309" s="239">
        <f t="shared" si="36"/>
        <v>-21.865100000000002</v>
      </c>
      <c r="O309" s="243"/>
      <c r="P309" s="243">
        <f>MATCH(Q309,Q310:Q$1550,0)</f>
        <v>3</v>
      </c>
      <c r="Q309" s="243" t="s">
        <v>697</v>
      </c>
      <c r="R309" s="359" t="str">
        <f>IF(Q309="ekrk",INDEX(indexy_SDcast!$A:$C,MATCH($M309,indexy_SDcast!$A:$A,0),2),"")</f>
        <v/>
      </c>
      <c r="S309" s="240"/>
      <c r="T309" s="363" t="str">
        <f t="shared" si="37"/>
        <v>D41PUBPAY</v>
      </c>
      <c r="U309" s="244">
        <f>SUM(U310:U311)</f>
        <v>-21.865100000000002</v>
      </c>
      <c r="V309" s="244">
        <f>SUM(V310:V311)</f>
        <v>0</v>
      </c>
      <c r="W309" s="244">
        <f>SUM(W310:W311)</f>
        <v>0</v>
      </c>
      <c r="X309" s="244">
        <f>SUM(X310:X311)</f>
        <v>0</v>
      </c>
      <c r="Y309" s="359">
        <f>SUM(Y310:Y311)</f>
        <v>0</v>
      </c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8"/>
      <c r="AN309" s="58"/>
      <c r="AO309" s="58"/>
      <c r="AP309" s="58"/>
      <c r="AQ309" s="58"/>
      <c r="AR309" s="58"/>
    </row>
    <row r="310" spans="1:44" x14ac:dyDescent="0.25">
      <c r="A310" s="330">
        <v>651002</v>
      </c>
      <c r="B310" s="329">
        <v>-17.041790000000002</v>
      </c>
      <c r="C310" s="157"/>
      <c r="D310" s="330">
        <v>651002</v>
      </c>
      <c r="E310" s="329">
        <v>-17.041790000000002</v>
      </c>
      <c r="F310" s="157"/>
      <c r="G310" s="330">
        <v>651002</v>
      </c>
      <c r="H310" s="329">
        <v>-17.041790000000002</v>
      </c>
      <c r="I310" s="157"/>
      <c r="J310" s="330">
        <v>651002</v>
      </c>
      <c r="K310" s="329">
        <v>-17.041790000000002</v>
      </c>
      <c r="L310" s="157"/>
      <c r="M310" s="360">
        <f t="shared" si="35"/>
        <v>651002</v>
      </c>
      <c r="N310" s="237">
        <f t="shared" si="36"/>
        <v>-17.041790000000002</v>
      </c>
      <c r="O310" s="361"/>
      <c r="P310" s="361"/>
      <c r="Q310" s="361" t="s">
        <v>698</v>
      </c>
      <c r="R310" s="362">
        <f>IF(Q310="ekrk",INDEX(indexy_SDcast!$A:$C,MATCH($M310,indexy_SDcast!$A:$A,0),2),"")</f>
        <v>2</v>
      </c>
      <c r="S310" s="236"/>
      <c r="T310" s="364">
        <f t="shared" si="37"/>
        <v>651002</v>
      </c>
      <c r="U310" s="365">
        <f>N310</f>
        <v>-17.041790000000002</v>
      </c>
      <c r="V310" s="365">
        <f>IF($Q310="ekrk",IF($R310="data",IFERROR(INDEX(data!$A:$ALL,MATCH($M310,data!$A:$A,0),MATCH(V$2,data!$1:$1,0)),"#data"),IFERROR(U310*INDEX(indexy_SDcast!$A:$ALI,MATCH($R310,indexy_SDcast!$K:$K,0),MATCH(V$2,indexy_SDcast!$2:$2,0)),"#ekrk")),"#popis")</f>
        <v>0</v>
      </c>
      <c r="W310" s="365">
        <f>IF($Q310="ekrk",IF($R310="data",IFERROR(INDEX(data!$A:$ALL,MATCH($M310,data!$A:$A,0),MATCH(W$2,data!$1:$1,0)),"#data"),IFERROR(V310*INDEX(indexy_SDcast!$A:$ALI,MATCH($R310,indexy_SDcast!$K:$K,0),MATCH(W$2,indexy_SDcast!$2:$2,0)),"#ekrk")),"#popis")</f>
        <v>0</v>
      </c>
      <c r="X310" s="365">
        <f>IF($Q310="ekrk",IF($R310="data",IFERROR(INDEX(data!$A:$ALL,MATCH($M310,data!$A:$A,0),MATCH(X$2,data!$1:$1,0)),"#data"),IFERROR(W310*INDEX(indexy_SDcast!$A:$ALI,MATCH($R310,indexy_SDcast!$K:$K,0),MATCH(X$2,indexy_SDcast!$2:$2,0)),"#ekrk")),"#popis")</f>
        <v>0</v>
      </c>
      <c r="Y310" s="362">
        <f>IF($Q310="ekrk",IF($R310="data",IFERROR(INDEX(data!$A:$ALL,MATCH($M310,data!$A:$A,0),MATCH(Y$2,data!$1:$1,0)),"#data"),IFERROR(X310*INDEX(indexy_SDcast!$A:$ALI,MATCH($R310,indexy_SDcast!$K:$K,0),MATCH(Y$2,indexy_SDcast!$2:$2,0)),"#ekrk")),"#popis")</f>
        <v>0</v>
      </c>
    </row>
    <row r="311" spans="1:44" x14ac:dyDescent="0.25">
      <c r="A311" s="330">
        <v>651004</v>
      </c>
      <c r="B311" s="329">
        <v>-4.8233100000000002</v>
      </c>
      <c r="C311" s="157"/>
      <c r="D311" s="330">
        <v>651004</v>
      </c>
      <c r="E311" s="329">
        <v>-4.8233100000000002</v>
      </c>
      <c r="F311" s="157"/>
      <c r="G311" s="330">
        <v>651004</v>
      </c>
      <c r="H311" s="329">
        <v>-4.8233100000000002</v>
      </c>
      <c r="I311" s="157"/>
      <c r="J311" s="330">
        <v>651004</v>
      </c>
      <c r="K311" s="329">
        <v>-4.8233100000000002</v>
      </c>
      <c r="L311" s="157"/>
      <c r="M311" s="360">
        <f t="shared" si="35"/>
        <v>651004</v>
      </c>
      <c r="N311" s="237">
        <f t="shared" si="36"/>
        <v>-4.8233100000000002</v>
      </c>
      <c r="O311" s="361"/>
      <c r="P311" s="361"/>
      <c r="Q311" s="361" t="s">
        <v>698</v>
      </c>
      <c r="R311" s="362">
        <f>IF(Q311="ekrk",INDEX(indexy_SDcast!$A:$C,MATCH($M311,indexy_SDcast!$A:$A,0),2),"")</f>
        <v>2</v>
      </c>
      <c r="S311" s="236"/>
      <c r="T311" s="364">
        <f t="shared" si="37"/>
        <v>651004</v>
      </c>
      <c r="U311" s="365">
        <f>N311</f>
        <v>-4.8233100000000002</v>
      </c>
      <c r="V311" s="365">
        <f>IF($Q311="ekrk",IF($R311="data",IFERROR(INDEX(data!$A:$ALL,MATCH($M311,data!$A:$A,0),MATCH(V$2,data!$1:$1,0)),"#data"),IFERROR(U311*INDEX(indexy_SDcast!$A:$ALI,MATCH($R311,indexy_SDcast!$K:$K,0),MATCH(V$2,indexy_SDcast!$2:$2,0)),"#ekrk")),"#popis")</f>
        <v>0</v>
      </c>
      <c r="W311" s="365">
        <f>IF($Q311="ekrk",IF($R311="data",IFERROR(INDEX(data!$A:$ALL,MATCH($M311,data!$A:$A,0),MATCH(W$2,data!$1:$1,0)),"#data"),IFERROR(V311*INDEX(indexy_SDcast!$A:$ALI,MATCH($R311,indexy_SDcast!$K:$K,0),MATCH(W$2,indexy_SDcast!$2:$2,0)),"#ekrk")),"#popis")</f>
        <v>0</v>
      </c>
      <c r="X311" s="365">
        <f>IF($Q311="ekrk",IF($R311="data",IFERROR(INDEX(data!$A:$ALL,MATCH($M311,data!$A:$A,0),MATCH(X$2,data!$1:$1,0)),"#data"),IFERROR(W311*INDEX(indexy_SDcast!$A:$ALI,MATCH($R311,indexy_SDcast!$K:$K,0),MATCH(X$2,indexy_SDcast!$2:$2,0)),"#ekrk")),"#popis")</f>
        <v>0</v>
      </c>
      <c r="Y311" s="362">
        <f>IF($Q311="ekrk",IF($R311="data",IFERROR(INDEX(data!$A:$ALL,MATCH($M311,data!$A:$A,0),MATCH(Y$2,data!$1:$1,0)),"#data"),IFERROR(X311*INDEX(indexy_SDcast!$A:$ALI,MATCH($R311,indexy_SDcast!$K:$K,0),MATCH(Y$2,indexy_SDcast!$2:$2,0)),"#ekrk")),"#popis")</f>
        <v>0</v>
      </c>
    </row>
    <row r="312" spans="1:44" s="18" customFormat="1" x14ac:dyDescent="0.25">
      <c r="A312" s="333" t="s">
        <v>727</v>
      </c>
      <c r="B312" s="334">
        <v>-14.865</v>
      </c>
      <c r="C312" s="164"/>
      <c r="D312" s="333" t="s">
        <v>727</v>
      </c>
      <c r="E312" s="334">
        <v>-14.865</v>
      </c>
      <c r="F312" s="164"/>
      <c r="G312" s="333" t="s">
        <v>727</v>
      </c>
      <c r="H312" s="334">
        <v>-14.865</v>
      </c>
      <c r="I312" s="164"/>
      <c r="J312" s="333" t="s">
        <v>727</v>
      </c>
      <c r="K312" s="334">
        <v>-14.865</v>
      </c>
      <c r="L312" s="164"/>
      <c r="M312" s="358" t="str">
        <f t="shared" si="35"/>
        <v>D621PAY</v>
      </c>
      <c r="N312" s="239">
        <f t="shared" si="36"/>
        <v>-14.865</v>
      </c>
      <c r="O312" s="243"/>
      <c r="P312" s="243">
        <f>MATCH(Q312,Q313:Q$1550,0)</f>
        <v>2</v>
      </c>
      <c r="Q312" s="243" t="s">
        <v>697</v>
      </c>
      <c r="R312" s="359" t="str">
        <f>IF(Q312="ekrk",INDEX(indexy_SDcast!$A:$C,MATCH($M312,indexy_SDcast!$A:$A,0),2),"")</f>
        <v/>
      </c>
      <c r="S312" s="240"/>
      <c r="T312" s="363" t="str">
        <f t="shared" si="37"/>
        <v>D621PAY</v>
      </c>
      <c r="U312" s="244">
        <f>SUM(U313:U313)</f>
        <v>-14.865</v>
      </c>
      <c r="V312" s="244">
        <f>SUM(V313:V313)</f>
        <v>0</v>
      </c>
      <c r="W312" s="244">
        <f>SUM(W313:W313)</f>
        <v>0</v>
      </c>
      <c r="X312" s="244">
        <f>SUM(X313:X313)</f>
        <v>0</v>
      </c>
      <c r="Y312" s="359">
        <f>SUM(Y313:Y313)</f>
        <v>0</v>
      </c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8"/>
      <c r="AN312" s="58"/>
      <c r="AO312" s="58"/>
      <c r="AP312" s="58"/>
      <c r="AQ312" s="58"/>
      <c r="AR312" s="58"/>
    </row>
    <row r="313" spans="1:44" x14ac:dyDescent="0.25">
      <c r="A313" s="330">
        <v>642016</v>
      </c>
      <c r="B313" s="329">
        <v>-14.865</v>
      </c>
      <c r="C313" s="157"/>
      <c r="D313" s="330">
        <v>642016</v>
      </c>
      <c r="E313" s="329">
        <v>-14.865</v>
      </c>
      <c r="F313" s="157"/>
      <c r="G313" s="330">
        <v>642016</v>
      </c>
      <c r="H313" s="329">
        <v>-14.865</v>
      </c>
      <c r="I313" s="157"/>
      <c r="J313" s="330">
        <v>642016</v>
      </c>
      <c r="K313" s="329">
        <v>-14.865</v>
      </c>
      <c r="L313" s="157"/>
      <c r="M313" s="360">
        <f t="shared" si="35"/>
        <v>642016</v>
      </c>
      <c r="N313" s="237">
        <f t="shared" si="36"/>
        <v>-14.865</v>
      </c>
      <c r="O313" s="361"/>
      <c r="P313" s="361"/>
      <c r="Q313" s="361" t="s">
        <v>698</v>
      </c>
      <c r="R313" s="362">
        <v>2</v>
      </c>
      <c r="S313" s="236"/>
      <c r="T313" s="364">
        <f t="shared" si="37"/>
        <v>642016</v>
      </c>
      <c r="U313" s="365">
        <f>N313</f>
        <v>-14.865</v>
      </c>
      <c r="V313" s="365">
        <f>IF($Q313="ekrk",IF($R313="data",IFERROR(INDEX(data!$A:$ALL,MATCH($M313,data!$A:$A,0),MATCH(V$2,data!$1:$1,0)),"#data"),IFERROR(U313*INDEX(indexy_SDcast!$A:$ALI,MATCH($R313,indexy_SDcast!$K:$K,0),MATCH(V$2,indexy_SDcast!$2:$2,0)),"#ekrk")),"#popis")</f>
        <v>0</v>
      </c>
      <c r="W313" s="365">
        <f>IF($Q313="ekrk",IF($R313="data",IFERROR(INDEX(data!$A:$ALL,MATCH($M313,data!$A:$A,0),MATCH(W$2,data!$1:$1,0)),"#data"),IFERROR(V313*INDEX(indexy_SDcast!$A:$ALI,MATCH($R313,indexy_SDcast!$K:$K,0),MATCH(W$2,indexy_SDcast!$2:$2,0)),"#ekrk")),"#popis")</f>
        <v>0</v>
      </c>
      <c r="X313" s="365">
        <f>IF($Q313="ekrk",IF($R313="data",IFERROR(INDEX(data!$A:$ALL,MATCH($M313,data!$A:$A,0),MATCH(X$2,data!$1:$1,0)),"#data"),IFERROR(W313*INDEX(indexy_SDcast!$A:$ALI,MATCH($R313,indexy_SDcast!$K:$K,0),MATCH(X$2,indexy_SDcast!$2:$2,0)),"#ekrk")),"#popis")</f>
        <v>0</v>
      </c>
      <c r="Y313" s="362">
        <f>IF($Q313="ekrk",IF($R313="data",IFERROR(INDEX(data!$A:$ALL,MATCH($M313,data!$A:$A,0),MATCH(Y$2,data!$1:$1,0)),"#data"),IFERROR(X313*INDEX(indexy_SDcast!$A:$ALI,MATCH($R313,indexy_SDcast!$K:$K,0),MATCH(Y$2,indexy_SDcast!$2:$2,0)),"#ekrk")),"#popis")</f>
        <v>0</v>
      </c>
    </row>
    <row r="314" spans="1:44" s="18" customFormat="1" x14ac:dyDescent="0.25">
      <c r="A314" s="333" t="s">
        <v>728</v>
      </c>
      <c r="B314" s="334">
        <v>-61716.531700000014</v>
      </c>
      <c r="C314" s="164"/>
      <c r="D314" s="333" t="s">
        <v>728</v>
      </c>
      <c r="E314" s="334">
        <v>-61716.531700000014</v>
      </c>
      <c r="F314" s="164"/>
      <c r="G314" s="333" t="s">
        <v>728</v>
      </c>
      <c r="H314" s="334">
        <v>-61716.531700000014</v>
      </c>
      <c r="I314" s="164"/>
      <c r="J314" s="333" t="s">
        <v>728</v>
      </c>
      <c r="K314" s="334">
        <v>-61716.531700000014</v>
      </c>
      <c r="L314" s="164"/>
      <c r="M314" s="358" t="str">
        <f t="shared" si="35"/>
        <v>D624PAY</v>
      </c>
      <c r="N314" s="239">
        <f t="shared" si="36"/>
        <v>-61716.531700000014</v>
      </c>
      <c r="O314" s="243"/>
      <c r="P314" s="243">
        <f>MATCH(Q314,Q315:Q$1550,0)</f>
        <v>16</v>
      </c>
      <c r="Q314" s="243" t="s">
        <v>697</v>
      </c>
      <c r="R314" s="359" t="str">
        <f>IF(Q314="ekrk",INDEX(indexy_SDcast!$A:$C,MATCH($M314,indexy_SDcast!$A:$A,0),2),"")</f>
        <v/>
      </c>
      <c r="S314" s="240"/>
      <c r="T314" s="363" t="str">
        <f t="shared" si="37"/>
        <v>D624PAY</v>
      </c>
      <c r="U314" s="244">
        <f>SUM(U315:U329)</f>
        <v>-61716.531700000014</v>
      </c>
      <c r="V314" s="244">
        <f>SUM(V315:V329)</f>
        <v>-60775.320794539235</v>
      </c>
      <c r="W314" s="244">
        <f>SUM(W315:W329)</f>
        <v>-60522.78332811268</v>
      </c>
      <c r="X314" s="244">
        <f>SUM(X315:X329)</f>
        <v>-60447.973843406384</v>
      </c>
      <c r="Y314" s="359">
        <f>SUM(Y315:Y329)</f>
        <v>-60145.900954822551</v>
      </c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8"/>
      <c r="AN314" s="58"/>
      <c r="AO314" s="58"/>
      <c r="AP314" s="58"/>
      <c r="AQ314" s="58"/>
      <c r="AR314" s="58"/>
    </row>
    <row r="315" spans="1:44" x14ac:dyDescent="0.25">
      <c r="A315" s="330">
        <v>642014</v>
      </c>
      <c r="B315" s="329">
        <v>-12967.423720000003</v>
      </c>
      <c r="C315" s="157"/>
      <c r="D315" s="330">
        <v>642014</v>
      </c>
      <c r="E315" s="329">
        <v>-12967.423720000003</v>
      </c>
      <c r="F315" s="157"/>
      <c r="G315" s="330">
        <v>642014</v>
      </c>
      <c r="H315" s="329">
        <v>-12967.423720000003</v>
      </c>
      <c r="I315" s="157"/>
      <c r="J315" s="330">
        <v>642014</v>
      </c>
      <c r="K315" s="329">
        <v>-12967.423720000003</v>
      </c>
      <c r="L315" s="157"/>
      <c r="M315" s="360">
        <f t="shared" si="35"/>
        <v>642014</v>
      </c>
      <c r="N315" s="237">
        <f t="shared" si="36"/>
        <v>-12967.423720000003</v>
      </c>
      <c r="O315" s="361"/>
      <c r="P315" s="361"/>
      <c r="Q315" s="361" t="s">
        <v>698</v>
      </c>
      <c r="R315" s="362">
        <f>IF(Q315="ekrk",INDEX(indexy_SDcast!$A:$C,MATCH($M315,indexy_SDcast!$A:$A,0),2),"")</f>
        <v>25</v>
      </c>
      <c r="S315" s="236"/>
      <c r="T315" s="364">
        <f t="shared" si="37"/>
        <v>642014</v>
      </c>
      <c r="U315" s="365">
        <f t="shared" ref="U315:U329" si="38">N315</f>
        <v>-12967.423720000003</v>
      </c>
      <c r="V315" s="365">
        <f>IF($Q315="ekrk",IF($R315="data",IFERROR(INDEX(data!$A:$ALL,MATCH($M315,data!$A:$A,0),MATCH(V$2,data!$1:$1,0)),"#data"),IFERROR(U315*INDEX(indexy_SDcast!$A:$ALI,MATCH($R315,indexy_SDcast!$K:$K,0),MATCH(V$2,indexy_SDcast!$2:$2,0)),"#ekrk")),"#popis")</f>
        <v>-13065.295279236687</v>
      </c>
      <c r="W315" s="365">
        <f>IF($Q315="ekrk",IF($R315="data",IFERROR(INDEX(data!$A:$ALL,MATCH($M315,data!$A:$A,0),MATCH(W$2,data!$1:$1,0)),"#data"),IFERROR(V315*INDEX(indexy_SDcast!$A:$ALI,MATCH($R315,indexy_SDcast!$K:$K,0),MATCH(W$2,indexy_SDcast!$2:$2,0)),"#ekrk")),"#popis")</f>
        <v>-13336.395327271579</v>
      </c>
      <c r="X315" s="365">
        <f>IF($Q315="ekrk",IF($R315="data",IFERROR(INDEX(data!$A:$ALL,MATCH($M315,data!$A:$A,0),MATCH(X$2,data!$1:$1,0)),"#data"),IFERROR(W315*INDEX(indexy_SDcast!$A:$ALI,MATCH($R315,indexy_SDcast!$K:$K,0),MATCH(X$2,indexy_SDcast!$2:$2,0)),"#ekrk")),"#popis")</f>
        <v>-13639.766464313629</v>
      </c>
      <c r="Y315" s="362">
        <f>IF($Q315="ekrk",IF($R315="data",IFERROR(INDEX(data!$A:$ALL,MATCH($M315,data!$A:$A,0),MATCH(Y$2,data!$1:$1,0)),"#data"),IFERROR(X315*INDEX(indexy_SDcast!$A:$ALI,MATCH($R315,indexy_SDcast!$K:$K,0),MATCH(Y$2,indexy_SDcast!$2:$2,0)),"#ekrk")),"#popis")</f>
        <v>-13961.028685607618</v>
      </c>
    </row>
    <row r="316" spans="1:44" x14ac:dyDescent="0.25">
      <c r="A316" s="330">
        <v>642018</v>
      </c>
      <c r="B316" s="329">
        <v>-35.619489999999999</v>
      </c>
      <c r="C316" s="157"/>
      <c r="D316" s="330">
        <v>642018</v>
      </c>
      <c r="E316" s="329">
        <v>-35.619489999999999</v>
      </c>
      <c r="F316" s="157"/>
      <c r="G316" s="330">
        <v>642018</v>
      </c>
      <c r="H316" s="329">
        <v>-35.619489999999999</v>
      </c>
      <c r="I316" s="157"/>
      <c r="J316" s="330">
        <v>642018</v>
      </c>
      <c r="K316" s="329">
        <v>-35.619489999999999</v>
      </c>
      <c r="L316" s="157"/>
      <c r="M316" s="360">
        <f t="shared" si="35"/>
        <v>642018</v>
      </c>
      <c r="N316" s="237">
        <f t="shared" si="36"/>
        <v>-35.619489999999999</v>
      </c>
      <c r="O316" s="361"/>
      <c r="P316" s="361"/>
      <c r="Q316" s="361" t="s">
        <v>698</v>
      </c>
      <c r="R316" s="362">
        <v>22</v>
      </c>
      <c r="S316" s="236"/>
      <c r="T316" s="364">
        <f t="shared" si="37"/>
        <v>642018</v>
      </c>
      <c r="U316" s="365">
        <f t="shared" si="38"/>
        <v>-35.619489999999999</v>
      </c>
      <c r="V316" s="365">
        <f>IF($Q316="ekrk",IF($R316="data",IFERROR(INDEX(data!$A:$ALL,MATCH($M316,data!$A:$A,0),MATCH(V$2,data!$1:$1,0)),"#data"),IFERROR(U316*INDEX(indexy_SDcast!$A:$ALI,MATCH($R316,indexy_SDcast!$K:$K,0),MATCH(V$2,indexy_SDcast!$2:$2,0)),"#ekrk")),"#popis")</f>
        <v>-35.619489999999999</v>
      </c>
      <c r="W316" s="365">
        <f>IF($Q316="ekrk",IF($R316="data",IFERROR(INDEX(data!$A:$ALL,MATCH($M316,data!$A:$A,0),MATCH(W$2,data!$1:$1,0)),"#data"),IFERROR(V316*INDEX(indexy_SDcast!$A:$ALI,MATCH($R316,indexy_SDcast!$K:$K,0),MATCH(W$2,indexy_SDcast!$2:$2,0)),"#ekrk")),"#popis")</f>
        <v>-35.619489999999999</v>
      </c>
      <c r="X316" s="365">
        <f>IF($Q316="ekrk",IF($R316="data",IFERROR(INDEX(data!$A:$ALL,MATCH($M316,data!$A:$A,0),MATCH(X$2,data!$1:$1,0)),"#data"),IFERROR(W316*INDEX(indexy_SDcast!$A:$ALI,MATCH($R316,indexy_SDcast!$K:$K,0),MATCH(X$2,indexy_SDcast!$2:$2,0)),"#ekrk")),"#popis")</f>
        <v>-35.619489999999999</v>
      </c>
      <c r="Y316" s="362">
        <f>IF($Q316="ekrk",IF($R316="data",IFERROR(INDEX(data!$A:$ALL,MATCH($M316,data!$A:$A,0),MATCH(Y$2,data!$1:$1,0)),"#data"),IFERROR(X316*INDEX(indexy_SDcast!$A:$ALI,MATCH($R316,indexy_SDcast!$K:$K,0),MATCH(Y$2,indexy_SDcast!$2:$2,0)),"#ekrk")),"#popis")</f>
        <v>-35.619489999999999</v>
      </c>
    </row>
    <row r="317" spans="1:44" x14ac:dyDescent="0.25">
      <c r="A317" s="330">
        <v>642022</v>
      </c>
      <c r="B317" s="329">
        <v>-6.2629999999999999</v>
      </c>
      <c r="C317" s="157"/>
      <c r="D317" s="330">
        <v>642022</v>
      </c>
      <c r="E317" s="329">
        <v>-6.2629999999999999</v>
      </c>
      <c r="F317" s="157"/>
      <c r="G317" s="330">
        <v>642022</v>
      </c>
      <c r="H317" s="329">
        <v>-6.2629999999999999</v>
      </c>
      <c r="I317" s="157"/>
      <c r="J317" s="330">
        <v>642022</v>
      </c>
      <c r="K317" s="329">
        <v>-6.2629999999999999</v>
      </c>
      <c r="L317" s="157"/>
      <c r="M317" s="360">
        <f t="shared" si="35"/>
        <v>642022</v>
      </c>
      <c r="N317" s="237">
        <f t="shared" si="36"/>
        <v>-6.2629999999999999</v>
      </c>
      <c r="O317" s="361"/>
      <c r="P317" s="361"/>
      <c r="Q317" s="361" t="s">
        <v>698</v>
      </c>
      <c r="R317" s="362">
        <f>IF(Q317="ekrk",INDEX(indexy_SDcast!$A:$C,MATCH($M317,indexy_SDcast!$A:$A,0),2),"")</f>
        <v>53</v>
      </c>
      <c r="S317" s="236"/>
      <c r="T317" s="364">
        <f t="shared" si="37"/>
        <v>642022</v>
      </c>
      <c r="U317" s="365">
        <f t="shared" si="38"/>
        <v>-6.2629999999999999</v>
      </c>
      <c r="V317" s="365">
        <f>IF($Q317="ekrk",IF($R317="data",IFERROR(INDEX(data!$A:$ALL,MATCH($M317,data!$A:$A,0),MATCH(V$2,data!$1:$1,0)),"#data"),IFERROR(U317*INDEX(indexy_SDcast!$A:$ALI,MATCH($R317,indexy_SDcast!$K:$K,0),MATCH(V$2,indexy_SDcast!$2:$2,0)),"#ekrk")),"#popis")</f>
        <v>-6.6669454618510722</v>
      </c>
      <c r="W317" s="365">
        <f>IF($Q317="ekrk",IF($R317="data",IFERROR(INDEX(data!$A:$ALL,MATCH($M317,data!$A:$A,0),MATCH(W$2,data!$1:$1,0)),"#data"),IFERROR(V317*INDEX(indexy_SDcast!$A:$ALI,MATCH($R317,indexy_SDcast!$K:$K,0),MATCH(W$2,indexy_SDcast!$2:$2,0)),"#ekrk")),"#popis")</f>
        <v>-6.6451232109745098</v>
      </c>
      <c r="X317" s="365">
        <f>IF($Q317="ekrk",IF($R317="data",IFERROR(INDEX(data!$A:$ALL,MATCH($M317,data!$A:$A,0),MATCH(X$2,data!$1:$1,0)),"#data"),IFERROR(W317*INDEX(indexy_SDcast!$A:$ALI,MATCH($R317,indexy_SDcast!$K:$K,0),MATCH(X$2,indexy_SDcast!$2:$2,0)),"#ekrk")),"#popis")</f>
        <v>-6.7278391437732852</v>
      </c>
      <c r="Y317" s="362">
        <f>IF($Q317="ekrk",IF($R317="data",IFERROR(INDEX(data!$A:$ALL,MATCH($M317,data!$A:$A,0),MATCH(Y$2,data!$1:$1,0)),"#data"),IFERROR(X317*INDEX(indexy_SDcast!$A:$ALI,MATCH($R317,indexy_SDcast!$K:$K,0),MATCH(Y$2,indexy_SDcast!$2:$2,0)),"#ekrk")),"#popis")</f>
        <v>-6.8118719831818959</v>
      </c>
    </row>
    <row r="318" spans="1:44" x14ac:dyDescent="0.25">
      <c r="A318" s="330">
        <v>642023</v>
      </c>
      <c r="B318" s="329">
        <v>-1.47</v>
      </c>
      <c r="C318" s="157"/>
      <c r="D318" s="330">
        <v>642023</v>
      </c>
      <c r="E318" s="329">
        <v>-1.47</v>
      </c>
      <c r="F318" s="157"/>
      <c r="G318" s="330">
        <v>642023</v>
      </c>
      <c r="H318" s="329">
        <v>-1.47</v>
      </c>
      <c r="I318" s="157"/>
      <c r="J318" s="330">
        <v>642023</v>
      </c>
      <c r="K318" s="329">
        <v>-1.47</v>
      </c>
      <c r="L318" s="157"/>
      <c r="M318" s="360">
        <f t="shared" si="35"/>
        <v>642023</v>
      </c>
      <c r="N318" s="237">
        <f t="shared" si="36"/>
        <v>-1.47</v>
      </c>
      <c r="O318" s="361"/>
      <c r="P318" s="361"/>
      <c r="Q318" s="361" t="s">
        <v>698</v>
      </c>
      <c r="R318" s="362">
        <f>IF(Q318="ekrk",INDEX(indexy_SDcast!$A:$C,MATCH($M318,indexy_SDcast!$A:$A,0),2),"")</f>
        <v>54</v>
      </c>
      <c r="S318" s="236"/>
      <c r="T318" s="364">
        <f t="shared" si="37"/>
        <v>642023</v>
      </c>
      <c r="U318" s="365">
        <f t="shared" si="38"/>
        <v>-1.47</v>
      </c>
      <c r="V318" s="365">
        <f>IF($Q318="ekrk",IF($R318="data",IFERROR(INDEX(data!$A:$ALL,MATCH($M318,data!$A:$A,0),MATCH(V$2,data!$1:$1,0)),"#data"),IFERROR(U318*INDEX(indexy_SDcast!$A:$ALI,MATCH($R318,indexy_SDcast!$K:$K,0),MATCH(V$2,indexy_SDcast!$2:$2,0)),"#ekrk")),"#popis")</f>
        <v>-1.518286961508275</v>
      </c>
      <c r="W318" s="365">
        <f>IF($Q318="ekrk",IF($R318="data",IFERROR(INDEX(data!$A:$ALL,MATCH($M318,data!$A:$A,0),MATCH(W$2,data!$1:$1,0)),"#data"),IFERROR(V318*INDEX(indexy_SDcast!$A:$ALI,MATCH($R318,indexy_SDcast!$K:$K,0),MATCH(W$2,indexy_SDcast!$2:$2,0)),"#ekrk")),"#popis")</f>
        <v>-1.5274155817191235</v>
      </c>
      <c r="X318" s="365">
        <f>IF($Q318="ekrk",IF($R318="data",IFERROR(INDEX(data!$A:$ALL,MATCH($M318,data!$A:$A,0),MATCH(X$2,data!$1:$1,0)),"#data"),IFERROR(W318*INDEX(indexy_SDcast!$A:$ALI,MATCH($R318,indexy_SDcast!$K:$K,0),MATCH(X$2,indexy_SDcast!$2:$2,0)),"#ekrk")),"#popis")</f>
        <v>-1.5632387321787253</v>
      </c>
      <c r="Y318" s="362">
        <f>IF($Q318="ekrk",IF($R318="data",IFERROR(INDEX(data!$A:$ALL,MATCH($M318,data!$A:$A,0),MATCH(Y$2,data!$1:$1,0)),"#data"),IFERROR(X318*INDEX(indexy_SDcast!$A:$ALI,MATCH($R318,indexy_SDcast!$K:$K,0),MATCH(Y$2,indexy_SDcast!$2:$2,0)),"#ekrk")),"#popis")</f>
        <v>-1.603452827868842</v>
      </c>
    </row>
    <row r="319" spans="1:44" x14ac:dyDescent="0.25">
      <c r="A319" s="330">
        <v>642024</v>
      </c>
      <c r="B319" s="329">
        <v>-0.98086000000000007</v>
      </c>
      <c r="C319" s="157"/>
      <c r="D319" s="330">
        <v>642024</v>
      </c>
      <c r="E319" s="329">
        <v>-0.98086000000000007</v>
      </c>
      <c r="F319" s="157"/>
      <c r="G319" s="330">
        <v>642024</v>
      </c>
      <c r="H319" s="329">
        <v>-0.98086000000000007</v>
      </c>
      <c r="I319" s="157"/>
      <c r="J319" s="330">
        <v>642024</v>
      </c>
      <c r="K319" s="329">
        <v>-0.98086000000000007</v>
      </c>
      <c r="L319" s="157"/>
      <c r="M319" s="360">
        <f t="shared" si="35"/>
        <v>642024</v>
      </c>
      <c r="N319" s="237">
        <f t="shared" si="36"/>
        <v>-0.98086000000000007</v>
      </c>
      <c r="O319" s="361"/>
      <c r="P319" s="361"/>
      <c r="Q319" s="361" t="s">
        <v>698</v>
      </c>
      <c r="R319" s="362">
        <f>IF(Q319="ekrk",INDEX(indexy_SDcast!$A:$C,MATCH($M319,indexy_SDcast!$A:$A,0),2),"")</f>
        <v>50</v>
      </c>
      <c r="S319" s="236"/>
      <c r="T319" s="364">
        <f t="shared" si="37"/>
        <v>642024</v>
      </c>
      <c r="U319" s="365">
        <f t="shared" si="38"/>
        <v>-0.98086000000000007</v>
      </c>
      <c r="V319" s="365">
        <f>IF($Q319="ekrk",IF($R319="data",IFERROR(INDEX(data!$A:$ALL,MATCH($M319,data!$A:$A,0),MATCH(V$2,data!$1:$1,0)),"#data"),IFERROR(U319*INDEX(indexy_SDcast!$A:$ALI,MATCH($R319,indexy_SDcast!$K:$K,0),MATCH(V$2,indexy_SDcast!$2:$2,0)),"#ekrk")),"#popis")</f>
        <v>-0.985550239933081</v>
      </c>
      <c r="W319" s="365">
        <f>IF($Q319="ekrk",IF($R319="data",IFERROR(INDEX(data!$A:$ALL,MATCH($M319,data!$A:$A,0),MATCH(W$2,data!$1:$1,0)),"#data"),IFERROR(V319*INDEX(indexy_SDcast!$A:$ALI,MATCH($R319,indexy_SDcast!$K:$K,0),MATCH(W$2,indexy_SDcast!$2:$2,0)),"#ekrk")),"#popis")</f>
        <v>-0.97598769477262026</v>
      </c>
      <c r="X319" s="365">
        <f>IF($Q319="ekrk",IF($R319="data",IFERROR(INDEX(data!$A:$ALL,MATCH($M319,data!$A:$A,0),MATCH(X$2,data!$1:$1,0)),"#data"),IFERROR(W319*INDEX(indexy_SDcast!$A:$ALI,MATCH($R319,indexy_SDcast!$K:$K,0),MATCH(X$2,indexy_SDcast!$2:$2,0)),"#ekrk")),"#popis")</f>
        <v>-0.98468109298777518</v>
      </c>
      <c r="Y319" s="362">
        <f>IF($Q319="ekrk",IF($R319="data",IFERROR(INDEX(data!$A:$ALL,MATCH($M319,data!$A:$A,0),MATCH(Y$2,data!$1:$1,0)),"#data"),IFERROR(X319*INDEX(indexy_SDcast!$A:$ALI,MATCH($R319,indexy_SDcast!$K:$K,0),MATCH(Y$2,indexy_SDcast!$2:$2,0)),"#ekrk")),"#popis")</f>
        <v>-0.99481773622585101</v>
      </c>
    </row>
    <row r="320" spans="1:44" x14ac:dyDescent="0.25">
      <c r="A320" s="330">
        <v>642026</v>
      </c>
      <c r="B320" s="329">
        <v>-1168.1300900000003</v>
      </c>
      <c r="C320" s="157"/>
      <c r="D320" s="330">
        <v>642026</v>
      </c>
      <c r="E320" s="329">
        <v>-1168.1300900000003</v>
      </c>
      <c r="F320" s="157"/>
      <c r="G320" s="330">
        <v>642026</v>
      </c>
      <c r="H320" s="329">
        <v>-1168.1300900000003</v>
      </c>
      <c r="I320" s="157"/>
      <c r="J320" s="330">
        <v>642026</v>
      </c>
      <c r="K320" s="329">
        <v>-1168.1300900000003</v>
      </c>
      <c r="L320" s="157"/>
      <c r="M320" s="360">
        <f t="shared" si="35"/>
        <v>642026</v>
      </c>
      <c r="N320" s="237">
        <f t="shared" si="36"/>
        <v>-1168.1300900000003</v>
      </c>
      <c r="O320" s="361"/>
      <c r="P320" s="361"/>
      <c r="Q320" s="361" t="s">
        <v>698</v>
      </c>
      <c r="R320" s="362">
        <v>45</v>
      </c>
      <c r="S320" s="236"/>
      <c r="T320" s="364">
        <f t="shared" si="37"/>
        <v>642026</v>
      </c>
      <c r="U320" s="365">
        <f t="shared" si="38"/>
        <v>-1168.1300900000003</v>
      </c>
      <c r="V320" s="365">
        <f>IF($Q320="ekrk",IF($R320="data",IFERROR(INDEX(data!$A:$ALL,MATCH($M320,data!$A:$A,0),MATCH(V$2,data!$1:$1,0)),"#data"),IFERROR(U320*INDEX(indexy_SDcast!$A:$ALI,MATCH($R320,indexy_SDcast!$K:$K,0),MATCH(V$2,indexy_SDcast!$2:$2,0)),"#ekrk")),"#popis")</f>
        <v>-1153.0837385169175</v>
      </c>
      <c r="W320" s="365">
        <f>IF($Q320="ekrk",IF($R320="data",IFERROR(INDEX(data!$A:$ALL,MATCH($M320,data!$A:$A,0),MATCH(W$2,data!$1:$1,0)),"#data"),IFERROR(V320*INDEX(indexy_SDcast!$A:$ALI,MATCH($R320,indexy_SDcast!$K:$K,0),MATCH(W$2,indexy_SDcast!$2:$2,0)),"#ekrk")),"#popis")</f>
        <v>-1094.8305716138177</v>
      </c>
      <c r="X320" s="365">
        <f>IF($Q320="ekrk",IF($R320="data",IFERROR(INDEX(data!$A:$ALL,MATCH($M320,data!$A:$A,0),MATCH(X$2,data!$1:$1,0)),"#data"),IFERROR(W320*INDEX(indexy_SDcast!$A:$ALI,MATCH($R320,indexy_SDcast!$K:$K,0),MATCH(X$2,indexy_SDcast!$2:$2,0)),"#ekrk")),"#popis")</f>
        <v>-1037.4568385924613</v>
      </c>
      <c r="Y320" s="362">
        <f>IF($Q320="ekrk",IF($R320="data",IFERROR(INDEX(data!$A:$ALL,MATCH($M320,data!$A:$A,0),MATCH(Y$2,data!$1:$1,0)),"#data"),IFERROR(X320*INDEX(indexy_SDcast!$A:$ALI,MATCH($R320,indexy_SDcast!$K:$K,0),MATCH(Y$2,indexy_SDcast!$2:$2,0)),"#ekrk")),"#popis")</f>
        <v>-970.14629075025687</v>
      </c>
    </row>
    <row r="321" spans="1:44" x14ac:dyDescent="0.25">
      <c r="A321" s="330">
        <v>642027</v>
      </c>
      <c r="B321" s="329">
        <v>-1.53748</v>
      </c>
      <c r="C321" s="157"/>
      <c r="D321" s="330">
        <v>642027</v>
      </c>
      <c r="E321" s="329">
        <v>-1.53748</v>
      </c>
      <c r="F321" s="157"/>
      <c r="G321" s="330">
        <v>642027</v>
      </c>
      <c r="H321" s="329">
        <v>-1.53748</v>
      </c>
      <c r="I321" s="157"/>
      <c r="J321" s="330">
        <v>642027</v>
      </c>
      <c r="K321" s="329">
        <v>-1.53748</v>
      </c>
      <c r="L321" s="157"/>
      <c r="M321" s="360">
        <f t="shared" si="35"/>
        <v>642027</v>
      </c>
      <c r="N321" s="237">
        <f t="shared" si="36"/>
        <v>-1.53748</v>
      </c>
      <c r="O321" s="361"/>
      <c r="P321" s="361"/>
      <c r="Q321" s="361" t="s">
        <v>698</v>
      </c>
      <c r="R321" s="362">
        <f>IF(Q321="ekrk",INDEX(indexy_SDcast!$A:$C,MATCH($M321,indexy_SDcast!$A:$A,0),2),"")</f>
        <v>30</v>
      </c>
      <c r="S321" s="236"/>
      <c r="T321" s="364">
        <f t="shared" si="37"/>
        <v>642027</v>
      </c>
      <c r="U321" s="365">
        <f t="shared" si="38"/>
        <v>-1.53748</v>
      </c>
      <c r="V321" s="365">
        <f>IF($Q321="ekrk",IF($R321="data",IFERROR(INDEX(data!$A:$ALL,MATCH($M321,data!$A:$A,0),MATCH(V$2,data!$1:$1,0)),"#data"),IFERROR(U321*INDEX(indexy_SDcast!$A:$ALI,MATCH($R321,indexy_SDcast!$K:$K,0),MATCH(V$2,indexy_SDcast!$2:$2,0)),"#ekrk")),"#popis")</f>
        <v>-1.4154834720020184</v>
      </c>
      <c r="W321" s="365">
        <f>IF($Q321="ekrk",IF($R321="data",IFERROR(INDEX(data!$A:$ALL,MATCH($M321,data!$A:$A,0),MATCH(W$2,data!$1:$1,0)),"#data"),IFERROR(V321*INDEX(indexy_SDcast!$A:$ALI,MATCH($R321,indexy_SDcast!$K:$K,0),MATCH(W$2,indexy_SDcast!$2:$2,0)),"#ekrk")),"#popis")</f>
        <v>-1.4811035234186614</v>
      </c>
      <c r="X321" s="365">
        <f>IF($Q321="ekrk",IF($R321="data",IFERROR(INDEX(data!$A:$ALL,MATCH($M321,data!$A:$A,0),MATCH(X$2,data!$1:$1,0)),"#data"),IFERROR(W321*INDEX(indexy_SDcast!$A:$ALI,MATCH($R321,indexy_SDcast!$K:$K,0),MATCH(X$2,indexy_SDcast!$2:$2,0)),"#ekrk")),"#popis")</f>
        <v>-1.598562367244186</v>
      </c>
      <c r="Y321" s="362">
        <f>IF($Q321="ekrk",IF($R321="data",IFERROR(INDEX(data!$A:$ALL,MATCH($M321,data!$A:$A,0),MATCH(Y$2,data!$1:$1,0)),"#data"),IFERROR(X321*INDEX(indexy_SDcast!$A:$ALI,MATCH($R321,indexy_SDcast!$K:$K,0),MATCH(Y$2,indexy_SDcast!$2:$2,0)),"#ekrk")),"#popis")</f>
        <v>-1.6618446639548914</v>
      </c>
    </row>
    <row r="322" spans="1:44" x14ac:dyDescent="0.25">
      <c r="A322" s="330">
        <v>642028</v>
      </c>
      <c r="B322" s="329">
        <v>-0.35</v>
      </c>
      <c r="C322" s="157"/>
      <c r="D322" s="330">
        <v>642028</v>
      </c>
      <c r="E322" s="329">
        <v>-0.35</v>
      </c>
      <c r="F322" s="157"/>
      <c r="G322" s="330">
        <v>642028</v>
      </c>
      <c r="H322" s="329">
        <v>-0.35</v>
      </c>
      <c r="I322" s="157"/>
      <c r="J322" s="330">
        <v>642028</v>
      </c>
      <c r="K322" s="329">
        <v>-0.35</v>
      </c>
      <c r="L322" s="157"/>
      <c r="M322" s="360">
        <f t="shared" si="35"/>
        <v>642028</v>
      </c>
      <c r="N322" s="237">
        <f t="shared" si="36"/>
        <v>-0.35</v>
      </c>
      <c r="O322" s="361"/>
      <c r="P322" s="361"/>
      <c r="Q322" s="361" t="s">
        <v>698</v>
      </c>
      <c r="R322" s="362">
        <f>IF(Q322="ekrk",INDEX(indexy_SDcast!$A:$C,MATCH($M322,indexy_SDcast!$A:$A,0),2),"")</f>
        <v>39</v>
      </c>
      <c r="S322" s="236"/>
      <c r="T322" s="364">
        <f t="shared" si="37"/>
        <v>642028</v>
      </c>
      <c r="U322" s="365">
        <f t="shared" si="38"/>
        <v>-0.35</v>
      </c>
      <c r="V322" s="365">
        <f>IF($Q322="ekrk",IF($R322="data",IFERROR(INDEX(data!$A:$ALL,MATCH($M322,data!$A:$A,0),MATCH(V$2,data!$1:$1,0)),"#data"),IFERROR(U322*INDEX(indexy_SDcast!$A:$ALI,MATCH($R322,indexy_SDcast!$K:$K,0),MATCH(V$2,indexy_SDcast!$2:$2,0)),"#ekrk")),"#popis")</f>
        <v>-0.36014524019010857</v>
      </c>
      <c r="W322" s="365">
        <f>IF($Q322="ekrk",IF($R322="data",IFERROR(INDEX(data!$A:$ALL,MATCH($M322,data!$A:$A,0),MATCH(W$2,data!$1:$1,0)),"#data"),IFERROR(V322*INDEX(indexy_SDcast!$A:$ALI,MATCH($R322,indexy_SDcast!$K:$K,0),MATCH(W$2,indexy_SDcast!$2:$2,0)),"#ekrk")),"#popis")</f>
        <v>-0.37346235200511191</v>
      </c>
      <c r="X322" s="365">
        <f>IF($Q322="ekrk",IF($R322="data",IFERROR(INDEX(data!$A:$ALL,MATCH($M322,data!$A:$A,0),MATCH(X$2,data!$1:$1,0)),"#data"),IFERROR(W322*INDEX(indexy_SDcast!$A:$ALI,MATCH($R322,indexy_SDcast!$K:$K,0),MATCH(X$2,indexy_SDcast!$2:$2,0)),"#ekrk")),"#popis")</f>
        <v>-0.38942163932362939</v>
      </c>
      <c r="Y322" s="362">
        <f>IF($Q322="ekrk",IF($R322="data",IFERROR(INDEX(data!$A:$ALL,MATCH($M322,data!$A:$A,0),MATCH(Y$2,data!$1:$1,0)),"#data"),IFERROR(X322*INDEX(indexy_SDcast!$A:$ALI,MATCH($R322,indexy_SDcast!$K:$K,0),MATCH(Y$2,indexy_SDcast!$2:$2,0)),"#ekrk")),"#popis")</f>
        <v>-0.40737180061560663</v>
      </c>
    </row>
    <row r="323" spans="1:44" x14ac:dyDescent="0.25">
      <c r="A323" s="330">
        <v>642029</v>
      </c>
      <c r="B323" s="329">
        <v>-93.244600000000005</v>
      </c>
      <c r="C323" s="157"/>
      <c r="D323" s="330">
        <v>642029</v>
      </c>
      <c r="E323" s="329">
        <v>-93.244600000000005</v>
      </c>
      <c r="F323" s="157"/>
      <c r="G323" s="330">
        <v>642029</v>
      </c>
      <c r="H323" s="329">
        <v>-93.244600000000005</v>
      </c>
      <c r="I323" s="157"/>
      <c r="J323" s="330">
        <v>642029</v>
      </c>
      <c r="K323" s="329">
        <v>-93.244600000000005</v>
      </c>
      <c r="L323" s="157"/>
      <c r="M323" s="360">
        <f t="shared" si="35"/>
        <v>642029</v>
      </c>
      <c r="N323" s="237">
        <f t="shared" si="36"/>
        <v>-93.244600000000005</v>
      </c>
      <c r="O323" s="361"/>
      <c r="P323" s="361"/>
      <c r="Q323" s="361" t="s">
        <v>698</v>
      </c>
      <c r="R323" s="362">
        <f>IF(Q323="ekrk",INDEX(indexy_SDcast!$A:$C,MATCH($M323,indexy_SDcast!$A:$A,0),2),"")</f>
        <v>9</v>
      </c>
      <c r="S323" s="236"/>
      <c r="T323" s="364">
        <f t="shared" si="37"/>
        <v>642029</v>
      </c>
      <c r="U323" s="365">
        <f t="shared" si="38"/>
        <v>-93.244600000000005</v>
      </c>
      <c r="V323" s="365">
        <f>IF($Q323="ekrk",IF($R323="data",IFERROR(INDEX(data!$A:$ALL,MATCH($M323,data!$A:$A,0),MATCH(V$2,data!$1:$1,0)),"#data"),IFERROR(U323*INDEX(indexy_SDcast!$A:$ALI,MATCH($R323,indexy_SDcast!$K:$K,0),MATCH(V$2,indexy_SDcast!$2:$2,0)),"#ekrk")),"#popis")</f>
        <v>-93.244600000000005</v>
      </c>
      <c r="W323" s="365">
        <f>IF($Q323="ekrk",IF($R323="data",IFERROR(INDEX(data!$A:$ALL,MATCH($M323,data!$A:$A,0),MATCH(W$2,data!$1:$1,0)),"#data"),IFERROR(V323*INDEX(indexy_SDcast!$A:$ALI,MATCH($R323,indexy_SDcast!$K:$K,0),MATCH(W$2,indexy_SDcast!$2:$2,0)),"#ekrk")),"#popis")</f>
        <v>-93.244600000000005</v>
      </c>
      <c r="X323" s="365">
        <f>IF($Q323="ekrk",IF($R323="data",IFERROR(INDEX(data!$A:$ALL,MATCH($M323,data!$A:$A,0),MATCH(X$2,data!$1:$1,0)),"#data"),IFERROR(W323*INDEX(indexy_SDcast!$A:$ALI,MATCH($R323,indexy_SDcast!$K:$K,0),MATCH(X$2,indexy_SDcast!$2:$2,0)),"#ekrk")),"#popis")</f>
        <v>-93.244600000000005</v>
      </c>
      <c r="Y323" s="362">
        <f>IF($Q323="ekrk",IF($R323="data",IFERROR(INDEX(data!$A:$ALL,MATCH($M323,data!$A:$A,0),MATCH(Y$2,data!$1:$1,0)),"#data"),IFERROR(X323*INDEX(indexy_SDcast!$A:$ALI,MATCH($R323,indexy_SDcast!$K:$K,0),MATCH(Y$2,indexy_SDcast!$2:$2,0)),"#ekrk")),"#popis")</f>
        <v>-93.244600000000005</v>
      </c>
    </row>
    <row r="324" spans="1:44" x14ac:dyDescent="0.25">
      <c r="A324" s="330">
        <v>642030</v>
      </c>
      <c r="B324" s="329">
        <v>-42.708239999999996</v>
      </c>
      <c r="C324" s="157"/>
      <c r="D324" s="330">
        <v>642030</v>
      </c>
      <c r="E324" s="329">
        <v>-42.708239999999996</v>
      </c>
      <c r="F324" s="157"/>
      <c r="G324" s="330">
        <v>642030</v>
      </c>
      <c r="H324" s="329">
        <v>-42.708239999999996</v>
      </c>
      <c r="I324" s="157"/>
      <c r="J324" s="330">
        <v>642030</v>
      </c>
      <c r="K324" s="329">
        <v>-42.708239999999996</v>
      </c>
      <c r="L324" s="157"/>
      <c r="M324" s="360">
        <f t="shared" si="35"/>
        <v>642030</v>
      </c>
      <c r="N324" s="237">
        <f t="shared" si="36"/>
        <v>-42.708239999999996</v>
      </c>
      <c r="O324" s="361"/>
      <c r="P324" s="361"/>
      <c r="Q324" s="361" t="s">
        <v>698</v>
      </c>
      <c r="R324" s="362">
        <f>IF(Q324="ekrk",INDEX(indexy_SDcast!$A:$C,MATCH($M324,indexy_SDcast!$A:$A,0),2),"")</f>
        <v>6</v>
      </c>
      <c r="S324" s="236"/>
      <c r="T324" s="364">
        <f t="shared" si="37"/>
        <v>642030</v>
      </c>
      <c r="U324" s="365">
        <f t="shared" si="38"/>
        <v>-42.708239999999996</v>
      </c>
      <c r="V324" s="365">
        <f>IF($Q324="ekrk",IF($R324="data",IFERROR(INDEX(data!$A:$ALL,MATCH($M324,data!$A:$A,0),MATCH(V$2,data!$1:$1,0)),"#data"),IFERROR(U324*INDEX(indexy_SDcast!$A:$ALI,MATCH($R324,indexy_SDcast!$K:$K,0),MATCH(V$2,indexy_SDcast!$2:$2,0)),"#ekrk")),"#popis")</f>
        <v>-43.488389178869944</v>
      </c>
      <c r="W324" s="365">
        <f>IF($Q324="ekrk",IF($R324="data",IFERROR(INDEX(data!$A:$ALL,MATCH($M324,data!$A:$A,0),MATCH(W$2,data!$1:$1,0)),"#data"),IFERROR(V324*INDEX(indexy_SDcast!$A:$ALI,MATCH($R324,indexy_SDcast!$K:$K,0),MATCH(W$2,indexy_SDcast!$2:$2,0)),"#ekrk")),"#popis")</f>
        <v>-44.743609547263674</v>
      </c>
      <c r="X324" s="365">
        <f>IF($Q324="ekrk",IF($R324="data",IFERROR(INDEX(data!$A:$ALL,MATCH($M324,data!$A:$A,0),MATCH(X$2,data!$1:$1,0)),"#data"),IFERROR(W324*INDEX(indexy_SDcast!$A:$ALI,MATCH($R324,indexy_SDcast!$K:$K,0),MATCH(X$2,indexy_SDcast!$2:$2,0)),"#ekrk")),"#popis")</f>
        <v>-46.208536225924867</v>
      </c>
      <c r="Y324" s="362">
        <f>IF($Q324="ekrk",IF($R324="data",IFERROR(INDEX(data!$A:$ALL,MATCH($M324,data!$A:$A,0),MATCH(Y$2,data!$1:$1,0)),"#data"),IFERROR(X324*INDEX(indexy_SDcast!$A:$ALI,MATCH($R324,indexy_SDcast!$K:$K,0),MATCH(Y$2,indexy_SDcast!$2:$2,0)),"#ekrk")),"#popis")</f>
        <v>-47.817696828367424</v>
      </c>
    </row>
    <row r="325" spans="1:44" x14ac:dyDescent="0.25">
      <c r="A325" s="330">
        <v>642031</v>
      </c>
      <c r="B325" s="329">
        <v>-0.18778</v>
      </c>
      <c r="C325" s="157"/>
      <c r="D325" s="330">
        <v>642031</v>
      </c>
      <c r="E325" s="329">
        <v>-0.18778</v>
      </c>
      <c r="F325" s="157"/>
      <c r="G325" s="330">
        <v>642031</v>
      </c>
      <c r="H325" s="329">
        <v>-0.18778</v>
      </c>
      <c r="I325" s="157"/>
      <c r="J325" s="330">
        <v>642031</v>
      </c>
      <c r="K325" s="329">
        <v>-0.18778</v>
      </c>
      <c r="L325" s="157"/>
      <c r="M325" s="360">
        <f t="shared" si="35"/>
        <v>642031</v>
      </c>
      <c r="N325" s="237">
        <f t="shared" si="36"/>
        <v>-0.18778</v>
      </c>
      <c r="O325" s="361"/>
      <c r="P325" s="361"/>
      <c r="Q325" s="361" t="s">
        <v>698</v>
      </c>
      <c r="R325" s="362">
        <v>2</v>
      </c>
      <c r="S325" s="236"/>
      <c r="T325" s="364">
        <f t="shared" si="37"/>
        <v>642031</v>
      </c>
      <c r="U325" s="365">
        <f t="shared" si="38"/>
        <v>-0.18778</v>
      </c>
      <c r="V325" s="365">
        <f>IF($Q325="ekrk",IF($R325="data",IFERROR(INDEX(data!$A:$ALL,MATCH($M325,data!$A:$A,0),MATCH(V$2,data!$1:$1,0)),"#data"),IFERROR(U325*INDEX(indexy_SDcast!$A:$ALI,MATCH($R325,indexy_SDcast!$K:$K,0),MATCH(V$2,indexy_SDcast!$2:$2,0)),"#ekrk")),"#popis")</f>
        <v>0</v>
      </c>
      <c r="W325" s="365">
        <f>IF($Q325="ekrk",IF($R325="data",IFERROR(INDEX(data!$A:$ALL,MATCH($M325,data!$A:$A,0),MATCH(W$2,data!$1:$1,0)),"#data"),IFERROR(V325*INDEX(indexy_SDcast!$A:$ALI,MATCH($R325,indexy_SDcast!$K:$K,0),MATCH(W$2,indexy_SDcast!$2:$2,0)),"#ekrk")),"#popis")</f>
        <v>0</v>
      </c>
      <c r="X325" s="365">
        <f>IF($Q325="ekrk",IF($R325="data",IFERROR(INDEX(data!$A:$ALL,MATCH($M325,data!$A:$A,0),MATCH(X$2,data!$1:$1,0)),"#data"),IFERROR(W325*INDEX(indexy_SDcast!$A:$ALI,MATCH($R325,indexy_SDcast!$K:$K,0),MATCH(X$2,indexy_SDcast!$2:$2,0)),"#ekrk")),"#popis")</f>
        <v>0</v>
      </c>
      <c r="Y325" s="362">
        <f>IF($Q325="ekrk",IF($R325="data",IFERROR(INDEX(data!$A:$ALL,MATCH($M325,data!$A:$A,0),MATCH(Y$2,data!$1:$1,0)),"#data"),IFERROR(X325*INDEX(indexy_SDcast!$A:$ALI,MATCH($R325,indexy_SDcast!$K:$K,0),MATCH(Y$2,indexy_SDcast!$2:$2,0)),"#ekrk")),"#popis")</f>
        <v>0</v>
      </c>
    </row>
    <row r="326" spans="1:44" x14ac:dyDescent="0.25">
      <c r="A326" s="330">
        <v>642032</v>
      </c>
      <c r="B326" s="329">
        <v>-5.8586299999999989</v>
      </c>
      <c r="C326" s="157"/>
      <c r="D326" s="330">
        <v>642032</v>
      </c>
      <c r="E326" s="329">
        <v>-5.8586299999999989</v>
      </c>
      <c r="F326" s="157"/>
      <c r="G326" s="330">
        <v>642032</v>
      </c>
      <c r="H326" s="329">
        <v>-5.8586299999999989</v>
      </c>
      <c r="I326" s="157"/>
      <c r="J326" s="330">
        <v>642032</v>
      </c>
      <c r="K326" s="329">
        <v>-5.8586299999999989</v>
      </c>
      <c r="L326" s="157"/>
      <c r="M326" s="360">
        <f t="shared" si="35"/>
        <v>642032</v>
      </c>
      <c r="N326" s="237">
        <f t="shared" si="36"/>
        <v>-5.8586299999999989</v>
      </c>
      <c r="O326" s="361"/>
      <c r="P326" s="361"/>
      <c r="Q326" s="361" t="s">
        <v>698</v>
      </c>
      <c r="R326" s="362">
        <f>IF(Q326="ekrk",INDEX(indexy_SDcast!$A:$C,MATCH($M326,indexy_SDcast!$A:$A,0),2),"")</f>
        <v>44</v>
      </c>
      <c r="S326" s="236"/>
      <c r="T326" s="364">
        <f t="shared" si="37"/>
        <v>642032</v>
      </c>
      <c r="U326" s="365">
        <f t="shared" si="38"/>
        <v>-5.8586299999999989</v>
      </c>
      <c r="V326" s="365">
        <f>IF($Q326="ekrk",IF($R326="data",IFERROR(INDEX(data!$A:$ALL,MATCH($M326,data!$A:$A,0),MATCH(V$2,data!$1:$1,0)),"#data"),IFERROR(U326*INDEX(indexy_SDcast!$A:$ALI,MATCH($R326,indexy_SDcast!$K:$K,0),MATCH(V$2,indexy_SDcast!$2:$2,0)),"#ekrk")),"#popis")</f>
        <v>-5.8478448236288161</v>
      </c>
      <c r="W326" s="365">
        <f>IF($Q326="ekrk",IF($R326="data",IFERROR(INDEX(data!$A:$ALL,MATCH($M326,data!$A:$A,0),MATCH(W$2,data!$1:$1,0)),"#data"),IFERROR(V326*INDEX(indexy_SDcast!$A:$ALI,MATCH($R326,indexy_SDcast!$K:$K,0),MATCH(W$2,indexy_SDcast!$2:$2,0)),"#ekrk")),"#popis")</f>
        <v>-5.7405053219646325</v>
      </c>
      <c r="X326" s="365">
        <f>IF($Q326="ekrk",IF($R326="data",IFERROR(INDEX(data!$A:$ALL,MATCH($M326,data!$A:$A,0),MATCH(X$2,data!$1:$1,0)),"#data"),IFERROR(W326*INDEX(indexy_SDcast!$A:$ALI,MATCH($R326,indexy_SDcast!$K:$K,0),MATCH(X$2,indexy_SDcast!$2:$2,0)),"#ekrk")),"#popis")</f>
        <v>-5.5568320012487051</v>
      </c>
      <c r="Y326" s="362">
        <f>IF($Q326="ekrk",IF($R326="data",IFERROR(INDEX(data!$A:$ALL,MATCH($M326,data!$A:$A,0),MATCH(Y$2,data!$1:$1,0)),"#data"),IFERROR(X326*INDEX(indexy_SDcast!$A:$ALI,MATCH($R326,indexy_SDcast!$K:$K,0),MATCH(Y$2,indexy_SDcast!$2:$2,0)),"#ekrk")),"#popis")</f>
        <v>-5.3149216280214597</v>
      </c>
    </row>
    <row r="327" spans="1:44" x14ac:dyDescent="0.25">
      <c r="A327" s="330">
        <v>642036</v>
      </c>
      <c r="B327" s="329">
        <v>-47357.870930000005</v>
      </c>
      <c r="C327" s="157"/>
      <c r="D327" s="330">
        <v>642036</v>
      </c>
      <c r="E327" s="329">
        <v>-47357.870930000005</v>
      </c>
      <c r="F327" s="157"/>
      <c r="G327" s="330">
        <v>642036</v>
      </c>
      <c r="H327" s="329">
        <v>-47357.870930000005</v>
      </c>
      <c r="I327" s="157"/>
      <c r="J327" s="330">
        <v>642036</v>
      </c>
      <c r="K327" s="329">
        <v>-47357.870930000005</v>
      </c>
      <c r="L327" s="157"/>
      <c r="M327" s="360">
        <f t="shared" si="35"/>
        <v>642036</v>
      </c>
      <c r="N327" s="237">
        <f t="shared" si="36"/>
        <v>-47357.870930000005</v>
      </c>
      <c r="O327" s="361"/>
      <c r="P327" s="361"/>
      <c r="Q327" s="361" t="s">
        <v>698</v>
      </c>
      <c r="R327" s="362">
        <f>IF(Q327="ekrk",INDEX(indexy_SDcast!$A:$C,MATCH($M327,indexy_SDcast!$A:$A,0),2),"")</f>
        <v>27</v>
      </c>
      <c r="S327" s="236"/>
      <c r="T327" s="364">
        <f t="shared" si="37"/>
        <v>642036</v>
      </c>
      <c r="U327" s="365">
        <f t="shared" si="38"/>
        <v>-47357.870930000005</v>
      </c>
      <c r="V327" s="365">
        <f>IF($Q327="ekrk",IF($R327="data",IFERROR(INDEX(data!$A:$ALL,MATCH($M327,data!$A:$A,0),MATCH(V$2,data!$1:$1,0)),"#data"),IFERROR(U327*INDEX(indexy_SDcast!$A:$ALI,MATCH($R327,indexy_SDcast!$K:$K,0),MATCH(V$2,indexy_SDcast!$2:$2,0)),"#ekrk")),"#popis")</f>
        <v>-46332.432759668394</v>
      </c>
      <c r="W327" s="365">
        <f>IF($Q327="ekrk",IF($R327="data",IFERROR(INDEX(data!$A:$ALL,MATCH($M327,data!$A:$A,0),MATCH(W$2,data!$1:$1,0)),"#data"),IFERROR(V327*INDEX(indexy_SDcast!$A:$ALI,MATCH($R327,indexy_SDcast!$K:$K,0),MATCH(W$2,indexy_SDcast!$2:$2,0)),"#ekrk")),"#popis")</f>
        <v>-45865.703570037804</v>
      </c>
      <c r="X327" s="365">
        <f>IF($Q327="ekrk",IF($R327="data",IFERROR(INDEX(data!$A:$ALL,MATCH($M327,data!$A:$A,0),MATCH(X$2,data!$1:$1,0)),"#data"),IFERROR(W327*INDEX(indexy_SDcast!$A:$ALI,MATCH($R327,indexy_SDcast!$K:$K,0),MATCH(X$2,indexy_SDcast!$2:$2,0)),"#ekrk")),"#popis")</f>
        <v>-45543.148425038649</v>
      </c>
      <c r="Y327" s="362">
        <f>IF($Q327="ekrk",IF($R327="data",IFERROR(INDEX(data!$A:$ALL,MATCH($M327,data!$A:$A,0),MATCH(Y$2,data!$1:$1,0)),"#data"),IFERROR(X327*INDEX(indexy_SDcast!$A:$ALI,MATCH($R327,indexy_SDcast!$K:$K,0),MATCH(Y$2,indexy_SDcast!$2:$2,0)),"#ekrk")),"#popis")</f>
        <v>-44984.554746836562</v>
      </c>
    </row>
    <row r="328" spans="1:44" x14ac:dyDescent="0.25">
      <c r="A328" s="330">
        <v>642039</v>
      </c>
      <c r="B328" s="329">
        <v>-0.8</v>
      </c>
      <c r="C328" s="157"/>
      <c r="D328" s="330">
        <v>642039</v>
      </c>
      <c r="E328" s="329">
        <v>-0.8</v>
      </c>
      <c r="F328" s="157"/>
      <c r="G328" s="330">
        <v>642039</v>
      </c>
      <c r="H328" s="329">
        <v>-0.8</v>
      </c>
      <c r="I328" s="157"/>
      <c r="J328" s="330">
        <v>642039</v>
      </c>
      <c r="K328" s="329">
        <v>-0.8</v>
      </c>
      <c r="L328" s="157"/>
      <c r="M328" s="360">
        <f t="shared" si="35"/>
        <v>642039</v>
      </c>
      <c r="N328" s="237">
        <f t="shared" si="36"/>
        <v>-0.8</v>
      </c>
      <c r="O328" s="361"/>
      <c r="P328" s="361"/>
      <c r="Q328" s="361" t="s">
        <v>698</v>
      </c>
      <c r="R328" s="362">
        <f>IF(Q328="ekrk",INDEX(indexy_SDcast!$A:$C,MATCH($M328,indexy_SDcast!$A:$A,0),2),"")</f>
        <v>53</v>
      </c>
      <c r="S328" s="236"/>
      <c r="T328" s="364">
        <f t="shared" si="37"/>
        <v>642039</v>
      </c>
      <c r="U328" s="365">
        <f t="shared" si="38"/>
        <v>-0.8</v>
      </c>
      <c r="V328" s="365">
        <f>IF($Q328="ekrk",IF($R328="data",IFERROR(INDEX(data!$A:$ALL,MATCH($M328,data!$A:$A,0),MATCH(V$2,data!$1:$1,0)),"#data"),IFERROR(U328*INDEX(indexy_SDcast!$A:$ALI,MATCH($R328,indexy_SDcast!$K:$K,0),MATCH(V$2,indexy_SDcast!$2:$2,0)),"#ekrk")),"#popis")</f>
        <v>-0.85159769590944556</v>
      </c>
      <c r="W328" s="365">
        <f>IF($Q328="ekrk",IF($R328="data",IFERROR(INDEX(data!$A:$ALL,MATCH($M328,data!$A:$A,0),MATCH(W$2,data!$1:$1,0)),"#data"),IFERROR(V328*INDEX(indexy_SDcast!$A:$ALI,MATCH($R328,indexy_SDcast!$K:$K,0),MATCH(W$2,indexy_SDcast!$2:$2,0)),"#ekrk")),"#popis")</f>
        <v>-0.84881024569369434</v>
      </c>
      <c r="X328" s="365">
        <f>IF($Q328="ekrk",IF($R328="data",IFERROR(INDEX(data!$A:$ALL,MATCH($M328,data!$A:$A,0),MATCH(X$2,data!$1:$1,0)),"#data"),IFERROR(W328*INDEX(indexy_SDcast!$A:$ALI,MATCH($R328,indexy_SDcast!$K:$K,0),MATCH(X$2,indexy_SDcast!$2:$2,0)),"#ekrk")),"#popis")</f>
        <v>-0.85937590851327295</v>
      </c>
      <c r="Y328" s="362">
        <f>IF($Q328="ekrk",IF($R328="data",IFERROR(INDEX(data!$A:$ALL,MATCH($M328,data!$A:$A,0),MATCH(Y$2,data!$1:$1,0)),"#data"),IFERROR(X328*INDEX(indexy_SDcast!$A:$ALI,MATCH($R328,indexy_SDcast!$K:$K,0),MATCH(Y$2,indexy_SDcast!$2:$2,0)),"#ekrk")),"#popis")</f>
        <v>-0.8701097854934563</v>
      </c>
    </row>
    <row r="329" spans="1:44" x14ac:dyDescent="0.25">
      <c r="A329" s="330">
        <v>642042</v>
      </c>
      <c r="B329" s="329">
        <v>-34.086880000000001</v>
      </c>
      <c r="C329" s="157"/>
      <c r="D329" s="330">
        <v>642042</v>
      </c>
      <c r="E329" s="329">
        <v>-34.086880000000001</v>
      </c>
      <c r="F329" s="157"/>
      <c r="G329" s="330">
        <v>642042</v>
      </c>
      <c r="H329" s="329">
        <v>-34.086880000000001</v>
      </c>
      <c r="I329" s="157"/>
      <c r="J329" s="330">
        <v>642042</v>
      </c>
      <c r="K329" s="329">
        <v>-34.086880000000001</v>
      </c>
      <c r="L329" s="157"/>
      <c r="M329" s="360">
        <f t="shared" si="35"/>
        <v>642042</v>
      </c>
      <c r="N329" s="237">
        <f t="shared" si="36"/>
        <v>-34.086880000000001</v>
      </c>
      <c r="O329" s="361"/>
      <c r="P329" s="361"/>
      <c r="Q329" s="361" t="s">
        <v>698</v>
      </c>
      <c r="R329" s="362">
        <f>IF(Q329="ekrk",INDEX(indexy_SDcast!$A:$C,MATCH($M329,indexy_SDcast!$A:$A,0),2),"")</f>
        <v>52</v>
      </c>
      <c r="S329" s="236"/>
      <c r="T329" s="364">
        <f t="shared" si="37"/>
        <v>642042</v>
      </c>
      <c r="U329" s="365">
        <f t="shared" si="38"/>
        <v>-34.086880000000001</v>
      </c>
      <c r="V329" s="365">
        <f>IF($Q329="ekrk",IF($R329="data",IFERROR(INDEX(data!$A:$ALL,MATCH($M329,data!$A:$A,0),MATCH(V$2,data!$1:$1,0)),"#data"),IFERROR(U329*INDEX(indexy_SDcast!$A:$ALI,MATCH($R329,indexy_SDcast!$K:$K,0),MATCH(V$2,indexy_SDcast!$2:$2,0)),"#ekrk")),"#popis")</f>
        <v>-34.510684043340838</v>
      </c>
      <c r="W329" s="365">
        <f>IF($Q329="ekrk",IF($R329="data",IFERROR(INDEX(data!$A:$ALL,MATCH($M329,data!$A:$A,0),MATCH(W$2,data!$1:$1,0)),"#data"),IFERROR(V329*INDEX(indexy_SDcast!$A:$ALI,MATCH($R329,indexy_SDcast!$K:$K,0),MATCH(W$2,indexy_SDcast!$2:$2,0)),"#ekrk")),"#popis")</f>
        <v>-34.653751711676151</v>
      </c>
      <c r="X329" s="365">
        <f>IF($Q329="ekrk",IF($R329="data",IFERROR(INDEX(data!$A:$ALL,MATCH($M329,data!$A:$A,0),MATCH(X$2,data!$1:$1,0)),"#data"),IFERROR(W329*INDEX(indexy_SDcast!$A:$ALI,MATCH($R329,indexy_SDcast!$K:$K,0),MATCH(X$2,indexy_SDcast!$2:$2,0)),"#ekrk")),"#popis")</f>
        <v>-34.849538350450104</v>
      </c>
      <c r="Y329" s="362">
        <f>IF($Q329="ekrk",IF($R329="data",IFERROR(INDEX(data!$A:$ALL,MATCH($M329,data!$A:$A,0),MATCH(Y$2,data!$1:$1,0)),"#data"),IFERROR(X329*INDEX(indexy_SDcast!$A:$ALI,MATCH($R329,indexy_SDcast!$K:$K,0),MATCH(Y$2,indexy_SDcast!$2:$2,0)),"#ekrk")),"#popis")</f>
        <v>-35.825054374382177</v>
      </c>
    </row>
    <row r="330" spans="1:44" s="18" customFormat="1" x14ac:dyDescent="0.25">
      <c r="A330" s="333" t="s">
        <v>730</v>
      </c>
      <c r="B330" s="334">
        <v>-24969.174779999987</v>
      </c>
      <c r="C330" s="164"/>
      <c r="D330" s="333" t="s">
        <v>730</v>
      </c>
      <c r="E330" s="334">
        <v>-24969.174779999987</v>
      </c>
      <c r="F330" s="164"/>
      <c r="G330" s="333" t="s">
        <v>730</v>
      </c>
      <c r="H330" s="334">
        <v>-24969.174779999987</v>
      </c>
      <c r="I330" s="164"/>
      <c r="J330" s="333" t="s">
        <v>730</v>
      </c>
      <c r="K330" s="334">
        <v>-24969.174779999987</v>
      </c>
      <c r="L330" s="164"/>
      <c r="M330" s="358" t="str">
        <f t="shared" si="35"/>
        <v>D632PAY</v>
      </c>
      <c r="N330" s="239">
        <f t="shared" si="36"/>
        <v>-24969.174779999987</v>
      </c>
      <c r="O330" s="243"/>
      <c r="P330" s="243">
        <f>MATCH(Q330,Q331:Q$1550,0)</f>
        <v>6</v>
      </c>
      <c r="Q330" s="243" t="s">
        <v>697</v>
      </c>
      <c r="R330" s="359" t="str">
        <f>IF(Q330="ekrk",INDEX(indexy_SDcast!$A:$C,MATCH($M330,indexy_SDcast!$A:$A,0),2),"")</f>
        <v/>
      </c>
      <c r="S330" s="240"/>
      <c r="T330" s="363" t="str">
        <f t="shared" si="37"/>
        <v>D632PAY</v>
      </c>
      <c r="U330" s="244">
        <f>SUM(U331:U335)</f>
        <v>-24969.174779999987</v>
      </c>
      <c r="V330" s="244">
        <f>SUM(V331:V335)</f>
        <v>-25658.641994064077</v>
      </c>
      <c r="W330" s="244">
        <f>SUM(W331:W335)</f>
        <v>-26558.98211545718</v>
      </c>
      <c r="X330" s="244">
        <f>SUM(X331:X335)</f>
        <v>-27668.709537201685</v>
      </c>
      <c r="Y330" s="359">
        <f>SUM(Y331:Y335)</f>
        <v>-28950.660485447748</v>
      </c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8"/>
      <c r="AN330" s="58"/>
      <c r="AO330" s="58"/>
      <c r="AP330" s="58"/>
      <c r="AQ330" s="58"/>
      <c r="AR330" s="58"/>
    </row>
    <row r="331" spans="1:44" x14ac:dyDescent="0.25">
      <c r="A331" s="330">
        <v>637016</v>
      </c>
      <c r="B331" s="329">
        <v>-12726.101519999978</v>
      </c>
      <c r="C331" s="157"/>
      <c r="D331" s="330">
        <v>637016</v>
      </c>
      <c r="E331" s="329">
        <v>-12726.101519999978</v>
      </c>
      <c r="F331" s="157"/>
      <c r="G331" s="330">
        <v>637016</v>
      </c>
      <c r="H331" s="329">
        <v>-12726.101519999978</v>
      </c>
      <c r="I331" s="157"/>
      <c r="J331" s="330">
        <v>637016</v>
      </c>
      <c r="K331" s="329">
        <v>-12726.101519999978</v>
      </c>
      <c r="L331" s="157"/>
      <c r="M331" s="360">
        <f t="shared" si="35"/>
        <v>637016</v>
      </c>
      <c r="N331" s="237">
        <f t="shared" si="36"/>
        <v>-12726.101519999978</v>
      </c>
      <c r="O331" s="361"/>
      <c r="P331" s="361"/>
      <c r="Q331" s="361" t="s">
        <v>698</v>
      </c>
      <c r="R331" s="362">
        <f>IF(Q331="ekrk",INDEX(indexy_SDcast!$A:$C,MATCH($M331,indexy_SDcast!$A:$A,0),2),"")</f>
        <v>39</v>
      </c>
      <c r="S331" s="236"/>
      <c r="T331" s="364">
        <f t="shared" si="37"/>
        <v>637016</v>
      </c>
      <c r="U331" s="365">
        <f>N331</f>
        <v>-12726.101519999978</v>
      </c>
      <c r="V331" s="365">
        <f>IF($Q331="ekrk",IF($R331="data",IFERROR(INDEX(data!$A:$ALL,MATCH($M331,data!$A:$A,0),MATCH(V$2,data!$1:$1,0)),"#data"),IFERROR(U331*INDEX(indexy_SDcast!$A:$ALI,MATCH($R331,indexy_SDcast!$K:$K,0),MATCH(V$2,indexy_SDcast!$2:$2,0)),"#ekrk")),"#popis")</f>
        <v>-13094.985396011711</v>
      </c>
      <c r="W331" s="365">
        <f>IF($Q331="ekrk",IF($R331="data",IFERROR(INDEX(data!$A:$ALL,MATCH($M331,data!$A:$A,0),MATCH(W$2,data!$1:$1,0)),"#data"),IFERROR(V331*INDEX(indexy_SDcast!$A:$ALI,MATCH($R331,indexy_SDcast!$K:$K,0),MATCH(W$2,indexy_SDcast!$2:$2,0)),"#ekrk")),"#popis")</f>
        <v>-13579.199444328635</v>
      </c>
      <c r="X331" s="365">
        <f>IF($Q331="ekrk",IF($R331="data",IFERROR(INDEX(data!$A:$ALL,MATCH($M331,data!$A:$A,0),MATCH(X$2,data!$1:$1,0)),"#data"),IFERROR(W331*INDEX(indexy_SDcast!$A:$ALI,MATCH($R331,indexy_SDcast!$K:$K,0),MATCH(X$2,indexy_SDcast!$2:$2,0)),"#ekrk")),"#popis")</f>
        <v>-14159.483760335212</v>
      </c>
      <c r="Y331" s="362">
        <f>IF($Q331="ekrk",IF($R331="data",IFERROR(INDEX(data!$A:$ALL,MATCH($M331,data!$A:$A,0),MATCH(Y$2,data!$1:$1,0)),"#data"),IFERROR(X331*INDEX(indexy_SDcast!$A:$ALI,MATCH($R331,indexy_SDcast!$K:$K,0),MATCH(Y$2,indexy_SDcast!$2:$2,0)),"#ekrk")),"#popis")</f>
        <v>-14812.156831484001</v>
      </c>
    </row>
    <row r="332" spans="1:44" x14ac:dyDescent="0.25">
      <c r="A332" s="330">
        <v>642012</v>
      </c>
      <c r="B332" s="329">
        <v>-4322.1541000000007</v>
      </c>
      <c r="C332" s="157"/>
      <c r="D332" s="330">
        <v>642012</v>
      </c>
      <c r="E332" s="329">
        <v>-4322.1541000000007</v>
      </c>
      <c r="F332" s="157"/>
      <c r="G332" s="330">
        <v>642012</v>
      </c>
      <c r="H332" s="329">
        <v>-4322.1541000000007</v>
      </c>
      <c r="I332" s="157"/>
      <c r="J332" s="330">
        <v>642012</v>
      </c>
      <c r="K332" s="329">
        <v>-4322.1541000000007</v>
      </c>
      <c r="L332" s="157"/>
      <c r="M332" s="360">
        <f t="shared" si="35"/>
        <v>642012</v>
      </c>
      <c r="N332" s="237">
        <f t="shared" si="36"/>
        <v>-4322.1541000000007</v>
      </c>
      <c r="O332" s="361"/>
      <c r="P332" s="361"/>
      <c r="Q332" s="361" t="s">
        <v>698</v>
      </c>
      <c r="R332" s="362">
        <f>IF(Q332="ekrk",INDEX(indexy_SDcast!$A:$C,MATCH($M332,indexy_SDcast!$A:$A,0),2),"")</f>
        <v>43</v>
      </c>
      <c r="S332" s="236"/>
      <c r="T332" s="364">
        <f t="shared" si="37"/>
        <v>642012</v>
      </c>
      <c r="U332" s="365">
        <f>N332</f>
        <v>-4322.1541000000007</v>
      </c>
      <c r="V332" s="365">
        <f>IF($Q332="ekrk",IF($R332="data",IFERROR(INDEX(data!$A:$ALL,MATCH($M332,data!$A:$A,0),MATCH(V$2,data!$1:$1,0)),"#data"),IFERROR(U332*INDEX(indexy_SDcast!$A:$ALI,MATCH($R332,indexy_SDcast!$K:$K,0),MATCH(V$2,indexy_SDcast!$2:$2,0)),"#ekrk")),"#popis")</f>
        <v>-4430.1059672549982</v>
      </c>
      <c r="W332" s="365">
        <f>IF($Q332="ekrk",IF($R332="data",IFERROR(INDEX(data!$A:$ALL,MATCH($M332,data!$A:$A,0),MATCH(W$2,data!$1:$1,0)),"#data"),IFERROR(V332*INDEX(indexy_SDcast!$A:$ALI,MATCH($R332,indexy_SDcast!$K:$K,0),MATCH(W$2,indexy_SDcast!$2:$2,0)),"#ekrk")),"#popis")</f>
        <v>-4558.5187932705276</v>
      </c>
      <c r="X332" s="365">
        <f>IF($Q332="ekrk",IF($R332="data",IFERROR(INDEX(data!$A:$ALL,MATCH($M332,data!$A:$A,0),MATCH(X$2,data!$1:$1,0)),"#data"),IFERROR(W332*INDEX(indexy_SDcast!$A:$ALI,MATCH($R332,indexy_SDcast!$K:$K,0),MATCH(X$2,indexy_SDcast!$2:$2,0)),"#ekrk")),"#popis")</f>
        <v>-4727.0794118940939</v>
      </c>
      <c r="Y332" s="362">
        <f>IF($Q332="ekrk",IF($R332="data",IFERROR(INDEX(data!$A:$ALL,MATCH($M332,data!$A:$A,0),MATCH(Y$2,data!$1:$1,0)),"#data"),IFERROR(X332*INDEX(indexy_SDcast!$A:$ALI,MATCH($R332,indexy_SDcast!$K:$K,0),MATCH(Y$2,indexy_SDcast!$2:$2,0)),"#ekrk")),"#popis")</f>
        <v>-4929.0832232738121</v>
      </c>
    </row>
    <row r="333" spans="1:44" x14ac:dyDescent="0.25">
      <c r="A333" s="330">
        <v>642013</v>
      </c>
      <c r="B333" s="329">
        <v>-3961.3417800000016</v>
      </c>
      <c r="C333" s="157"/>
      <c r="D333" s="330">
        <v>642013</v>
      </c>
      <c r="E333" s="329">
        <v>-3961.3417800000016</v>
      </c>
      <c r="F333" s="157"/>
      <c r="G333" s="330">
        <v>642013</v>
      </c>
      <c r="H333" s="329">
        <v>-3961.3417800000016</v>
      </c>
      <c r="I333" s="157"/>
      <c r="J333" s="330">
        <v>642013</v>
      </c>
      <c r="K333" s="329">
        <v>-3961.3417800000016</v>
      </c>
      <c r="L333" s="157"/>
      <c r="M333" s="360">
        <f t="shared" si="35"/>
        <v>642013</v>
      </c>
      <c r="N333" s="237">
        <f t="shared" si="36"/>
        <v>-3961.3417800000016</v>
      </c>
      <c r="O333" s="361"/>
      <c r="P333" s="361"/>
      <c r="Q333" s="361" t="s">
        <v>698</v>
      </c>
      <c r="R333" s="362">
        <f>IF(Q333="ekrk",INDEX(indexy_SDcast!$A:$C,MATCH($M333,indexy_SDcast!$A:$A,0),2),"")</f>
        <v>43</v>
      </c>
      <c r="S333" s="236"/>
      <c r="T333" s="364">
        <f t="shared" si="37"/>
        <v>642013</v>
      </c>
      <c r="U333" s="365">
        <f>N333</f>
        <v>-3961.3417800000016</v>
      </c>
      <c r="V333" s="365">
        <f>IF($Q333="ekrk",IF($R333="data",IFERROR(INDEX(data!$A:$ALL,MATCH($M333,data!$A:$A,0),MATCH(V$2,data!$1:$1,0)),"#data"),IFERROR(U333*INDEX(indexy_SDcast!$A:$ALI,MATCH($R333,indexy_SDcast!$K:$K,0),MATCH(V$2,indexy_SDcast!$2:$2,0)),"#ekrk")),"#popis")</f>
        <v>-4060.2818529571955</v>
      </c>
      <c r="W333" s="365">
        <f>IF($Q333="ekrk",IF($R333="data",IFERROR(INDEX(data!$A:$ALL,MATCH($M333,data!$A:$A,0),MATCH(W$2,data!$1:$1,0)),"#data"),IFERROR(V333*INDEX(indexy_SDcast!$A:$ALI,MATCH($R333,indexy_SDcast!$K:$K,0),MATCH(W$2,indexy_SDcast!$2:$2,0)),"#ekrk")),"#popis")</f>
        <v>-4177.9748090651674</v>
      </c>
      <c r="X333" s="365">
        <f>IF($Q333="ekrk",IF($R333="data",IFERROR(INDEX(data!$A:$ALL,MATCH($M333,data!$A:$A,0),MATCH(X$2,data!$1:$1,0)),"#data"),IFERROR(W333*INDEX(indexy_SDcast!$A:$ALI,MATCH($R333,indexy_SDcast!$K:$K,0),MATCH(X$2,indexy_SDcast!$2:$2,0)),"#ekrk")),"#popis")</f>
        <v>-4332.4640303116239</v>
      </c>
      <c r="Y333" s="362">
        <f>IF($Q333="ekrk",IF($R333="data",IFERROR(INDEX(data!$A:$ALL,MATCH($M333,data!$A:$A,0),MATCH(Y$2,data!$1:$1,0)),"#data"),IFERROR(X333*INDEX(indexy_SDcast!$A:$ALI,MATCH($R333,indexy_SDcast!$K:$K,0),MATCH(Y$2,indexy_SDcast!$2:$2,0)),"#ekrk")),"#popis")</f>
        <v>-4517.6046151273567</v>
      </c>
    </row>
    <row r="334" spans="1:44" x14ac:dyDescent="0.25">
      <c r="A334" s="330">
        <v>642015</v>
      </c>
      <c r="B334" s="329">
        <v>-3908.1623800000039</v>
      </c>
      <c r="C334" s="157"/>
      <c r="D334" s="330">
        <v>642015</v>
      </c>
      <c r="E334" s="329">
        <v>-3908.1623800000039</v>
      </c>
      <c r="F334" s="157"/>
      <c r="G334" s="330">
        <v>642015</v>
      </c>
      <c r="H334" s="329">
        <v>-3908.1623800000039</v>
      </c>
      <c r="I334" s="157"/>
      <c r="J334" s="330">
        <v>642015</v>
      </c>
      <c r="K334" s="329">
        <v>-3908.1623800000039</v>
      </c>
      <c r="L334" s="157"/>
      <c r="M334" s="360">
        <f t="shared" si="35"/>
        <v>642015</v>
      </c>
      <c r="N334" s="237">
        <f t="shared" si="36"/>
        <v>-3908.1623800000039</v>
      </c>
      <c r="O334" s="361"/>
      <c r="P334" s="361"/>
      <c r="Q334" s="361" t="s">
        <v>698</v>
      </c>
      <c r="R334" s="362">
        <v>36</v>
      </c>
      <c r="S334" s="236"/>
      <c r="T334" s="364">
        <f t="shared" si="37"/>
        <v>642015</v>
      </c>
      <c r="U334" s="365">
        <f>N334</f>
        <v>-3908.1623800000039</v>
      </c>
      <c r="V334" s="365">
        <f>IF($Q334="ekrk",IF($R334="data",IFERROR(INDEX(data!$A:$ALL,MATCH($M334,data!$A:$A,0),MATCH(V$2,data!$1:$1,0)),"#data"),IFERROR(U334*INDEX(indexy_SDcast!$A:$ALI,MATCH($R334,indexy_SDcast!$K:$K,0),MATCH(V$2,indexy_SDcast!$2:$2,0)),"#ekrk")),"#popis")</f>
        <v>-4020.9145827332914</v>
      </c>
      <c r="W334" s="365">
        <f>IF($Q334="ekrk",IF($R334="data",IFERROR(INDEX(data!$A:$ALL,MATCH($M334,data!$A:$A,0),MATCH(W$2,data!$1:$1,0)),"#data"),IFERROR(V334*INDEX(indexy_SDcast!$A:$ALI,MATCH($R334,indexy_SDcast!$K:$K,0),MATCH(W$2,indexy_SDcast!$2:$2,0)),"#ekrk")),"#popis")</f>
        <v>-4189.4237565048124</v>
      </c>
      <c r="X334" s="365">
        <f>IF($Q334="ekrk",IF($R334="data",IFERROR(INDEX(data!$A:$ALL,MATCH($M334,data!$A:$A,0),MATCH(X$2,data!$1:$1,0)),"#data"),IFERROR(W334*INDEX(indexy_SDcast!$A:$ALI,MATCH($R334,indexy_SDcast!$K:$K,0),MATCH(X$2,indexy_SDcast!$2:$2,0)),"#ekrk")),"#popis")</f>
        <v>-4394.0534468850974</v>
      </c>
      <c r="Y334" s="362">
        <f>IF($Q334="ekrk",IF($R334="data",IFERROR(INDEX(data!$A:$ALL,MATCH($M334,data!$A:$A,0),MATCH(Y$2,data!$1:$1,0)),"#data"),IFERROR(X334*INDEX(indexy_SDcast!$A:$ALI,MATCH($R334,indexy_SDcast!$K:$K,0),MATCH(Y$2,indexy_SDcast!$2:$2,0)),"#ekrk")),"#popis")</f>
        <v>-4634.249713975847</v>
      </c>
    </row>
    <row r="335" spans="1:44" x14ac:dyDescent="0.25">
      <c r="A335" s="330">
        <v>642017</v>
      </c>
      <c r="B335" s="329">
        <v>-51.415000000000013</v>
      </c>
      <c r="C335" s="157"/>
      <c r="D335" s="330">
        <v>642017</v>
      </c>
      <c r="E335" s="329">
        <v>-51.415000000000013</v>
      </c>
      <c r="F335" s="157"/>
      <c r="G335" s="330">
        <v>642017</v>
      </c>
      <c r="H335" s="329">
        <v>-51.415000000000013</v>
      </c>
      <c r="I335" s="157"/>
      <c r="J335" s="330">
        <v>642017</v>
      </c>
      <c r="K335" s="329">
        <v>-51.415000000000013</v>
      </c>
      <c r="L335" s="157"/>
      <c r="M335" s="360">
        <f t="shared" si="35"/>
        <v>642017</v>
      </c>
      <c r="N335" s="237">
        <f t="shared" si="36"/>
        <v>-51.415000000000013</v>
      </c>
      <c r="O335" s="361"/>
      <c r="P335" s="361"/>
      <c r="Q335" s="361" t="s">
        <v>698</v>
      </c>
      <c r="R335" s="362">
        <f>IF(Q335="ekrk",INDEX(indexy_SDcast!$A:$C,MATCH($M335,indexy_SDcast!$A:$A,0),2),"")</f>
        <v>6</v>
      </c>
      <c r="S335" s="236"/>
      <c r="T335" s="364">
        <f t="shared" si="37"/>
        <v>642017</v>
      </c>
      <c r="U335" s="365">
        <f>N335</f>
        <v>-51.415000000000013</v>
      </c>
      <c r="V335" s="365">
        <f>IF($Q335="ekrk",IF($R335="data",IFERROR(INDEX(data!$A:$ALL,MATCH($M335,data!$A:$A,0),MATCH(V$2,data!$1:$1,0)),"#data"),IFERROR(U335*INDEX(indexy_SDcast!$A:$ALI,MATCH($R335,indexy_SDcast!$K:$K,0),MATCH(V$2,indexy_SDcast!$2:$2,0)),"#ekrk")),"#popis")</f>
        <v>-52.354195106883331</v>
      </c>
      <c r="W335" s="365">
        <f>IF($Q335="ekrk",IF($R335="data",IFERROR(INDEX(data!$A:$ALL,MATCH($M335,data!$A:$A,0),MATCH(W$2,data!$1:$1,0)),"#data"),IFERROR(V335*INDEX(indexy_SDcast!$A:$ALI,MATCH($R335,indexy_SDcast!$K:$K,0),MATCH(W$2,indexy_SDcast!$2:$2,0)),"#ekrk")),"#popis")</f>
        <v>-53.86531228804003</v>
      </c>
      <c r="X335" s="365">
        <f>IF($Q335="ekrk",IF($R335="data",IFERROR(INDEX(data!$A:$ALL,MATCH($M335,data!$A:$A,0),MATCH(X$2,data!$1:$1,0)),"#data"),IFERROR(W335*INDEX(indexy_SDcast!$A:$ALI,MATCH($R335,indexy_SDcast!$K:$K,0),MATCH(X$2,indexy_SDcast!$2:$2,0)),"#ekrk")),"#popis")</f>
        <v>-55.628887775659408</v>
      </c>
      <c r="Y335" s="362">
        <f>IF($Q335="ekrk",IF($R335="data",IFERROR(INDEX(data!$A:$ALL,MATCH($M335,data!$A:$A,0),MATCH(Y$2,data!$1:$1,0)),"#data"),IFERROR(X335*INDEX(indexy_SDcast!$A:$ALI,MATCH($R335,indexy_SDcast!$K:$K,0),MATCH(Y$2,indexy_SDcast!$2:$2,0)),"#ekrk")),"#popis")</f>
        <v>-57.566101586731563</v>
      </c>
    </row>
    <row r="336" spans="1:44" s="18" customFormat="1" x14ac:dyDescent="0.25">
      <c r="A336" s="333" t="s">
        <v>731</v>
      </c>
      <c r="B336" s="334">
        <v>-3636.1900500000038</v>
      </c>
      <c r="C336" s="164"/>
      <c r="D336" s="333" t="s">
        <v>731</v>
      </c>
      <c r="E336" s="334">
        <v>-3636.1900500000038</v>
      </c>
      <c r="F336" s="164"/>
      <c r="G336" s="333" t="s">
        <v>731</v>
      </c>
      <c r="H336" s="334">
        <v>-3636.1900500000038</v>
      </c>
      <c r="I336" s="164"/>
      <c r="J336" s="333" t="s">
        <v>731</v>
      </c>
      <c r="K336" s="334">
        <v>-3636.1900500000038</v>
      </c>
      <c r="L336" s="164"/>
      <c r="M336" s="358" t="str">
        <f t="shared" si="35"/>
        <v>D71PAY</v>
      </c>
      <c r="N336" s="239">
        <f t="shared" si="36"/>
        <v>-3636.1900500000038</v>
      </c>
      <c r="O336" s="243"/>
      <c r="P336" s="243">
        <f>MATCH(Q336,Q337:Q$1550,0)</f>
        <v>3</v>
      </c>
      <c r="Q336" s="243" t="s">
        <v>697</v>
      </c>
      <c r="R336" s="359" t="str">
        <f>IF(Q336="ekrk",INDEX(indexy_SDcast!$A:$C,MATCH($M336,indexy_SDcast!$A:$A,0),2),"")</f>
        <v/>
      </c>
      <c r="S336" s="240"/>
      <c r="T336" s="363" t="str">
        <f t="shared" si="37"/>
        <v>D71PAY</v>
      </c>
      <c r="U336" s="244">
        <f>SUM(U337:U338)</f>
        <v>-3636.1900500000038</v>
      </c>
      <c r="V336" s="244">
        <f>SUM(V337:V338)</f>
        <v>-3663.6341744119745</v>
      </c>
      <c r="W336" s="244">
        <f>SUM(W337:W338)</f>
        <v>-3739.653229430483</v>
      </c>
      <c r="X336" s="244">
        <f>SUM(X337:X338)</f>
        <v>-3824.7214074887142</v>
      </c>
      <c r="Y336" s="359">
        <f>SUM(Y337:Y338)</f>
        <v>-3914.806417258882</v>
      </c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8"/>
      <c r="AN336" s="58"/>
      <c r="AO336" s="58"/>
      <c r="AP336" s="58"/>
      <c r="AQ336" s="58"/>
      <c r="AR336" s="58"/>
    </row>
    <row r="337" spans="1:44" x14ac:dyDescent="0.25">
      <c r="A337" s="330">
        <v>634003</v>
      </c>
      <c r="B337" s="329">
        <v>-484.71043999999972</v>
      </c>
      <c r="C337" s="157"/>
      <c r="D337" s="330">
        <v>634003</v>
      </c>
      <c r="E337" s="329">
        <v>-484.71043999999972</v>
      </c>
      <c r="F337" s="157"/>
      <c r="G337" s="330">
        <v>634003</v>
      </c>
      <c r="H337" s="329">
        <v>-484.71043999999972</v>
      </c>
      <c r="I337" s="157"/>
      <c r="J337" s="330">
        <v>634003</v>
      </c>
      <c r="K337" s="329">
        <v>-484.71043999999972</v>
      </c>
      <c r="L337" s="157"/>
      <c r="M337" s="360">
        <f t="shared" si="35"/>
        <v>634003</v>
      </c>
      <c r="N337" s="237">
        <f t="shared" si="36"/>
        <v>-484.71043999999972</v>
      </c>
      <c r="O337" s="361"/>
      <c r="P337" s="361"/>
      <c r="Q337" s="361" t="s">
        <v>698</v>
      </c>
      <c r="R337" s="362">
        <f>IF(Q337="ekrk",INDEX(indexy_SDcast!$A:$C,MATCH($M337,indexy_SDcast!$A:$A,0),2),"")</f>
        <v>25</v>
      </c>
      <c r="S337" s="236"/>
      <c r="T337" s="364">
        <f t="shared" si="37"/>
        <v>634003</v>
      </c>
      <c r="U337" s="365">
        <f>N337</f>
        <v>-484.71043999999972</v>
      </c>
      <c r="V337" s="365">
        <f>IF($Q337="ekrk",IF($R337="data",IFERROR(INDEX(data!$A:$ALL,MATCH($M337,data!$A:$A,0),MATCH(V$2,data!$1:$1,0)),"#data"),IFERROR(U337*INDEX(indexy_SDcast!$A:$ALI,MATCH($R337,indexy_SDcast!$K:$K,0),MATCH(V$2,indexy_SDcast!$2:$2,0)),"#ekrk")),"#popis")</f>
        <v>-488.36878938114415</v>
      </c>
      <c r="W337" s="365">
        <f>IF($Q337="ekrk",IF($R337="data",IFERROR(INDEX(data!$A:$ALL,MATCH($M337,data!$A:$A,0),MATCH(W$2,data!$1:$1,0)),"#data"),IFERROR(V337*INDEX(indexy_SDcast!$A:$ALI,MATCH($R337,indexy_SDcast!$K:$K,0),MATCH(W$2,indexy_SDcast!$2:$2,0)),"#ekrk")),"#popis")</f>
        <v>-498.50226125685248</v>
      </c>
      <c r="X337" s="365">
        <f>IF($Q337="ekrk",IF($R337="data",IFERROR(INDEX(data!$A:$ALL,MATCH($M337,data!$A:$A,0),MATCH(X$2,data!$1:$1,0)),"#data"),IFERROR(W337*INDEX(indexy_SDcast!$A:$ALI,MATCH($R337,indexy_SDcast!$K:$K,0),MATCH(X$2,indexy_SDcast!$2:$2,0)),"#ekrk")),"#popis")</f>
        <v>-509.84199692787536</v>
      </c>
      <c r="Y337" s="362">
        <f>IF($Q337="ekrk",IF($R337="data",IFERROR(INDEX(data!$A:$ALL,MATCH($M337,data!$A:$A,0),MATCH(Y$2,data!$1:$1,0)),"#data"),IFERROR(X337*INDEX(indexy_SDcast!$A:$ALI,MATCH($R337,indexy_SDcast!$K:$K,0),MATCH(Y$2,indexy_SDcast!$2:$2,0)),"#ekrk")),"#popis")</f>
        <v>-521.85048496691559</v>
      </c>
    </row>
    <row r="338" spans="1:44" x14ac:dyDescent="0.25">
      <c r="A338" s="330">
        <v>637015</v>
      </c>
      <c r="B338" s="329">
        <v>-3151.479610000004</v>
      </c>
      <c r="C338" s="157"/>
      <c r="D338" s="330">
        <v>637015</v>
      </c>
      <c r="E338" s="329">
        <v>-3151.479610000004</v>
      </c>
      <c r="F338" s="157"/>
      <c r="G338" s="330">
        <v>637015</v>
      </c>
      <c r="H338" s="329">
        <v>-3151.479610000004</v>
      </c>
      <c r="I338" s="157"/>
      <c r="J338" s="330">
        <v>637015</v>
      </c>
      <c r="K338" s="329">
        <v>-3151.479610000004</v>
      </c>
      <c r="L338" s="157"/>
      <c r="M338" s="360">
        <f t="shared" si="35"/>
        <v>637015</v>
      </c>
      <c r="N338" s="237">
        <f t="shared" si="36"/>
        <v>-3151.479610000004</v>
      </c>
      <c r="O338" s="361"/>
      <c r="P338" s="361"/>
      <c r="Q338" s="361" t="s">
        <v>698</v>
      </c>
      <c r="R338" s="362">
        <f>IF(Q338="ekrk",INDEX(indexy_SDcast!$A:$C,MATCH($M338,indexy_SDcast!$A:$A,0),2),"")</f>
        <v>25</v>
      </c>
      <c r="S338" s="236"/>
      <c r="T338" s="364">
        <f t="shared" si="37"/>
        <v>637015</v>
      </c>
      <c r="U338" s="365">
        <f>N338</f>
        <v>-3151.479610000004</v>
      </c>
      <c r="V338" s="365">
        <f>IF($Q338="ekrk",IF($R338="data",IFERROR(INDEX(data!$A:$ALL,MATCH($M338,data!$A:$A,0),MATCH(V$2,data!$1:$1,0)),"#data"),IFERROR(U338*INDEX(indexy_SDcast!$A:$ALI,MATCH($R338,indexy_SDcast!$K:$K,0),MATCH(V$2,indexy_SDcast!$2:$2,0)),"#ekrk")),"#popis")</f>
        <v>-3175.2653850308302</v>
      </c>
      <c r="W338" s="365">
        <f>IF($Q338="ekrk",IF($R338="data",IFERROR(INDEX(data!$A:$ALL,MATCH($M338,data!$A:$A,0),MATCH(W$2,data!$1:$1,0)),"#data"),IFERROR(V338*INDEX(indexy_SDcast!$A:$ALI,MATCH($R338,indexy_SDcast!$K:$K,0),MATCH(W$2,indexy_SDcast!$2:$2,0)),"#ekrk")),"#popis")</f>
        <v>-3241.1509681736306</v>
      </c>
      <c r="X338" s="365">
        <f>IF($Q338="ekrk",IF($R338="data",IFERROR(INDEX(data!$A:$ALL,MATCH($M338,data!$A:$A,0),MATCH(X$2,data!$1:$1,0)),"#data"),IFERROR(W338*INDEX(indexy_SDcast!$A:$ALI,MATCH($R338,indexy_SDcast!$K:$K,0),MATCH(X$2,indexy_SDcast!$2:$2,0)),"#ekrk")),"#popis")</f>
        <v>-3314.879410560839</v>
      </c>
      <c r="Y338" s="362">
        <f>IF($Q338="ekrk",IF($R338="data",IFERROR(INDEX(data!$A:$ALL,MATCH($M338,data!$A:$A,0),MATCH(Y$2,data!$1:$1,0)),"#data"),IFERROR(X338*INDEX(indexy_SDcast!$A:$ALI,MATCH($R338,indexy_SDcast!$K:$K,0),MATCH(Y$2,indexy_SDcast!$2:$2,0)),"#ekrk")),"#popis")</f>
        <v>-3392.9559322919663</v>
      </c>
    </row>
    <row r="339" spans="1:44" s="18" customFormat="1" x14ac:dyDescent="0.25">
      <c r="A339" s="333" t="s">
        <v>734</v>
      </c>
      <c r="B339" s="334">
        <v>-433.16620000000006</v>
      </c>
      <c r="C339" s="164"/>
      <c r="D339" s="333" t="s">
        <v>734</v>
      </c>
      <c r="E339" s="334">
        <v>-433.16620000000006</v>
      </c>
      <c r="F339" s="164"/>
      <c r="G339" s="333" t="s">
        <v>734</v>
      </c>
      <c r="H339" s="334">
        <v>-433.16620000000006</v>
      </c>
      <c r="I339" s="164"/>
      <c r="J339" s="333" t="s">
        <v>734</v>
      </c>
      <c r="K339" s="334">
        <v>-433.16620000000006</v>
      </c>
      <c r="L339" s="164"/>
      <c r="M339" s="358" t="str">
        <f t="shared" si="35"/>
        <v>D74PAY</v>
      </c>
      <c r="N339" s="239">
        <f t="shared" si="36"/>
        <v>-433.16620000000006</v>
      </c>
      <c r="O339" s="243"/>
      <c r="P339" s="243">
        <f>MATCH(Q339,Q340:Q$1550,0)</f>
        <v>2</v>
      </c>
      <c r="Q339" s="243" t="s">
        <v>697</v>
      </c>
      <c r="R339" s="359" t="str">
        <f>IF(Q339="ekrk",INDEX(indexy_SDcast!$A:$C,MATCH($M339,indexy_SDcast!$A:$A,0),2),"")</f>
        <v/>
      </c>
      <c r="S339" s="240"/>
      <c r="T339" s="363" t="str">
        <f t="shared" si="37"/>
        <v>D74PAY</v>
      </c>
      <c r="U339" s="244">
        <f>SUM(U340:U340)</f>
        <v>-433.16620000000006</v>
      </c>
      <c r="V339" s="244">
        <f>SUM(V340:V340)</f>
        <v>-436.43551951311531</v>
      </c>
      <c r="W339" s="244">
        <f>SUM(W340:W340)</f>
        <v>-445.49139523390124</v>
      </c>
      <c r="X339" s="244">
        <f>SUM(X340:X340)</f>
        <v>-455.62526032998096</v>
      </c>
      <c r="Y339" s="359">
        <f>SUM(Y340:Y340)</f>
        <v>-466.35676248540494</v>
      </c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8"/>
      <c r="AN339" s="58"/>
      <c r="AO339" s="58"/>
      <c r="AP339" s="58"/>
      <c r="AQ339" s="58"/>
      <c r="AR339" s="58"/>
    </row>
    <row r="340" spans="1:44" x14ac:dyDescent="0.25">
      <c r="A340" s="330">
        <v>649003</v>
      </c>
      <c r="B340" s="329">
        <v>-433.16620000000006</v>
      </c>
      <c r="C340" s="157"/>
      <c r="D340" s="330">
        <v>649003</v>
      </c>
      <c r="E340" s="329">
        <v>-433.16620000000006</v>
      </c>
      <c r="F340" s="157"/>
      <c r="G340" s="330">
        <v>649003</v>
      </c>
      <c r="H340" s="329">
        <v>-433.16620000000006</v>
      </c>
      <c r="I340" s="157"/>
      <c r="J340" s="330">
        <v>649003</v>
      </c>
      <c r="K340" s="329">
        <v>-433.16620000000006</v>
      </c>
      <c r="L340" s="157"/>
      <c r="M340" s="360">
        <f t="shared" si="35"/>
        <v>649003</v>
      </c>
      <c r="N340" s="237">
        <f t="shared" si="36"/>
        <v>-433.16620000000006</v>
      </c>
      <c r="O340" s="361"/>
      <c r="P340" s="361"/>
      <c r="Q340" s="361" t="s">
        <v>698</v>
      </c>
      <c r="R340" s="362">
        <f>IF(Q340="ekrk",INDEX(indexy_SDcast!$A:$C,MATCH($M340,indexy_SDcast!$A:$A,0),2),"")</f>
        <v>25</v>
      </c>
      <c r="S340" s="236"/>
      <c r="T340" s="364">
        <f t="shared" si="37"/>
        <v>649003</v>
      </c>
      <c r="U340" s="365">
        <f>N340</f>
        <v>-433.16620000000006</v>
      </c>
      <c r="V340" s="365">
        <f>IF($Q340="ekrk",IF($R340="data",IFERROR(INDEX(data!$A:$ALL,MATCH($M340,data!$A:$A,0),MATCH(V$2,data!$1:$1,0)),"#data"),IFERROR(U340*INDEX(indexy_SDcast!$A:$ALI,MATCH($R340,indexy_SDcast!$K:$K,0),MATCH(V$2,indexy_SDcast!$2:$2,0)),"#ekrk")),"#popis")</f>
        <v>-436.43551951311531</v>
      </c>
      <c r="W340" s="365">
        <f>IF($Q340="ekrk",IF($R340="data",IFERROR(INDEX(data!$A:$ALL,MATCH($M340,data!$A:$A,0),MATCH(W$2,data!$1:$1,0)),"#data"),IFERROR(V340*INDEX(indexy_SDcast!$A:$ALI,MATCH($R340,indexy_SDcast!$K:$K,0),MATCH(W$2,indexy_SDcast!$2:$2,0)),"#ekrk")),"#popis")</f>
        <v>-445.49139523390124</v>
      </c>
      <c r="X340" s="365">
        <f>IF($Q340="ekrk",IF($R340="data",IFERROR(INDEX(data!$A:$ALL,MATCH($M340,data!$A:$A,0),MATCH(X$2,data!$1:$1,0)),"#data"),IFERROR(W340*INDEX(indexy_SDcast!$A:$ALI,MATCH($R340,indexy_SDcast!$K:$K,0),MATCH(X$2,indexy_SDcast!$2:$2,0)),"#ekrk")),"#popis")</f>
        <v>-455.62526032998096</v>
      </c>
      <c r="Y340" s="362">
        <f>IF($Q340="ekrk",IF($R340="data",IFERROR(INDEX(data!$A:$ALL,MATCH($M340,data!$A:$A,0),MATCH(Y$2,data!$1:$1,0)),"#data"),IFERROR(X340*INDEX(indexy_SDcast!$A:$ALI,MATCH($R340,indexy_SDcast!$K:$K,0),MATCH(Y$2,indexy_SDcast!$2:$2,0)),"#ekrk")),"#popis")</f>
        <v>-466.35676248540494</v>
      </c>
    </row>
    <row r="341" spans="1:44" s="18" customFormat="1" x14ac:dyDescent="0.25">
      <c r="A341" s="333" t="s">
        <v>736</v>
      </c>
      <c r="B341" s="334">
        <v>-181011.86771999992</v>
      </c>
      <c r="C341" s="164"/>
      <c r="D341" s="333" t="s">
        <v>736</v>
      </c>
      <c r="E341" s="334">
        <v>-181011.86771999992</v>
      </c>
      <c r="F341" s="164"/>
      <c r="G341" s="333" t="s">
        <v>736</v>
      </c>
      <c r="H341" s="334">
        <v>-181011.86771999992</v>
      </c>
      <c r="I341" s="164"/>
      <c r="J341" s="333" t="s">
        <v>736</v>
      </c>
      <c r="K341" s="334">
        <v>-181011.86771999992</v>
      </c>
      <c r="L341" s="164"/>
      <c r="M341" s="358" t="str">
        <f t="shared" si="35"/>
        <v>D75PAY</v>
      </c>
      <c r="N341" s="239">
        <f t="shared" si="36"/>
        <v>-181011.86771999992</v>
      </c>
      <c r="O341" s="243"/>
      <c r="P341" s="243">
        <f>MATCH(Q341,Q342:Q$1550,0)</f>
        <v>14</v>
      </c>
      <c r="Q341" s="243" t="s">
        <v>697</v>
      </c>
      <c r="R341" s="359" t="str">
        <f>IF(Q341="ekrk",INDEX(indexy_SDcast!$A:$C,MATCH($M341,indexy_SDcast!$A:$A,0),2),"")</f>
        <v/>
      </c>
      <c r="S341" s="240"/>
      <c r="T341" s="363" t="str">
        <f t="shared" si="37"/>
        <v>D75PAY</v>
      </c>
      <c r="U341" s="244">
        <f>SUM(U342:U354)</f>
        <v>-181011.86771999992</v>
      </c>
      <c r="V341" s="244">
        <f>SUM(V342:V354)</f>
        <v>-181696.08305802522</v>
      </c>
      <c r="W341" s="244">
        <f>SUM(W342:W354)</f>
        <v>-186011.6847155994</v>
      </c>
      <c r="X341" s="244">
        <f>SUM(X342:X354)</f>
        <v>-193038.98658160894</v>
      </c>
      <c r="Y341" s="359">
        <f>SUM(Y342:Y354)</f>
        <v>-200742.21283264004</v>
      </c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8"/>
      <c r="AN341" s="58"/>
      <c r="AO341" s="58"/>
      <c r="AP341" s="58"/>
      <c r="AQ341" s="58"/>
      <c r="AR341" s="58"/>
    </row>
    <row r="342" spans="1:44" x14ac:dyDescent="0.25">
      <c r="A342" s="330">
        <v>637031</v>
      </c>
      <c r="B342" s="329">
        <v>-442.1283899999998</v>
      </c>
      <c r="C342" s="157"/>
      <c r="D342" s="330">
        <v>637031</v>
      </c>
      <c r="E342" s="329">
        <v>-442.1283899999998</v>
      </c>
      <c r="F342" s="157"/>
      <c r="G342" s="330">
        <v>637031</v>
      </c>
      <c r="H342" s="329">
        <v>-442.1283899999998</v>
      </c>
      <c r="I342" s="157"/>
      <c r="J342" s="330">
        <v>637031</v>
      </c>
      <c r="K342" s="329">
        <v>-442.1283899999998</v>
      </c>
      <c r="L342" s="157"/>
      <c r="M342" s="360">
        <f t="shared" si="35"/>
        <v>637031</v>
      </c>
      <c r="N342" s="237">
        <f t="shared" si="36"/>
        <v>-442.1283899999998</v>
      </c>
      <c r="O342" s="361"/>
      <c r="P342" s="361"/>
      <c r="Q342" s="361" t="s">
        <v>698</v>
      </c>
      <c r="R342" s="362">
        <f>IF(Q342="ekrk",INDEX(indexy_SDcast!$A:$C,MATCH($M342,indexy_SDcast!$A:$A,0),2),"")</f>
        <v>9</v>
      </c>
      <c r="S342" s="236"/>
      <c r="T342" s="364">
        <f t="shared" si="37"/>
        <v>637031</v>
      </c>
      <c r="U342" s="365">
        <f t="shared" ref="U342:U354" si="39">N342</f>
        <v>-442.1283899999998</v>
      </c>
      <c r="V342" s="365">
        <f>IF($Q342="ekrk",IF($R342="data",IFERROR(INDEX(data!$A:$ALL,MATCH($M342,data!$A:$A,0),MATCH(V$2,data!$1:$1,0)),"#data"),IFERROR(U342*INDEX(indexy_SDcast!$A:$ALI,MATCH($R342,indexy_SDcast!$K:$K,0),MATCH(V$2,indexy_SDcast!$2:$2,0)),"#ekrk")),"#popis")</f>
        <v>-442.1283899999998</v>
      </c>
      <c r="W342" s="365">
        <f>IF($Q342="ekrk",IF($R342="data",IFERROR(INDEX(data!$A:$ALL,MATCH($M342,data!$A:$A,0),MATCH(W$2,data!$1:$1,0)),"#data"),IFERROR(V342*INDEX(indexy_SDcast!$A:$ALI,MATCH($R342,indexy_SDcast!$K:$K,0),MATCH(W$2,indexy_SDcast!$2:$2,0)),"#ekrk")),"#popis")</f>
        <v>-442.1283899999998</v>
      </c>
      <c r="X342" s="365">
        <f>IF($Q342="ekrk",IF($R342="data",IFERROR(INDEX(data!$A:$ALL,MATCH($M342,data!$A:$A,0),MATCH(X$2,data!$1:$1,0)),"#data"),IFERROR(W342*INDEX(indexy_SDcast!$A:$ALI,MATCH($R342,indexy_SDcast!$K:$K,0),MATCH(X$2,indexy_SDcast!$2:$2,0)),"#ekrk")),"#popis")</f>
        <v>-442.1283899999998</v>
      </c>
      <c r="Y342" s="362">
        <f>IF($Q342="ekrk",IF($R342="data",IFERROR(INDEX(data!$A:$ALL,MATCH($M342,data!$A:$A,0),MATCH(Y$2,data!$1:$1,0)),"#data"),IFERROR(X342*INDEX(indexy_SDcast!$A:$ALI,MATCH($R342,indexy_SDcast!$K:$K,0),MATCH(Y$2,indexy_SDcast!$2:$2,0)),"#ekrk")),"#popis")</f>
        <v>-442.1283899999998</v>
      </c>
    </row>
    <row r="343" spans="1:44" x14ac:dyDescent="0.25">
      <c r="A343" s="330">
        <v>637034</v>
      </c>
      <c r="B343" s="329">
        <v>-38.304629999999989</v>
      </c>
      <c r="C343" s="157"/>
      <c r="D343" s="330">
        <v>637034</v>
      </c>
      <c r="E343" s="329">
        <v>-38.304629999999989</v>
      </c>
      <c r="F343" s="157"/>
      <c r="G343" s="330">
        <v>637034</v>
      </c>
      <c r="H343" s="329">
        <v>-38.304629999999989</v>
      </c>
      <c r="I343" s="157"/>
      <c r="J343" s="330">
        <v>637034</v>
      </c>
      <c r="K343" s="329">
        <v>-38.304629999999989</v>
      </c>
      <c r="L343" s="157"/>
      <c r="M343" s="360">
        <f t="shared" si="35"/>
        <v>637034</v>
      </c>
      <c r="N343" s="237">
        <f t="shared" si="36"/>
        <v>-38.304629999999989</v>
      </c>
      <c r="O343" s="361"/>
      <c r="P343" s="361"/>
      <c r="Q343" s="361" t="s">
        <v>698</v>
      </c>
      <c r="R343" s="362">
        <v>2</v>
      </c>
      <c r="S343" s="236"/>
      <c r="T343" s="364">
        <f t="shared" si="37"/>
        <v>637034</v>
      </c>
      <c r="U343" s="365">
        <f t="shared" si="39"/>
        <v>-38.304629999999989</v>
      </c>
      <c r="V343" s="365">
        <f>IF($Q343="ekrk",IF($R343="data",IFERROR(INDEX(data!$A:$ALL,MATCH($M343,data!$A:$A,0),MATCH(V$2,data!$1:$1,0)),"#data"),IFERROR(U343*INDEX(indexy_SDcast!$A:$ALI,MATCH($R343,indexy_SDcast!$K:$K,0),MATCH(V$2,indexy_SDcast!$2:$2,0)),"#ekrk")),"#popis")</f>
        <v>0</v>
      </c>
      <c r="W343" s="365">
        <f>IF($Q343="ekrk",IF($R343="data",IFERROR(INDEX(data!$A:$ALL,MATCH($M343,data!$A:$A,0),MATCH(W$2,data!$1:$1,0)),"#data"),IFERROR(V343*INDEX(indexy_SDcast!$A:$ALI,MATCH($R343,indexy_SDcast!$K:$K,0),MATCH(W$2,indexy_SDcast!$2:$2,0)),"#ekrk")),"#popis")</f>
        <v>0</v>
      </c>
      <c r="X343" s="365">
        <f>IF($Q343="ekrk",IF($R343="data",IFERROR(INDEX(data!$A:$ALL,MATCH($M343,data!$A:$A,0),MATCH(X$2,data!$1:$1,0)),"#data"),IFERROR(W343*INDEX(indexy_SDcast!$A:$ALI,MATCH($R343,indexy_SDcast!$K:$K,0),MATCH(X$2,indexy_SDcast!$2:$2,0)),"#ekrk")),"#popis")</f>
        <v>0</v>
      </c>
      <c r="Y343" s="362">
        <f>IF($Q343="ekrk",IF($R343="data",IFERROR(INDEX(data!$A:$ALL,MATCH($M343,data!$A:$A,0),MATCH(Y$2,data!$1:$1,0)),"#data"),IFERROR(X343*INDEX(indexy_SDcast!$A:$ALI,MATCH($R343,indexy_SDcast!$K:$K,0),MATCH(Y$2,indexy_SDcast!$2:$2,0)),"#ekrk")),"#popis")</f>
        <v>0</v>
      </c>
    </row>
    <row r="344" spans="1:44" x14ac:dyDescent="0.25">
      <c r="A344" s="330">
        <v>642000</v>
      </c>
      <c r="B344" s="329">
        <v>-3.1760000000000004E-2</v>
      </c>
      <c r="C344" s="157"/>
      <c r="D344" s="330">
        <v>642000</v>
      </c>
      <c r="E344" s="329">
        <v>-3.1760000000000004E-2</v>
      </c>
      <c r="F344" s="157"/>
      <c r="G344" s="330">
        <v>642000</v>
      </c>
      <c r="H344" s="329">
        <v>-3.1760000000000004E-2</v>
      </c>
      <c r="I344" s="157"/>
      <c r="J344" s="330">
        <v>642000</v>
      </c>
      <c r="K344" s="329">
        <v>-3.1760000000000004E-2</v>
      </c>
      <c r="L344" s="157"/>
      <c r="M344" s="360">
        <f t="shared" si="35"/>
        <v>642000</v>
      </c>
      <c r="N344" s="237">
        <f t="shared" si="36"/>
        <v>-3.1760000000000004E-2</v>
      </c>
      <c r="O344" s="361"/>
      <c r="P344" s="361"/>
      <c r="Q344" s="361" t="s">
        <v>698</v>
      </c>
      <c r="R344" s="362">
        <f>IF(Q344="ekrk",INDEX(indexy_SDcast!$A:$C,MATCH($M344,indexy_SDcast!$A:$A,0),2),"")</f>
        <v>25</v>
      </c>
      <c r="S344" s="236"/>
      <c r="T344" s="364">
        <f t="shared" si="37"/>
        <v>642000</v>
      </c>
      <c r="U344" s="365">
        <f t="shared" si="39"/>
        <v>-3.1760000000000004E-2</v>
      </c>
      <c r="V344" s="365">
        <f>IF($Q344="ekrk",IF($R344="data",IFERROR(INDEX(data!$A:$ALL,MATCH($M344,data!$A:$A,0),MATCH(V$2,data!$1:$1,0)),"#data"),IFERROR(U344*INDEX(indexy_SDcast!$A:$ALI,MATCH($R344,indexy_SDcast!$K:$K,0),MATCH(V$2,indexy_SDcast!$2:$2,0)),"#ekrk")),"#popis")</f>
        <v>-3.1999708425395477E-2</v>
      </c>
      <c r="W344" s="365">
        <f>IF($Q344="ekrk",IF($R344="data",IFERROR(INDEX(data!$A:$ALL,MATCH($M344,data!$A:$A,0),MATCH(W$2,data!$1:$1,0)),"#data"),IFERROR(V344*INDEX(indexy_SDcast!$A:$ALI,MATCH($R344,indexy_SDcast!$K:$K,0),MATCH(W$2,indexy_SDcast!$2:$2,0)),"#ekrk")),"#popis")</f>
        <v>-3.2663690547943727E-2</v>
      </c>
      <c r="X344" s="365">
        <f>IF($Q344="ekrk",IF($R344="data",IFERROR(INDEX(data!$A:$ALL,MATCH($M344,data!$A:$A,0),MATCH(X$2,data!$1:$1,0)),"#data"),IFERROR(W344*INDEX(indexy_SDcast!$A:$ALI,MATCH($R344,indexy_SDcast!$K:$K,0),MATCH(X$2,indexy_SDcast!$2:$2,0)),"#ekrk")),"#popis")</f>
        <v>-3.3406711484137486E-2</v>
      </c>
      <c r="Y344" s="362">
        <f>IF($Q344="ekrk",IF($R344="data",IFERROR(INDEX(data!$A:$ALL,MATCH($M344,data!$A:$A,0),MATCH(Y$2,data!$1:$1,0)),"#data"),IFERROR(X344*INDEX(indexy_SDcast!$A:$ALI,MATCH($R344,indexy_SDcast!$K:$K,0),MATCH(Y$2,indexy_SDcast!$2:$2,0)),"#ekrk")),"#popis")</f>
        <v>-3.4193551520262801E-2</v>
      </c>
    </row>
    <row r="345" spans="1:44" x14ac:dyDescent="0.25">
      <c r="A345" s="330">
        <v>642001</v>
      </c>
      <c r="B345" s="329">
        <v>-7737.0781199999965</v>
      </c>
      <c r="C345" s="157"/>
      <c r="D345" s="330">
        <v>642001</v>
      </c>
      <c r="E345" s="329">
        <v>-7737.0781199999965</v>
      </c>
      <c r="F345" s="157"/>
      <c r="G345" s="330">
        <v>642001</v>
      </c>
      <c r="H345" s="329">
        <v>-7737.0781199999965</v>
      </c>
      <c r="I345" s="157"/>
      <c r="J345" s="330">
        <v>642001</v>
      </c>
      <c r="K345" s="329">
        <v>-7737.0781199999965</v>
      </c>
      <c r="L345" s="157"/>
      <c r="M345" s="360">
        <f t="shared" si="35"/>
        <v>642001</v>
      </c>
      <c r="N345" s="237">
        <f t="shared" si="36"/>
        <v>-7737.0781199999965</v>
      </c>
      <c r="O345" s="361"/>
      <c r="P345" s="361"/>
      <c r="Q345" s="361" t="s">
        <v>698</v>
      </c>
      <c r="R345" s="362">
        <f>IF(Q345="ekrk",INDEX(indexy_SDcast!$A:$C,MATCH($M345,indexy_SDcast!$A:$A,0),2),"")</f>
        <v>6</v>
      </c>
      <c r="S345" s="236"/>
      <c r="T345" s="364">
        <f t="shared" si="37"/>
        <v>642001</v>
      </c>
      <c r="U345" s="365">
        <f t="shared" si="39"/>
        <v>-7737.0781199999965</v>
      </c>
      <c r="V345" s="365">
        <f>IF($Q345="ekrk",IF($R345="data",IFERROR(INDEX(data!$A:$ALL,MATCH($M345,data!$A:$A,0),MATCH(V$2,data!$1:$1,0)),"#data"),IFERROR(U345*INDEX(indexy_SDcast!$A:$ALI,MATCH($R345,indexy_SDcast!$K:$K,0),MATCH(V$2,indexy_SDcast!$2:$2,0)),"#ekrk")),"#popis")</f>
        <v>-7878.4109199976228</v>
      </c>
      <c r="W345" s="365">
        <f>IF($Q345="ekrk",IF($R345="data",IFERROR(INDEX(data!$A:$ALL,MATCH($M345,data!$A:$A,0),MATCH(W$2,data!$1:$1,0)),"#data"),IFERROR(V345*INDEX(indexy_SDcast!$A:$ALI,MATCH($R345,indexy_SDcast!$K:$K,0),MATCH(W$2,indexy_SDcast!$2:$2,0)),"#ekrk")),"#popis")</f>
        <v>-8105.808210264735</v>
      </c>
      <c r="X345" s="365">
        <f>IF($Q345="ekrk",IF($R345="data",IFERROR(INDEX(data!$A:$ALL,MATCH($M345,data!$A:$A,0),MATCH(X$2,data!$1:$1,0)),"#data"),IFERROR(W345*INDEX(indexy_SDcast!$A:$ALI,MATCH($R345,indexy_SDcast!$K:$K,0),MATCH(X$2,indexy_SDcast!$2:$2,0)),"#ekrk")),"#popis")</f>
        <v>-8371.1961577164166</v>
      </c>
      <c r="Y345" s="362">
        <f>IF($Q345="ekrk",IF($R345="data",IFERROR(INDEX(data!$A:$ALL,MATCH($M345,data!$A:$A,0),MATCH(Y$2,data!$1:$1,0)),"#data"),IFERROR(X345*INDEX(indexy_SDcast!$A:$ALI,MATCH($R345,indexy_SDcast!$K:$K,0),MATCH(Y$2,indexy_SDcast!$2:$2,0)),"#ekrk")),"#popis")</f>
        <v>-8662.7137030126942</v>
      </c>
    </row>
    <row r="346" spans="1:44" x14ac:dyDescent="0.25">
      <c r="A346" s="330">
        <v>642002</v>
      </c>
      <c r="B346" s="329">
        <v>-839.9938800000001</v>
      </c>
      <c r="C346" s="157"/>
      <c r="D346" s="330">
        <v>642002</v>
      </c>
      <c r="E346" s="329">
        <v>-839.9938800000001</v>
      </c>
      <c r="F346" s="157"/>
      <c r="G346" s="330">
        <v>642002</v>
      </c>
      <c r="H346" s="329">
        <v>-839.9938800000001</v>
      </c>
      <c r="I346" s="157"/>
      <c r="J346" s="330">
        <v>642002</v>
      </c>
      <c r="K346" s="329">
        <v>-839.9938800000001</v>
      </c>
      <c r="L346" s="157"/>
      <c r="M346" s="360">
        <f t="shared" si="35"/>
        <v>642002</v>
      </c>
      <c r="N346" s="237">
        <f t="shared" si="36"/>
        <v>-839.9938800000001</v>
      </c>
      <c r="O346" s="361"/>
      <c r="P346" s="361"/>
      <c r="Q346" s="361" t="s">
        <v>698</v>
      </c>
      <c r="R346" s="362">
        <f>IF(Q346="ekrk",INDEX(indexy_SDcast!$A:$C,MATCH($M346,indexy_SDcast!$A:$A,0),2),"")</f>
        <v>6</v>
      </c>
      <c r="S346" s="236"/>
      <c r="T346" s="364">
        <f t="shared" si="37"/>
        <v>642002</v>
      </c>
      <c r="U346" s="365">
        <f t="shared" si="39"/>
        <v>-839.9938800000001</v>
      </c>
      <c r="V346" s="365">
        <f>IF($Q346="ekrk",IF($R346="data",IFERROR(INDEX(data!$A:$ALL,MATCH($M346,data!$A:$A,0),MATCH(V$2,data!$1:$1,0)),"#data"),IFERROR(U346*INDEX(indexy_SDcast!$A:$ALI,MATCH($R346,indexy_SDcast!$K:$K,0),MATCH(V$2,indexy_SDcast!$2:$2,0)),"#ekrk")),"#popis")</f>
        <v>-855.33800412540973</v>
      </c>
      <c r="W346" s="365">
        <f>IF($Q346="ekrk",IF($R346="data",IFERROR(INDEX(data!$A:$ALL,MATCH($M346,data!$A:$A,0),MATCH(W$2,data!$1:$1,0)),"#data"),IFERROR(V346*INDEX(indexy_SDcast!$A:$ALI,MATCH($R346,indexy_SDcast!$K:$K,0),MATCH(W$2,indexy_SDcast!$2:$2,0)),"#ekrk")),"#popis")</f>
        <v>-880.02591979465944</v>
      </c>
      <c r="X346" s="365">
        <f>IF($Q346="ekrk",IF($R346="data",IFERROR(INDEX(data!$A:$ALL,MATCH($M346,data!$A:$A,0),MATCH(X$2,data!$1:$1,0)),"#data"),IFERROR(W346*INDEX(indexy_SDcast!$A:$ALI,MATCH($R346,indexy_SDcast!$K:$K,0),MATCH(X$2,indexy_SDcast!$2:$2,0)),"#ekrk")),"#popis")</f>
        <v>-908.83837951494138</v>
      </c>
      <c r="Y346" s="362">
        <f>IF($Q346="ekrk",IF($R346="data",IFERROR(INDEX(data!$A:$ALL,MATCH($M346,data!$A:$A,0),MATCH(Y$2,data!$1:$1,0)),"#data"),IFERROR(X346*INDEX(indexy_SDcast!$A:$ALI,MATCH($R346,indexy_SDcast!$K:$K,0),MATCH(Y$2,indexy_SDcast!$2:$2,0)),"#ekrk")),"#popis")</f>
        <v>-940.48765979408336</v>
      </c>
    </row>
    <row r="347" spans="1:44" x14ac:dyDescent="0.25">
      <c r="A347" s="330">
        <v>642004</v>
      </c>
      <c r="B347" s="329">
        <v>-81662.521739999967</v>
      </c>
      <c r="C347" s="157"/>
      <c r="D347" s="330">
        <v>642004</v>
      </c>
      <c r="E347" s="329">
        <v>-81662.521739999967</v>
      </c>
      <c r="F347" s="157"/>
      <c r="G347" s="330">
        <v>642004</v>
      </c>
      <c r="H347" s="329">
        <v>-81662.521739999967</v>
      </c>
      <c r="I347" s="157"/>
      <c r="J347" s="330">
        <v>642004</v>
      </c>
      <c r="K347" s="329">
        <v>-81662.521739999967</v>
      </c>
      <c r="L347" s="157"/>
      <c r="M347" s="360">
        <f t="shared" si="35"/>
        <v>642004</v>
      </c>
      <c r="N347" s="237">
        <f t="shared" si="36"/>
        <v>-81662.521739999967</v>
      </c>
      <c r="O347" s="361"/>
      <c r="P347" s="361"/>
      <c r="Q347" s="361" t="s">
        <v>698</v>
      </c>
      <c r="R347" s="362">
        <f>IF(Q347="ekrk",INDEX(indexy_SDcast!$A:$C,MATCH($M347,indexy_SDcast!$A:$A,0),2),"")</f>
        <v>24</v>
      </c>
      <c r="S347" s="236"/>
      <c r="T347" s="364">
        <f t="shared" si="37"/>
        <v>642004</v>
      </c>
      <c r="U347" s="365">
        <f t="shared" si="39"/>
        <v>-81662.521739999967</v>
      </c>
      <c r="V347" s="365">
        <f>IF($Q347="ekrk",IF($R347="data",IFERROR(INDEX(data!$A:$ALL,MATCH($M347,data!$A:$A,0),MATCH(V$2,data!$1:$1,0)),"#data"),IFERROR(U347*INDEX(indexy_SDcast!$A:$ALI,MATCH($R347,indexy_SDcast!$K:$K,0),MATCH(V$2,indexy_SDcast!$2:$2,0)),"#ekrk")),"#popis")</f>
        <v>-81919.519845474686</v>
      </c>
      <c r="W347" s="365">
        <f>IF($Q347="ekrk",IF($R347="data",IFERROR(INDEX(data!$A:$ALL,MATCH($M347,data!$A:$A,0),MATCH(W$2,data!$1:$1,0)),"#data"),IFERROR(V347*INDEX(indexy_SDcast!$A:$ALI,MATCH($R347,indexy_SDcast!$K:$K,0),MATCH(W$2,indexy_SDcast!$2:$2,0)),"#ekrk")),"#popis")</f>
        <v>-83847.621748960155</v>
      </c>
      <c r="X347" s="365">
        <f>IF($Q347="ekrk",IF($R347="data",IFERROR(INDEX(data!$A:$ALL,MATCH($M347,data!$A:$A,0),MATCH(X$2,data!$1:$1,0)),"#data"),IFERROR(W347*INDEX(indexy_SDcast!$A:$ALI,MATCH($R347,indexy_SDcast!$K:$K,0),MATCH(X$2,indexy_SDcast!$2:$2,0)),"#ekrk")),"#popis")</f>
        <v>-87058.305268035969</v>
      </c>
      <c r="Y347" s="362">
        <f>IF($Q347="ekrk",IF($R347="data",IFERROR(INDEX(data!$A:$ALL,MATCH($M347,data!$A:$A,0),MATCH(Y$2,data!$1:$1,0)),"#data"),IFERROR(X347*INDEX(indexy_SDcast!$A:$ALI,MATCH($R347,indexy_SDcast!$K:$K,0),MATCH(Y$2,indexy_SDcast!$2:$2,0)),"#ekrk")),"#popis")</f>
        <v>-90578.002405885112</v>
      </c>
    </row>
    <row r="348" spans="1:44" x14ac:dyDescent="0.25">
      <c r="A348" s="330">
        <v>642005</v>
      </c>
      <c r="B348" s="329">
        <v>-87710.323289999971</v>
      </c>
      <c r="C348" s="157"/>
      <c r="D348" s="330">
        <v>642005</v>
      </c>
      <c r="E348" s="329">
        <v>-87710.323289999971</v>
      </c>
      <c r="F348" s="157"/>
      <c r="G348" s="330">
        <v>642005</v>
      </c>
      <c r="H348" s="329">
        <v>-87710.323289999971</v>
      </c>
      <c r="I348" s="157"/>
      <c r="J348" s="330">
        <v>642005</v>
      </c>
      <c r="K348" s="329">
        <v>-87710.323289999971</v>
      </c>
      <c r="L348" s="157"/>
      <c r="M348" s="360">
        <f t="shared" si="35"/>
        <v>642005</v>
      </c>
      <c r="N348" s="237">
        <f t="shared" si="36"/>
        <v>-87710.323289999971</v>
      </c>
      <c r="O348" s="361"/>
      <c r="P348" s="361"/>
      <c r="Q348" s="361" t="s">
        <v>698</v>
      </c>
      <c r="R348" s="362">
        <f>IF(Q348="ekrk",INDEX(indexy_SDcast!$A:$C,MATCH($M348,indexy_SDcast!$A:$A,0),2),"")</f>
        <v>24</v>
      </c>
      <c r="S348" s="236"/>
      <c r="T348" s="364">
        <f t="shared" si="37"/>
        <v>642005</v>
      </c>
      <c r="U348" s="365">
        <f t="shared" si="39"/>
        <v>-87710.323289999971</v>
      </c>
      <c r="V348" s="365">
        <f>IF($Q348="ekrk",IF($R348="data",IFERROR(INDEX(data!$A:$ALL,MATCH($M348,data!$A:$A,0),MATCH(V$2,data!$1:$1,0)),"#data"),IFERROR(U348*INDEX(indexy_SDcast!$A:$ALI,MATCH($R348,indexy_SDcast!$K:$K,0),MATCH(V$2,indexy_SDcast!$2:$2,0)),"#ekrk")),"#popis")</f>
        <v>-87986.354282379471</v>
      </c>
      <c r="W348" s="365">
        <f>IF($Q348="ekrk",IF($R348="data",IFERROR(INDEX(data!$A:$ALL,MATCH($M348,data!$A:$A,0),MATCH(W$2,data!$1:$1,0)),"#data"),IFERROR(V348*INDEX(indexy_SDcast!$A:$ALI,MATCH($R348,indexy_SDcast!$K:$K,0),MATCH(W$2,indexy_SDcast!$2:$2,0)),"#ekrk")),"#popis")</f>
        <v>-90057.248465995392</v>
      </c>
      <c r="X348" s="365">
        <f>IF($Q348="ekrk",IF($R348="data",IFERROR(INDEX(data!$A:$ALL,MATCH($M348,data!$A:$A,0),MATCH(X$2,data!$1:$1,0)),"#data"),IFERROR(W348*INDEX(indexy_SDcast!$A:$ALI,MATCH($R348,indexy_SDcast!$K:$K,0),MATCH(X$2,indexy_SDcast!$2:$2,0)),"#ekrk")),"#popis")</f>
        <v>-93505.710299400627</v>
      </c>
      <c r="Y348" s="362">
        <f>IF($Q348="ekrk",IF($R348="data",IFERROR(INDEX(data!$A:$ALL,MATCH($M348,data!$A:$A,0),MATCH(Y$2,data!$1:$1,0)),"#data"),IFERROR(X348*INDEX(indexy_SDcast!$A:$ALI,MATCH($R348,indexy_SDcast!$K:$K,0),MATCH(Y$2,indexy_SDcast!$2:$2,0)),"#ekrk")),"#popis")</f>
        <v>-97286.070827900228</v>
      </c>
    </row>
    <row r="349" spans="1:44" x14ac:dyDescent="0.25">
      <c r="A349" s="330">
        <v>642006</v>
      </c>
      <c r="B349" s="329">
        <v>-362.89704999999998</v>
      </c>
      <c r="C349" s="157"/>
      <c r="D349" s="330">
        <v>642006</v>
      </c>
      <c r="E349" s="329">
        <v>-362.89704999999998</v>
      </c>
      <c r="F349" s="157"/>
      <c r="G349" s="330">
        <v>642006</v>
      </c>
      <c r="H349" s="329">
        <v>-362.89704999999998</v>
      </c>
      <c r="I349" s="157"/>
      <c r="J349" s="330">
        <v>642006</v>
      </c>
      <c r="K349" s="329">
        <v>-362.89704999999998</v>
      </c>
      <c r="L349" s="157"/>
      <c r="M349" s="360">
        <f t="shared" si="35"/>
        <v>642006</v>
      </c>
      <c r="N349" s="237">
        <f t="shared" si="36"/>
        <v>-362.89704999999998</v>
      </c>
      <c r="O349" s="361"/>
      <c r="P349" s="361"/>
      <c r="Q349" s="361" t="s">
        <v>698</v>
      </c>
      <c r="R349" s="362">
        <f>IF(Q349="ekrk",INDEX(indexy_SDcast!$A:$C,MATCH($M349,indexy_SDcast!$A:$A,0),2),"")</f>
        <v>25</v>
      </c>
      <c r="S349" s="236"/>
      <c r="T349" s="364">
        <f t="shared" si="37"/>
        <v>642006</v>
      </c>
      <c r="U349" s="365">
        <f t="shared" si="39"/>
        <v>-362.89704999999998</v>
      </c>
      <c r="V349" s="365">
        <f>IF($Q349="ekrk",IF($R349="data",IFERROR(INDEX(data!$A:$ALL,MATCH($M349,data!$A:$A,0),MATCH(V$2,data!$1:$1,0)),"#data"),IFERROR(U349*INDEX(indexy_SDcast!$A:$ALI,MATCH($R349,indexy_SDcast!$K:$K,0),MATCH(V$2,indexy_SDcast!$2:$2,0)),"#ekrk")),"#popis")</f>
        <v>-365.63601348980359</v>
      </c>
      <c r="W349" s="365">
        <f>IF($Q349="ekrk",IF($R349="data",IFERROR(INDEX(data!$A:$ALL,MATCH($M349,data!$A:$A,0),MATCH(W$2,data!$1:$1,0)),"#data"),IFERROR(V349*INDEX(indexy_SDcast!$A:$ALI,MATCH($R349,indexy_SDcast!$K:$K,0),MATCH(W$2,indexy_SDcast!$2:$2,0)),"#ekrk")),"#popis")</f>
        <v>-373.22282562851581</v>
      </c>
      <c r="X349" s="365">
        <f>IF($Q349="ekrk",IF($R349="data",IFERROR(INDEX(data!$A:$ALL,MATCH($M349,data!$A:$A,0),MATCH(X$2,data!$1:$1,0)),"#data"),IFERROR(W349*INDEX(indexy_SDcast!$A:$ALI,MATCH($R349,indexy_SDcast!$K:$K,0),MATCH(X$2,indexy_SDcast!$2:$2,0)),"#ekrk")),"#popis")</f>
        <v>-381.71275339403695</v>
      </c>
      <c r="Y349" s="362">
        <f>IF($Q349="ekrk",IF($R349="data",IFERROR(INDEX(data!$A:$ALL,MATCH($M349,data!$A:$A,0),MATCH(Y$2,data!$1:$1,0)),"#data"),IFERROR(X349*INDEX(indexy_SDcast!$A:$ALI,MATCH($R349,indexy_SDcast!$K:$K,0),MATCH(Y$2,indexy_SDcast!$2:$2,0)),"#ekrk")),"#popis")</f>
        <v>-390.70336825334965</v>
      </c>
    </row>
    <row r="350" spans="1:44" x14ac:dyDescent="0.25">
      <c r="A350" s="330">
        <v>642007</v>
      </c>
      <c r="B350" s="329">
        <v>-570.50314000000003</v>
      </c>
      <c r="C350" s="157"/>
      <c r="D350" s="330">
        <v>642007</v>
      </c>
      <c r="E350" s="329">
        <v>-570.50314000000003</v>
      </c>
      <c r="F350" s="157"/>
      <c r="G350" s="330">
        <v>642007</v>
      </c>
      <c r="H350" s="329">
        <v>-570.50314000000003</v>
      </c>
      <c r="I350" s="157"/>
      <c r="J350" s="330">
        <v>642007</v>
      </c>
      <c r="K350" s="329">
        <v>-570.50314000000003</v>
      </c>
      <c r="L350" s="157"/>
      <c r="M350" s="360">
        <f t="shared" si="35"/>
        <v>642007</v>
      </c>
      <c r="N350" s="237">
        <f t="shared" si="36"/>
        <v>-570.50314000000003</v>
      </c>
      <c r="O350" s="361"/>
      <c r="P350" s="361"/>
      <c r="Q350" s="361" t="s">
        <v>698</v>
      </c>
      <c r="R350" s="362">
        <f>IF(Q350="ekrk",INDEX(indexy_SDcast!$A:$C,MATCH($M350,indexy_SDcast!$A:$A,0),2),"")</f>
        <v>6</v>
      </c>
      <c r="S350" s="236"/>
      <c r="T350" s="364">
        <f t="shared" si="37"/>
        <v>642007</v>
      </c>
      <c r="U350" s="365">
        <f t="shared" si="39"/>
        <v>-570.50314000000003</v>
      </c>
      <c r="V350" s="365">
        <f>IF($Q350="ekrk",IF($R350="data",IFERROR(INDEX(data!$A:$ALL,MATCH($M350,data!$A:$A,0),MATCH(V$2,data!$1:$1,0)),"#data"),IFERROR(U350*INDEX(indexy_SDcast!$A:$ALI,MATCH($R350,indexy_SDcast!$K:$K,0),MATCH(V$2,indexy_SDcast!$2:$2,0)),"#ekrk")),"#popis")</f>
        <v>-580.92449091995661</v>
      </c>
      <c r="W350" s="365">
        <f>IF($Q350="ekrk",IF($R350="data",IFERROR(INDEX(data!$A:$ALL,MATCH($M350,data!$A:$A,0),MATCH(W$2,data!$1:$1,0)),"#data"),IFERROR(V350*INDEX(indexy_SDcast!$A:$ALI,MATCH($R350,indexy_SDcast!$K:$K,0),MATCH(W$2,indexy_SDcast!$2:$2,0)),"#ekrk")),"#popis")</f>
        <v>-597.69191476042818</v>
      </c>
      <c r="X350" s="365">
        <f>IF($Q350="ekrk",IF($R350="data",IFERROR(INDEX(data!$A:$ALL,MATCH($M350,data!$A:$A,0),MATCH(X$2,data!$1:$1,0)),"#data"),IFERROR(W350*INDEX(indexy_SDcast!$A:$ALI,MATCH($R350,indexy_SDcast!$K:$K,0),MATCH(X$2,indexy_SDcast!$2:$2,0)),"#ekrk")),"#popis")</f>
        <v>-617.26062726288637</v>
      </c>
      <c r="Y350" s="362">
        <f>IF($Q350="ekrk",IF($R350="data",IFERROR(INDEX(data!$A:$ALL,MATCH($M350,data!$A:$A,0),MATCH(Y$2,data!$1:$1,0)),"#data"),IFERROR(X350*INDEX(indexy_SDcast!$A:$ALI,MATCH($R350,indexy_SDcast!$K:$K,0),MATCH(Y$2,indexy_SDcast!$2:$2,0)),"#ekrk")),"#popis")</f>
        <v>-638.75603836991797</v>
      </c>
    </row>
    <row r="351" spans="1:44" x14ac:dyDescent="0.25">
      <c r="A351" s="330">
        <v>642009</v>
      </c>
      <c r="B351" s="329">
        <v>-673.02632000000006</v>
      </c>
      <c r="C351" s="157"/>
      <c r="D351" s="330">
        <v>642009</v>
      </c>
      <c r="E351" s="329">
        <v>-673.02632000000006</v>
      </c>
      <c r="F351" s="157"/>
      <c r="G351" s="330">
        <v>642009</v>
      </c>
      <c r="H351" s="329">
        <v>-673.02632000000006</v>
      </c>
      <c r="I351" s="157"/>
      <c r="J351" s="330">
        <v>642009</v>
      </c>
      <c r="K351" s="329">
        <v>-673.02632000000006</v>
      </c>
      <c r="L351" s="157"/>
      <c r="M351" s="360">
        <f t="shared" si="35"/>
        <v>642009</v>
      </c>
      <c r="N351" s="237">
        <f t="shared" si="36"/>
        <v>-673.02632000000006</v>
      </c>
      <c r="O351" s="361"/>
      <c r="P351" s="361"/>
      <c r="Q351" s="361" t="s">
        <v>698</v>
      </c>
      <c r="R351" s="362">
        <f>IF(Q351="ekrk",INDEX(indexy_SDcast!$A:$C,MATCH($M351,indexy_SDcast!$A:$A,0),2),"")</f>
        <v>6</v>
      </c>
      <c r="S351" s="236"/>
      <c r="T351" s="364">
        <f t="shared" si="37"/>
        <v>642009</v>
      </c>
      <c r="U351" s="365">
        <f t="shared" si="39"/>
        <v>-673.02632000000006</v>
      </c>
      <c r="V351" s="365">
        <f>IF($Q351="ekrk",IF($R351="data",IFERROR(INDEX(data!$A:$ALL,MATCH($M351,data!$A:$A,0),MATCH(V$2,data!$1:$1,0)),"#data"),IFERROR(U351*INDEX(indexy_SDcast!$A:$ALI,MATCH($R351,indexy_SDcast!$K:$K,0),MATCH(V$2,indexy_SDcast!$2:$2,0)),"#ekrk")),"#popis")</f>
        <v>-685.32045646888434</v>
      </c>
      <c r="W351" s="365">
        <f>IF($Q351="ekrk",IF($R351="data",IFERROR(INDEX(data!$A:$ALL,MATCH($M351,data!$A:$A,0),MATCH(W$2,data!$1:$1,0)),"#data"),IFERROR(V351*INDEX(indexy_SDcast!$A:$ALI,MATCH($R351,indexy_SDcast!$K:$K,0),MATCH(W$2,indexy_SDcast!$2:$2,0)),"#ekrk")),"#popis")</f>
        <v>-705.10109705086757</v>
      </c>
      <c r="X351" s="365">
        <f>IF($Q351="ekrk",IF($R351="data",IFERROR(INDEX(data!$A:$ALL,MATCH($M351,data!$A:$A,0),MATCH(X$2,data!$1:$1,0)),"#data"),IFERROR(W351*INDEX(indexy_SDcast!$A:$ALI,MATCH($R351,indexy_SDcast!$K:$K,0),MATCH(X$2,indexy_SDcast!$2:$2,0)),"#ekrk")),"#popis")</f>
        <v>-728.18643635797002</v>
      </c>
      <c r="Y351" s="362">
        <f>IF($Q351="ekrk",IF($R351="data",IFERROR(INDEX(data!$A:$ALL,MATCH($M351,data!$A:$A,0),MATCH(Y$2,data!$1:$1,0)),"#data"),IFERROR(X351*INDEX(indexy_SDcast!$A:$ALI,MATCH($R351,indexy_SDcast!$K:$K,0),MATCH(Y$2,indexy_SDcast!$2:$2,0)),"#ekrk")),"#popis")</f>
        <v>-753.54471472652131</v>
      </c>
    </row>
    <row r="352" spans="1:44" x14ac:dyDescent="0.25">
      <c r="A352" s="330">
        <v>642011</v>
      </c>
      <c r="B352" s="329">
        <v>-18.970099999999999</v>
      </c>
      <c r="C352" s="157"/>
      <c r="D352" s="330">
        <v>642011</v>
      </c>
      <c r="E352" s="329">
        <v>-18.970099999999999</v>
      </c>
      <c r="F352" s="157"/>
      <c r="G352" s="330">
        <v>642011</v>
      </c>
      <c r="H352" s="329">
        <v>-18.970099999999999</v>
      </c>
      <c r="I352" s="157"/>
      <c r="J352" s="330">
        <v>642011</v>
      </c>
      <c r="K352" s="329">
        <v>-18.970099999999999</v>
      </c>
      <c r="L352" s="157"/>
      <c r="M352" s="360">
        <f t="shared" si="35"/>
        <v>642011</v>
      </c>
      <c r="N352" s="237">
        <f t="shared" si="36"/>
        <v>-18.970099999999999</v>
      </c>
      <c r="O352" s="361"/>
      <c r="P352" s="361"/>
      <c r="Q352" s="361" t="s">
        <v>698</v>
      </c>
      <c r="R352" s="362">
        <f>IF(Q352="ekrk",INDEX(indexy_SDcast!$A:$C,MATCH($M352,indexy_SDcast!$A:$A,0),2),"")</f>
        <v>25</v>
      </c>
      <c r="S352" s="236"/>
      <c r="T352" s="364">
        <f t="shared" si="37"/>
        <v>642011</v>
      </c>
      <c r="U352" s="365">
        <f t="shared" si="39"/>
        <v>-18.970099999999999</v>
      </c>
      <c r="V352" s="365">
        <f>IF($Q352="ekrk",IF($R352="data",IFERROR(INDEX(data!$A:$ALL,MATCH($M352,data!$A:$A,0),MATCH(V$2,data!$1:$1,0)),"#data"),IFERROR(U352*INDEX(indexy_SDcast!$A:$ALI,MATCH($R352,indexy_SDcast!$K:$K,0),MATCH(V$2,indexy_SDcast!$2:$2,0)),"#ekrk")),"#popis")</f>
        <v>-19.113276725459528</v>
      </c>
      <c r="W352" s="365">
        <f>IF($Q352="ekrk",IF($R352="data",IFERROR(INDEX(data!$A:$ALL,MATCH($M352,data!$A:$A,0),MATCH(W$2,data!$1:$1,0)),"#data"),IFERROR(V352*INDEX(indexy_SDcast!$A:$ALI,MATCH($R352,indexy_SDcast!$K:$K,0),MATCH(W$2,indexy_SDcast!$2:$2,0)),"#ekrk")),"#popis")</f>
        <v>-19.509870153134358</v>
      </c>
      <c r="X352" s="365">
        <f>IF($Q352="ekrk",IF($R352="data",IFERROR(INDEX(data!$A:$ALL,MATCH($M352,data!$A:$A,0),MATCH(X$2,data!$1:$1,0)),"#data"),IFERROR(W352*INDEX(indexy_SDcast!$A:$ALI,MATCH($R352,indexy_SDcast!$K:$K,0),MATCH(X$2,indexy_SDcast!$2:$2,0)),"#ekrk")),"#popis")</f>
        <v>-19.953673095882756</v>
      </c>
      <c r="Y352" s="362">
        <f>IF($Q352="ekrk",IF($R352="data",IFERROR(INDEX(data!$A:$ALL,MATCH($M352,data!$A:$A,0),MATCH(Y$2,data!$1:$1,0)),"#data"),IFERROR(X352*INDEX(indexy_SDcast!$A:$ALI,MATCH($R352,indexy_SDcast!$K:$K,0),MATCH(Y$2,indexy_SDcast!$2:$2,0)),"#ekrk")),"#popis")</f>
        <v>-20.42364898282548</v>
      </c>
    </row>
    <row r="353" spans="1:44" x14ac:dyDescent="0.25">
      <c r="A353" s="330">
        <v>642200</v>
      </c>
      <c r="B353" s="329">
        <v>-694.40703999999982</v>
      </c>
      <c r="C353" s="157"/>
      <c r="D353" s="330">
        <v>642200</v>
      </c>
      <c r="E353" s="329">
        <v>-694.40703999999982</v>
      </c>
      <c r="F353" s="157"/>
      <c r="G353" s="330">
        <v>642200</v>
      </c>
      <c r="H353" s="329">
        <v>-694.40703999999982</v>
      </c>
      <c r="I353" s="157"/>
      <c r="J353" s="330">
        <v>642200</v>
      </c>
      <c r="K353" s="329">
        <v>-694.40703999999982</v>
      </c>
      <c r="L353" s="157"/>
      <c r="M353" s="360">
        <f t="shared" si="35"/>
        <v>642200</v>
      </c>
      <c r="N353" s="237">
        <f t="shared" si="36"/>
        <v>-694.40703999999982</v>
      </c>
      <c r="O353" s="361"/>
      <c r="P353" s="361"/>
      <c r="Q353" s="361" t="s">
        <v>698</v>
      </c>
      <c r="R353" s="362">
        <f>IF(Q353="ekrk",INDEX(indexy_SDcast!$A:$C,MATCH($M353,indexy_SDcast!$A:$A,0),2),"")</f>
        <v>25</v>
      </c>
      <c r="S353" s="236"/>
      <c r="T353" s="364">
        <f t="shared" si="37"/>
        <v>642200</v>
      </c>
      <c r="U353" s="365">
        <f t="shared" si="39"/>
        <v>-694.40703999999982</v>
      </c>
      <c r="V353" s="365">
        <f>IF($Q353="ekrk",IF($R353="data",IFERROR(INDEX(data!$A:$ALL,MATCH($M353,data!$A:$A,0),MATCH(V$2,data!$1:$1,0)),"#data"),IFERROR(U353*INDEX(indexy_SDcast!$A:$ALI,MATCH($R353,indexy_SDcast!$K:$K,0),MATCH(V$2,indexy_SDcast!$2:$2,0)),"#ekrk")),"#popis")</f>
        <v>-699.64807331681129</v>
      </c>
      <c r="W353" s="365">
        <f>IF($Q353="ekrk",IF($R353="data",IFERROR(INDEX(data!$A:$ALL,MATCH($M353,data!$A:$A,0),MATCH(W$2,data!$1:$1,0)),"#data"),IFERROR(V353*INDEX(indexy_SDcast!$A:$ALI,MATCH($R353,indexy_SDcast!$K:$K,0),MATCH(W$2,indexy_SDcast!$2:$2,0)),"#ekrk")),"#popis")</f>
        <v>-714.16551224413024</v>
      </c>
      <c r="X353" s="365">
        <f>IF($Q353="ekrk",IF($R353="data",IFERROR(INDEX(data!$A:$ALL,MATCH($M353,data!$A:$A,0),MATCH(X$2,data!$1:$1,0)),"#data"),IFERROR(W353*INDEX(indexy_SDcast!$A:$ALI,MATCH($R353,indexy_SDcast!$K:$K,0),MATCH(X$2,indexy_SDcast!$2:$2,0)),"#ekrk")),"#popis")</f>
        <v>-730.41107172021134</v>
      </c>
      <c r="Y353" s="362">
        <f>IF($Q353="ekrk",IF($R353="data",IFERROR(INDEX(data!$A:$ALL,MATCH($M353,data!$A:$A,0),MATCH(Y$2,data!$1:$1,0)),"#data"),IFERROR(X353*INDEX(indexy_SDcast!$A:$ALI,MATCH($R353,indexy_SDcast!$K:$K,0),MATCH(Y$2,indexy_SDcast!$2:$2,0)),"#ekrk")),"#popis")</f>
        <v>-747.61470082724134</v>
      </c>
    </row>
    <row r="354" spans="1:44" x14ac:dyDescent="0.25">
      <c r="A354" s="330">
        <v>649002</v>
      </c>
      <c r="B354" s="329">
        <v>-261.68226000000004</v>
      </c>
      <c r="C354" s="157"/>
      <c r="D354" s="330">
        <v>649002</v>
      </c>
      <c r="E354" s="329">
        <v>-261.68226000000004</v>
      </c>
      <c r="F354" s="157"/>
      <c r="G354" s="330">
        <v>649002</v>
      </c>
      <c r="H354" s="329">
        <v>-261.68226000000004</v>
      </c>
      <c r="I354" s="157"/>
      <c r="J354" s="330">
        <v>649002</v>
      </c>
      <c r="K354" s="329">
        <v>-261.68226000000004</v>
      </c>
      <c r="L354" s="157"/>
      <c r="M354" s="360">
        <f t="shared" si="35"/>
        <v>649002</v>
      </c>
      <c r="N354" s="237">
        <f t="shared" si="36"/>
        <v>-261.68226000000004</v>
      </c>
      <c r="O354" s="361"/>
      <c r="P354" s="361"/>
      <c r="Q354" s="361" t="s">
        <v>698</v>
      </c>
      <c r="R354" s="362">
        <f>IF(Q354="ekrk",INDEX(indexy_SDcast!$A:$C,MATCH($M354,indexy_SDcast!$A:$A,0),2),"")</f>
        <v>25</v>
      </c>
      <c r="S354" s="236"/>
      <c r="T354" s="364">
        <f t="shared" si="37"/>
        <v>649002</v>
      </c>
      <c r="U354" s="365">
        <f t="shared" si="39"/>
        <v>-261.68226000000004</v>
      </c>
      <c r="V354" s="365">
        <f>IF($Q354="ekrk",IF($R354="data",IFERROR(INDEX(data!$A:$ALL,MATCH($M354,data!$A:$A,0),MATCH(V$2,data!$1:$1,0)),"#data"),IFERROR(U354*INDEX(indexy_SDcast!$A:$ALI,MATCH($R354,indexy_SDcast!$K:$K,0),MATCH(V$2,indexy_SDcast!$2:$2,0)),"#ekrk")),"#popis")</f>
        <v>-263.65730541871949</v>
      </c>
      <c r="W354" s="365">
        <f>IF($Q354="ekrk",IF($R354="data",IFERROR(INDEX(data!$A:$ALL,MATCH($M354,data!$A:$A,0),MATCH(W$2,data!$1:$1,0)),"#data"),IFERROR(V354*INDEX(indexy_SDcast!$A:$ALI,MATCH($R354,indexy_SDcast!$K:$K,0),MATCH(W$2,indexy_SDcast!$2:$2,0)),"#ekrk")),"#popis")</f>
        <v>-269.12809705688142</v>
      </c>
      <c r="X354" s="365">
        <f>IF($Q354="ekrk",IF($R354="data",IFERROR(INDEX(data!$A:$ALL,MATCH($M354,data!$A:$A,0),MATCH(X$2,data!$1:$1,0)),"#data"),IFERROR(W354*INDEX(indexy_SDcast!$A:$ALI,MATCH($R354,indexy_SDcast!$K:$K,0),MATCH(X$2,indexy_SDcast!$2:$2,0)),"#ekrk")),"#popis")</f>
        <v>-275.25011839852175</v>
      </c>
      <c r="Y354" s="362">
        <f>IF($Q354="ekrk",IF($R354="data",IFERROR(INDEX(data!$A:$ALL,MATCH($M354,data!$A:$A,0),MATCH(Y$2,data!$1:$1,0)),"#data"),IFERROR(X354*INDEX(indexy_SDcast!$A:$ALI,MATCH($R354,indexy_SDcast!$K:$K,0),MATCH(Y$2,indexy_SDcast!$2:$2,0)),"#ekrk")),"#popis")</f>
        <v>-281.73318133654931</v>
      </c>
    </row>
    <row r="355" spans="1:44" s="18" customFormat="1" x14ac:dyDescent="0.25">
      <c r="A355" s="333" t="s">
        <v>741</v>
      </c>
      <c r="B355" s="334">
        <v>-140.69999999999999</v>
      </c>
      <c r="C355" s="164"/>
      <c r="D355" s="333" t="s">
        <v>741</v>
      </c>
      <c r="E355" s="334">
        <v>-140.69999999999999</v>
      </c>
      <c r="F355" s="164"/>
      <c r="G355" s="333" t="s">
        <v>741</v>
      </c>
      <c r="H355" s="334">
        <v>-140.69999999999999</v>
      </c>
      <c r="I355" s="164"/>
      <c r="J355" s="333" t="s">
        <v>741</v>
      </c>
      <c r="K355" s="334">
        <v>-140.69999999999999</v>
      </c>
      <c r="L355" s="164"/>
      <c r="M355" s="358" t="str">
        <f t="shared" si="35"/>
        <v>D92PAY</v>
      </c>
      <c r="N355" s="239">
        <f t="shared" si="36"/>
        <v>-140.69999999999999</v>
      </c>
      <c r="O355" s="243"/>
      <c r="P355" s="243">
        <f>MATCH(Q355,Q356:Q$1550,0)</f>
        <v>4</v>
      </c>
      <c r="Q355" s="243" t="s">
        <v>697</v>
      </c>
      <c r="R355" s="359" t="str">
        <f>IF(Q355="ekrk",INDEX(indexy_SDcast!$A:$C,MATCH($M355,indexy_SDcast!$A:$A,0),2),"")</f>
        <v/>
      </c>
      <c r="S355" s="240"/>
      <c r="T355" s="363" t="str">
        <f t="shared" si="37"/>
        <v>D92PAY</v>
      </c>
      <c r="U355" s="244">
        <f>SUM(U356:U358)</f>
        <v>-140.69999999999999</v>
      </c>
      <c r="V355" s="244">
        <f>SUM(V356:V358)</f>
        <v>-145.26800918071478</v>
      </c>
      <c r="W355" s="244">
        <f>SUM(W356:W358)</f>
        <v>-151.69288393426513</v>
      </c>
      <c r="X355" s="244">
        <f>SUM(X356:X358)</f>
        <v>-159.34328425824734</v>
      </c>
      <c r="Y355" s="359">
        <f>SUM(Y356:Y358)</f>
        <v>-168.11985178760713</v>
      </c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8"/>
      <c r="AN355" s="58"/>
      <c r="AO355" s="58"/>
      <c r="AP355" s="58"/>
      <c r="AQ355" s="58"/>
      <c r="AR355" s="58"/>
    </row>
    <row r="356" spans="1:44" x14ac:dyDescent="0.25">
      <c r="A356" s="330">
        <v>722001</v>
      </c>
      <c r="B356" s="329">
        <v>-1.2</v>
      </c>
      <c r="C356" s="157"/>
      <c r="D356" s="330">
        <v>722001</v>
      </c>
      <c r="E356" s="329">
        <v>-1.2</v>
      </c>
      <c r="F356" s="157"/>
      <c r="G356" s="330">
        <v>722001</v>
      </c>
      <c r="H356" s="329">
        <v>-1.2</v>
      </c>
      <c r="I356" s="157"/>
      <c r="J356" s="330">
        <v>722001</v>
      </c>
      <c r="K356" s="329">
        <v>-1.2</v>
      </c>
      <c r="L356" s="157"/>
      <c r="M356" s="360">
        <f t="shared" si="35"/>
        <v>722001</v>
      </c>
      <c r="N356" s="237">
        <f t="shared" si="36"/>
        <v>-1.2</v>
      </c>
      <c r="O356" s="361"/>
      <c r="P356" s="361"/>
      <c r="Q356" s="361" t="s">
        <v>698</v>
      </c>
      <c r="R356" s="362">
        <f>IF(Q356="ekrk",INDEX(indexy_SDcast!$A:$C,MATCH($M356,indexy_SDcast!$A:$A,0),2),"")</f>
        <v>37</v>
      </c>
      <c r="S356" s="236"/>
      <c r="T356" s="364">
        <f t="shared" si="37"/>
        <v>722001</v>
      </c>
      <c r="U356" s="365">
        <f>N356</f>
        <v>-1.2</v>
      </c>
      <c r="V356" s="365">
        <f>IF($Q356="ekrk",IF($R356="data",IFERROR(INDEX(data!$A:$ALL,MATCH($M356,data!$A:$A,0),MATCH(V$2,data!$1:$1,0)),"#data"),IFERROR(U356*INDEX(indexy_SDcast!$A:$ALI,MATCH($R356,indexy_SDcast!$K:$K,0),MATCH(V$2,indexy_SDcast!$2:$2,0)),"#ekrk")),"#popis")</f>
        <v>-1.23895956657326</v>
      </c>
      <c r="W356" s="365">
        <f>IF($Q356="ekrk",IF($R356="data",IFERROR(INDEX(data!$A:$ALL,MATCH($M356,data!$A:$A,0),MATCH(W$2,data!$1:$1,0)),"#data"),IFERROR(V356*INDEX(indexy_SDcast!$A:$ALI,MATCH($R356,indexy_SDcast!$K:$K,0),MATCH(W$2,indexy_SDcast!$2:$2,0)),"#ekrk")),"#popis")</f>
        <v>-1.2937559397378686</v>
      </c>
      <c r="X356" s="365">
        <f>IF($Q356="ekrk",IF($R356="data",IFERROR(INDEX(data!$A:$ALL,MATCH($M356,data!$A:$A,0),MATCH(X$2,data!$1:$1,0)),"#data"),IFERROR(W356*INDEX(indexy_SDcast!$A:$ALI,MATCH($R356,indexy_SDcast!$K:$K,0),MATCH(X$2,indexy_SDcast!$2:$2,0)),"#ekrk")),"#popis")</f>
        <v>-1.3590045565735378</v>
      </c>
      <c r="Y356" s="362">
        <f>IF($Q356="ekrk",IF($R356="data",IFERROR(INDEX(data!$A:$ALL,MATCH($M356,data!$A:$A,0),MATCH(Y$2,data!$1:$1,0)),"#data"),IFERROR(X356*INDEX(indexy_SDcast!$A:$ALI,MATCH($R356,indexy_SDcast!$K:$K,0),MATCH(Y$2,indexy_SDcast!$2:$2,0)),"#ekrk")),"#popis")</f>
        <v>-1.4338580109817236</v>
      </c>
    </row>
    <row r="357" spans="1:44" x14ac:dyDescent="0.25">
      <c r="A357" s="330">
        <v>722002</v>
      </c>
      <c r="B357" s="329">
        <v>-135</v>
      </c>
      <c r="C357" s="157"/>
      <c r="D357" s="330">
        <v>722002</v>
      </c>
      <c r="E357" s="329">
        <v>-135</v>
      </c>
      <c r="F357" s="157"/>
      <c r="G357" s="330">
        <v>722002</v>
      </c>
      <c r="H357" s="329">
        <v>-135</v>
      </c>
      <c r="I357" s="157"/>
      <c r="J357" s="330">
        <v>722002</v>
      </c>
      <c r="K357" s="329">
        <v>-135</v>
      </c>
      <c r="L357" s="157"/>
      <c r="M357" s="360">
        <f t="shared" si="35"/>
        <v>722002</v>
      </c>
      <c r="N357" s="237">
        <f t="shared" si="36"/>
        <v>-135</v>
      </c>
      <c r="O357" s="361"/>
      <c r="P357" s="361"/>
      <c r="Q357" s="361" t="s">
        <v>698</v>
      </c>
      <c r="R357" s="362">
        <f>IF(Q357="ekrk",INDEX(indexy_SDcast!$A:$C,MATCH($M357,indexy_SDcast!$A:$A,0),2),"")</f>
        <v>37</v>
      </c>
      <c r="S357" s="236"/>
      <c r="T357" s="364">
        <f t="shared" si="37"/>
        <v>722002</v>
      </c>
      <c r="U357" s="365">
        <f>N357</f>
        <v>-135</v>
      </c>
      <c r="V357" s="365">
        <f>IF($Q357="ekrk",IF($R357="data",IFERROR(INDEX(data!$A:$ALL,MATCH($M357,data!$A:$A,0),MATCH(V$2,data!$1:$1,0)),"#data"),IFERROR(U357*INDEX(indexy_SDcast!$A:$ALI,MATCH($R357,indexy_SDcast!$K:$K,0),MATCH(V$2,indexy_SDcast!$2:$2,0)),"#ekrk")),"#popis")</f>
        <v>-139.38295123949177</v>
      </c>
      <c r="W357" s="365">
        <f>IF($Q357="ekrk",IF($R357="data",IFERROR(INDEX(data!$A:$ALL,MATCH($M357,data!$A:$A,0),MATCH(W$2,data!$1:$1,0)),"#data"),IFERROR(V357*INDEX(indexy_SDcast!$A:$ALI,MATCH($R357,indexy_SDcast!$K:$K,0),MATCH(W$2,indexy_SDcast!$2:$2,0)),"#ekrk")),"#popis")</f>
        <v>-145.54754322051025</v>
      </c>
      <c r="X357" s="365">
        <f>IF($Q357="ekrk",IF($R357="data",IFERROR(INDEX(data!$A:$ALL,MATCH($M357,data!$A:$A,0),MATCH(X$2,data!$1:$1,0)),"#data"),IFERROR(W357*INDEX(indexy_SDcast!$A:$ALI,MATCH($R357,indexy_SDcast!$K:$K,0),MATCH(X$2,indexy_SDcast!$2:$2,0)),"#ekrk")),"#popis")</f>
        <v>-152.88801261452303</v>
      </c>
      <c r="Y357" s="362">
        <f>IF($Q357="ekrk",IF($R357="data",IFERROR(INDEX(data!$A:$ALL,MATCH($M357,data!$A:$A,0),MATCH(Y$2,data!$1:$1,0)),"#data"),IFERROR(X357*INDEX(indexy_SDcast!$A:$ALI,MATCH($R357,indexy_SDcast!$K:$K,0),MATCH(Y$2,indexy_SDcast!$2:$2,0)),"#ekrk")),"#popis")</f>
        <v>-161.30902623544392</v>
      </c>
    </row>
    <row r="358" spans="1:44" x14ac:dyDescent="0.25">
      <c r="A358" s="330">
        <v>722003</v>
      </c>
      <c r="B358" s="329">
        <v>-4.5</v>
      </c>
      <c r="C358" s="157"/>
      <c r="D358" s="330">
        <v>722003</v>
      </c>
      <c r="E358" s="329">
        <v>-4.5</v>
      </c>
      <c r="F358" s="157"/>
      <c r="G358" s="330">
        <v>722003</v>
      </c>
      <c r="H358" s="329">
        <v>-4.5</v>
      </c>
      <c r="I358" s="157"/>
      <c r="J358" s="330">
        <v>722003</v>
      </c>
      <c r="K358" s="329">
        <v>-4.5</v>
      </c>
      <c r="L358" s="157"/>
      <c r="M358" s="360">
        <f t="shared" si="35"/>
        <v>722003</v>
      </c>
      <c r="N358" s="237">
        <f t="shared" si="36"/>
        <v>-4.5</v>
      </c>
      <c r="O358" s="361"/>
      <c r="P358" s="361"/>
      <c r="Q358" s="361" t="s">
        <v>698</v>
      </c>
      <c r="R358" s="362">
        <f>IF(Q358="ekrk",INDEX(indexy_SDcast!$A:$C,MATCH($M358,indexy_SDcast!$A:$A,0),2),"")</f>
        <v>37</v>
      </c>
      <c r="S358" s="236"/>
      <c r="T358" s="364">
        <f t="shared" si="37"/>
        <v>722003</v>
      </c>
      <c r="U358" s="365">
        <f>N358</f>
        <v>-4.5</v>
      </c>
      <c r="V358" s="365">
        <f>IF($Q358="ekrk",IF($R358="data",IFERROR(INDEX(data!$A:$ALL,MATCH($M358,data!$A:$A,0),MATCH(V$2,data!$1:$1,0)),"#data"),IFERROR(U358*INDEX(indexy_SDcast!$A:$ALI,MATCH($R358,indexy_SDcast!$K:$K,0),MATCH(V$2,indexy_SDcast!$2:$2,0)),"#ekrk")),"#popis")</f>
        <v>-4.6460983746497257</v>
      </c>
      <c r="W358" s="365">
        <f>IF($Q358="ekrk",IF($R358="data",IFERROR(INDEX(data!$A:$ALL,MATCH($M358,data!$A:$A,0),MATCH(W$2,data!$1:$1,0)),"#data"),IFERROR(V358*INDEX(indexy_SDcast!$A:$ALI,MATCH($R358,indexy_SDcast!$K:$K,0),MATCH(W$2,indexy_SDcast!$2:$2,0)),"#ekrk")),"#popis")</f>
        <v>-4.8515847740170077</v>
      </c>
      <c r="X358" s="365">
        <f>IF($Q358="ekrk",IF($R358="data",IFERROR(INDEX(data!$A:$ALL,MATCH($M358,data!$A:$A,0),MATCH(X$2,data!$1:$1,0)),"#data"),IFERROR(W358*INDEX(indexy_SDcast!$A:$ALI,MATCH($R358,indexy_SDcast!$K:$K,0),MATCH(X$2,indexy_SDcast!$2:$2,0)),"#ekrk")),"#popis")</f>
        <v>-5.0962670871507667</v>
      </c>
      <c r="Y358" s="362">
        <f>IF($Q358="ekrk",IF($R358="data",IFERROR(INDEX(data!$A:$ALL,MATCH($M358,data!$A:$A,0),MATCH(Y$2,data!$1:$1,0)),"#data"),IFERROR(X358*INDEX(indexy_SDcast!$A:$ALI,MATCH($R358,indexy_SDcast!$K:$K,0),MATCH(Y$2,indexy_SDcast!$2:$2,0)),"#ekrk")),"#popis")</f>
        <v>-5.3769675411814637</v>
      </c>
    </row>
    <row r="359" spans="1:44" s="18" customFormat="1" x14ac:dyDescent="0.25">
      <c r="A359" s="333" t="s">
        <v>745</v>
      </c>
      <c r="B359" s="334">
        <v>-1274.1197400000001</v>
      </c>
      <c r="C359" s="164"/>
      <c r="D359" s="333" t="s">
        <v>745</v>
      </c>
      <c r="E359" s="334">
        <v>-1274.1197400000001</v>
      </c>
      <c r="F359" s="164"/>
      <c r="G359" s="333" t="s">
        <v>745</v>
      </c>
      <c r="H359" s="334">
        <v>-1274.1197400000001</v>
      </c>
      <c r="I359" s="164"/>
      <c r="J359" s="333" t="s">
        <v>745</v>
      </c>
      <c r="K359" s="334">
        <v>-1274.1197400000001</v>
      </c>
      <c r="L359" s="164"/>
      <c r="M359" s="358" t="str">
        <f t="shared" si="35"/>
        <v>K21A</v>
      </c>
      <c r="N359" s="239">
        <f t="shared" si="36"/>
        <v>-1274.1197400000001</v>
      </c>
      <c r="O359" s="243"/>
      <c r="P359" s="243">
        <f>MATCH(Q359,Q360:Q$1550,0)</f>
        <v>2</v>
      </c>
      <c r="Q359" s="243" t="s">
        <v>697</v>
      </c>
      <c r="R359" s="359" t="str">
        <f>IF(Q359="ekrk",INDEX(indexy_SDcast!$A:$C,MATCH($M359,indexy_SDcast!$A:$A,0),2),"")</f>
        <v/>
      </c>
      <c r="S359" s="240"/>
      <c r="T359" s="363" t="str">
        <f t="shared" si="37"/>
        <v>K21A</v>
      </c>
      <c r="U359" s="244">
        <f>SUM(U360:U360)</f>
        <v>-1274.1197400000001</v>
      </c>
      <c r="V359" s="244">
        <f>SUM(V360:V360)</f>
        <v>-1315.4857006940292</v>
      </c>
      <c r="W359" s="244">
        <f>SUM(W360:W360)</f>
        <v>-1373.6666513018911</v>
      </c>
      <c r="X359" s="244">
        <f>SUM(X360:X360)</f>
        <v>-1442.9454435669097</v>
      </c>
      <c r="Y359" s="359">
        <f>SUM(Y360:Y360)</f>
        <v>-1522.4223301241259</v>
      </c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8"/>
      <c r="AN359" s="58"/>
      <c r="AO359" s="58"/>
      <c r="AP359" s="58"/>
      <c r="AQ359" s="58"/>
      <c r="AR359" s="58"/>
    </row>
    <row r="360" spans="1:44" x14ac:dyDescent="0.25">
      <c r="A360" s="330">
        <v>711001</v>
      </c>
      <c r="B360" s="329">
        <v>-1274.1197400000001</v>
      </c>
      <c r="C360" s="157"/>
      <c r="D360" s="330">
        <v>711001</v>
      </c>
      <c r="E360" s="329">
        <v>-1274.1197400000001</v>
      </c>
      <c r="F360" s="157"/>
      <c r="G360" s="330">
        <v>711001</v>
      </c>
      <c r="H360" s="329">
        <v>-1274.1197400000001</v>
      </c>
      <c r="I360" s="157"/>
      <c r="J360" s="330">
        <v>711001</v>
      </c>
      <c r="K360" s="329">
        <v>-1274.1197400000001</v>
      </c>
      <c r="L360" s="157"/>
      <c r="M360" s="360">
        <f t="shared" si="35"/>
        <v>711001</v>
      </c>
      <c r="N360" s="237">
        <f t="shared" si="36"/>
        <v>-1274.1197400000001</v>
      </c>
      <c r="O360" s="361"/>
      <c r="P360" s="361"/>
      <c r="Q360" s="361" t="s">
        <v>698</v>
      </c>
      <c r="R360" s="362">
        <f>IF(Q360="ekrk",INDEX(indexy_SDcast!$A:$C,MATCH($M360,indexy_SDcast!$A:$A,0),2),"")</f>
        <v>37</v>
      </c>
      <c r="S360" s="236"/>
      <c r="T360" s="364">
        <f t="shared" si="37"/>
        <v>711001</v>
      </c>
      <c r="U360" s="365">
        <f>N360</f>
        <v>-1274.1197400000001</v>
      </c>
      <c r="V360" s="365">
        <f>IF($Q360="ekrk",IF($R360="data",IFERROR(INDEX(data!$A:$ALL,MATCH($M360,data!$A:$A,0),MATCH(V$2,data!$1:$1,0)),"#data"),IFERROR(U360*INDEX(indexy_SDcast!$A:$ALI,MATCH($R360,indexy_SDcast!$K:$K,0),MATCH(V$2,indexy_SDcast!$2:$2,0)),"#ekrk")),"#popis")</f>
        <v>-1315.4857006940292</v>
      </c>
      <c r="W360" s="365">
        <f>IF($Q360="ekrk",IF($R360="data",IFERROR(INDEX(data!$A:$ALL,MATCH($M360,data!$A:$A,0),MATCH(W$2,data!$1:$1,0)),"#data"),IFERROR(V360*INDEX(indexy_SDcast!$A:$ALI,MATCH($R360,indexy_SDcast!$K:$K,0),MATCH(W$2,indexy_SDcast!$2:$2,0)),"#ekrk")),"#popis")</f>
        <v>-1373.6666513018911</v>
      </c>
      <c r="X360" s="365">
        <f>IF($Q360="ekrk",IF($R360="data",IFERROR(INDEX(data!$A:$ALL,MATCH($M360,data!$A:$A,0),MATCH(X$2,data!$1:$1,0)),"#data"),IFERROR(W360*INDEX(indexy_SDcast!$A:$ALI,MATCH($R360,indexy_SDcast!$K:$K,0),MATCH(X$2,indexy_SDcast!$2:$2,0)),"#ekrk")),"#popis")</f>
        <v>-1442.9454435669097</v>
      </c>
      <c r="Y360" s="362">
        <f>IF($Q360="ekrk",IF($R360="data",IFERROR(INDEX(data!$A:$ALL,MATCH($M360,data!$A:$A,0),MATCH(Y$2,data!$1:$1,0)),"#data"),IFERROR(X360*INDEX(indexy_SDcast!$A:$ALI,MATCH($R360,indexy_SDcast!$K:$K,0),MATCH(Y$2,indexy_SDcast!$2:$2,0)),"#ekrk")),"#popis")</f>
        <v>-1522.4223301241259</v>
      </c>
    </row>
    <row r="361" spans="1:44" s="18" customFormat="1" x14ac:dyDescent="0.25">
      <c r="A361" s="333" t="s">
        <v>747</v>
      </c>
      <c r="B361" s="334">
        <v>-26.506800000000002</v>
      </c>
      <c r="C361" s="164"/>
      <c r="D361" s="333" t="s">
        <v>747</v>
      </c>
      <c r="E361" s="334">
        <v>-26.506800000000002</v>
      </c>
      <c r="F361" s="164"/>
      <c r="G361" s="333" t="s">
        <v>747</v>
      </c>
      <c r="H361" s="334">
        <v>-26.506800000000002</v>
      </c>
      <c r="I361" s="164"/>
      <c r="J361" s="333" t="s">
        <v>747</v>
      </c>
      <c r="K361" s="334">
        <v>-26.506800000000002</v>
      </c>
      <c r="L361" s="164"/>
      <c r="M361" s="358" t="str">
        <f t="shared" si="35"/>
        <v>K22A</v>
      </c>
      <c r="N361" s="239">
        <f t="shared" si="36"/>
        <v>-26.506800000000002</v>
      </c>
      <c r="O361" s="243"/>
      <c r="P361" s="243">
        <f>MATCH(Q361,Q362:Q$1550,0)</f>
        <v>2</v>
      </c>
      <c r="Q361" s="243" t="s">
        <v>697</v>
      </c>
      <c r="R361" s="359" t="str">
        <f>IF(Q361="ekrk",INDEX(indexy_SDcast!$A:$C,MATCH($M361,indexy_SDcast!$A:$A,0),2),"")</f>
        <v/>
      </c>
      <c r="S361" s="240"/>
      <c r="T361" s="363" t="str">
        <f t="shared" si="37"/>
        <v>K22A</v>
      </c>
      <c r="U361" s="244">
        <f>SUM(U362:U362)</f>
        <v>-26.506800000000002</v>
      </c>
      <c r="V361" s="244">
        <f>SUM(V362:V362)</f>
        <v>-27.367377866036744</v>
      </c>
      <c r="W361" s="244">
        <f>SUM(W362:W362)</f>
        <v>-28.577774952869785</v>
      </c>
      <c r="X361" s="244">
        <f>SUM(X362:X362)</f>
        <v>-30.019051650152878</v>
      </c>
      <c r="Y361" s="359">
        <f>SUM(Y362:Y362)</f>
        <v>-31.672489604575293</v>
      </c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8"/>
      <c r="AN361" s="58"/>
      <c r="AO361" s="58"/>
      <c r="AP361" s="58"/>
      <c r="AQ361" s="58"/>
      <c r="AR361" s="58"/>
    </row>
    <row r="362" spans="1:44" x14ac:dyDescent="0.25">
      <c r="A362" s="330">
        <v>711004</v>
      </c>
      <c r="B362" s="329">
        <v>-26.506800000000002</v>
      </c>
      <c r="C362" s="157"/>
      <c r="D362" s="330">
        <v>711004</v>
      </c>
      <c r="E362" s="329">
        <v>-26.506800000000002</v>
      </c>
      <c r="F362" s="157"/>
      <c r="G362" s="330">
        <v>711004</v>
      </c>
      <c r="H362" s="329">
        <v>-26.506800000000002</v>
      </c>
      <c r="I362" s="157"/>
      <c r="J362" s="330">
        <v>711004</v>
      </c>
      <c r="K362" s="329">
        <v>-26.506800000000002</v>
      </c>
      <c r="L362" s="157"/>
      <c r="M362" s="360">
        <f t="shared" si="35"/>
        <v>711004</v>
      </c>
      <c r="N362" s="237">
        <f t="shared" si="36"/>
        <v>-26.506800000000002</v>
      </c>
      <c r="O362" s="361"/>
      <c r="P362" s="361"/>
      <c r="Q362" s="361" t="s">
        <v>698</v>
      </c>
      <c r="R362" s="362">
        <f>IF(Q362="ekrk",INDEX(indexy_SDcast!$A:$C,MATCH($M362,indexy_SDcast!$A:$A,0),2),"")</f>
        <v>37</v>
      </c>
      <c r="S362" s="236"/>
      <c r="T362" s="364">
        <f t="shared" si="37"/>
        <v>711004</v>
      </c>
      <c r="U362" s="365">
        <f>N362</f>
        <v>-26.506800000000002</v>
      </c>
      <c r="V362" s="365">
        <f>IF($Q362="ekrk",IF($R362="data",IFERROR(INDEX(data!$A:$ALL,MATCH($M362,data!$A:$A,0),MATCH(V$2,data!$1:$1,0)),"#data"),IFERROR(U362*INDEX(indexy_SDcast!$A:$ALI,MATCH($R362,indexy_SDcast!$K:$K,0),MATCH(V$2,indexy_SDcast!$2:$2,0)),"#ekrk")),"#popis")</f>
        <v>-27.367377866036744</v>
      </c>
      <c r="W362" s="365">
        <f>IF($Q362="ekrk",IF($R362="data",IFERROR(INDEX(data!$A:$ALL,MATCH($M362,data!$A:$A,0),MATCH(W$2,data!$1:$1,0)),"#data"),IFERROR(V362*INDEX(indexy_SDcast!$A:$ALI,MATCH($R362,indexy_SDcast!$K:$K,0),MATCH(W$2,indexy_SDcast!$2:$2,0)),"#ekrk")),"#popis")</f>
        <v>-28.577774952869785</v>
      </c>
      <c r="X362" s="365">
        <f>IF($Q362="ekrk",IF($R362="data",IFERROR(INDEX(data!$A:$ALL,MATCH($M362,data!$A:$A,0),MATCH(X$2,data!$1:$1,0)),"#data"),IFERROR(W362*INDEX(indexy_SDcast!$A:$ALI,MATCH($R362,indexy_SDcast!$K:$K,0),MATCH(X$2,indexy_SDcast!$2:$2,0)),"#ekrk")),"#popis")</f>
        <v>-30.019051650152878</v>
      </c>
      <c r="Y362" s="362">
        <f>IF($Q362="ekrk",IF($R362="data",IFERROR(INDEX(data!$A:$ALL,MATCH($M362,data!$A:$A,0),MATCH(Y$2,data!$1:$1,0)),"#data"),IFERROR(X362*INDEX(indexy_SDcast!$A:$ALI,MATCH($R362,indexy_SDcast!$K:$K,0),MATCH(Y$2,indexy_SDcast!$2:$2,0)),"#ekrk")),"#popis")</f>
        <v>-31.672489604575293</v>
      </c>
    </row>
    <row r="363" spans="1:44" s="18" customFormat="1" x14ac:dyDescent="0.25">
      <c r="A363" s="333" t="s">
        <v>753</v>
      </c>
      <c r="B363" s="334">
        <v>-595417.87041000021</v>
      </c>
      <c r="C363" s="164"/>
      <c r="D363" s="333" t="s">
        <v>753</v>
      </c>
      <c r="E363" s="334">
        <v>-595417.87041000021</v>
      </c>
      <c r="F363" s="164"/>
      <c r="G363" s="333" t="s">
        <v>753</v>
      </c>
      <c r="H363" s="334">
        <v>-595417.87041000021</v>
      </c>
      <c r="I363" s="164"/>
      <c r="J363" s="333" t="s">
        <v>753</v>
      </c>
      <c r="K363" s="334">
        <v>-595417.87041000021</v>
      </c>
      <c r="L363" s="164"/>
      <c r="M363" s="358" t="str">
        <f t="shared" si="35"/>
        <v>P2</v>
      </c>
      <c r="N363" s="239">
        <f t="shared" si="36"/>
        <v>-595417.87041000021</v>
      </c>
      <c r="O363" s="243"/>
      <c r="P363" s="243">
        <f>MATCH(Q363,Q364:Q$1550,0)</f>
        <v>75</v>
      </c>
      <c r="Q363" s="243" t="s">
        <v>697</v>
      </c>
      <c r="R363" s="359" t="str">
        <f>IF(Q363="ekrk",INDEX(indexy_SDcast!$A:$C,MATCH($M363,indexy_SDcast!$A:$A,0),2),"")</f>
        <v/>
      </c>
      <c r="S363" s="240"/>
      <c r="T363" s="363" t="str">
        <f t="shared" si="37"/>
        <v>P2</v>
      </c>
      <c r="U363" s="244">
        <f>SUM(U364:U437)</f>
        <v>-595417.87041000021</v>
      </c>
      <c r="V363" s="244">
        <f>SUM(V364:V437)</f>
        <v>-598171.16772504756</v>
      </c>
      <c r="W363" s="244">
        <f>SUM(W364:W437)</f>
        <v>-608717.01865930622</v>
      </c>
      <c r="X363" s="244">
        <f>SUM(X364:X437)</f>
        <v>-620410.56687783299</v>
      </c>
      <c r="Y363" s="359">
        <f>SUM(Y364:Y437)</f>
        <v>-633059.4295726096</v>
      </c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8"/>
      <c r="AN363" s="58"/>
      <c r="AO363" s="58"/>
      <c r="AP363" s="58"/>
      <c r="AQ363" s="58"/>
      <c r="AR363" s="58"/>
    </row>
    <row r="364" spans="1:44" x14ac:dyDescent="0.25">
      <c r="A364" s="330">
        <v>631001</v>
      </c>
      <c r="B364" s="329">
        <v>-1865.7759900000019</v>
      </c>
      <c r="C364" s="157"/>
      <c r="D364" s="330">
        <v>631001</v>
      </c>
      <c r="E364" s="329">
        <v>-1865.7759900000019</v>
      </c>
      <c r="F364" s="157"/>
      <c r="G364" s="330">
        <v>631001</v>
      </c>
      <c r="H364" s="329">
        <v>-1865.7759900000019</v>
      </c>
      <c r="I364" s="157"/>
      <c r="J364" s="330">
        <v>631001</v>
      </c>
      <c r="K364" s="329">
        <v>-1865.7759900000019</v>
      </c>
      <c r="L364" s="157"/>
      <c r="M364" s="360">
        <f t="shared" si="35"/>
        <v>631001</v>
      </c>
      <c r="N364" s="237">
        <f t="shared" si="36"/>
        <v>-1865.7759900000019</v>
      </c>
      <c r="O364" s="361"/>
      <c r="P364" s="361"/>
      <c r="Q364" s="361" t="s">
        <v>698</v>
      </c>
      <c r="R364" s="362">
        <f>IF(Q364="ekrk",INDEX(indexy_SDcast!$A:$C,MATCH($M364,indexy_SDcast!$A:$A,0),2),"")</f>
        <v>25</v>
      </c>
      <c r="S364" s="236"/>
      <c r="T364" s="364">
        <f t="shared" si="37"/>
        <v>631001</v>
      </c>
      <c r="U364" s="365">
        <f t="shared" ref="U364:U395" si="40">N364</f>
        <v>-1865.7759900000019</v>
      </c>
      <c r="V364" s="365">
        <f>IF($Q364="ekrk",IF($R364="data",IFERROR(INDEX(data!$A:$ALL,MATCH($M364,data!$A:$A,0),MATCH(V$2,data!$1:$1,0)),"#data"),IFERROR(U364*INDEX(indexy_SDcast!$A:$ALI,MATCH($R364,indexy_SDcast!$K:$K,0),MATCH(V$2,indexy_SDcast!$2:$2,0)),"#ekrk")),"#popis")</f>
        <v>-1879.8579240271927</v>
      </c>
      <c r="W364" s="365">
        <f>IF($Q364="ekrk",IF($R364="data",IFERROR(INDEX(data!$A:$ALL,MATCH($M364,data!$A:$A,0),MATCH(W$2,data!$1:$1,0)),"#data"),IFERROR(V364*INDEX(indexy_SDcast!$A:$ALI,MATCH($R364,indexy_SDcast!$K:$K,0),MATCH(W$2,indexy_SDcast!$2:$2,0)),"#ekrk")),"#popis")</f>
        <v>-1918.8642811443137</v>
      </c>
      <c r="X364" s="365">
        <f>IF($Q364="ekrk",IF($R364="data",IFERROR(INDEX(data!$A:$ALL,MATCH($M364,data!$A:$A,0),MATCH(X$2,data!$1:$1,0)),"#data"),IFERROR(W364*INDEX(indexy_SDcast!$A:$ALI,MATCH($R364,indexy_SDcast!$K:$K,0),MATCH(X$2,indexy_SDcast!$2:$2,0)),"#ekrk")),"#popis")</f>
        <v>-1962.5138599483953</v>
      </c>
      <c r="Y364" s="362">
        <f>IF($Q364="ekrk",IF($R364="data",IFERROR(INDEX(data!$A:$ALL,MATCH($M364,data!$A:$A,0),MATCH(Y$2,data!$1:$1,0)),"#data"),IFERROR(X364*INDEX(indexy_SDcast!$A:$ALI,MATCH($R364,indexy_SDcast!$K:$K,0),MATCH(Y$2,indexy_SDcast!$2:$2,0)),"#ekrk")),"#popis")</f>
        <v>-2008.7376397775311</v>
      </c>
    </row>
    <row r="365" spans="1:44" x14ac:dyDescent="0.25">
      <c r="A365" s="330">
        <v>631002</v>
      </c>
      <c r="B365" s="329">
        <v>-3785.7166700000012</v>
      </c>
      <c r="C365" s="157"/>
      <c r="D365" s="330">
        <v>631002</v>
      </c>
      <c r="E365" s="329">
        <v>-3785.7166700000012</v>
      </c>
      <c r="F365" s="157"/>
      <c r="G365" s="330">
        <v>631002</v>
      </c>
      <c r="H365" s="329">
        <v>-3785.7166700000012</v>
      </c>
      <c r="I365" s="157"/>
      <c r="J365" s="330">
        <v>631002</v>
      </c>
      <c r="K365" s="329">
        <v>-3785.7166700000012</v>
      </c>
      <c r="L365" s="157"/>
      <c r="M365" s="360">
        <f t="shared" si="35"/>
        <v>631002</v>
      </c>
      <c r="N365" s="237">
        <f t="shared" si="36"/>
        <v>-3785.7166700000012</v>
      </c>
      <c r="O365" s="361"/>
      <c r="P365" s="361"/>
      <c r="Q365" s="361" t="s">
        <v>698</v>
      </c>
      <c r="R365" s="362">
        <f>IF(Q365="ekrk",INDEX(indexy_SDcast!$A:$C,MATCH($M365,indexy_SDcast!$A:$A,0),2),"")</f>
        <v>25</v>
      </c>
      <c r="S365" s="236"/>
      <c r="T365" s="364">
        <f t="shared" si="37"/>
        <v>631002</v>
      </c>
      <c r="U365" s="365">
        <f t="shared" si="40"/>
        <v>-3785.7166700000012</v>
      </c>
      <c r="V365" s="365">
        <f>IF($Q365="ekrk",IF($R365="data",IFERROR(INDEX(data!$A:$ALL,MATCH($M365,data!$A:$A,0),MATCH(V$2,data!$1:$1,0)),"#data"),IFERROR(U365*INDEX(indexy_SDcast!$A:$ALI,MATCH($R365,indexy_SDcast!$K:$K,0),MATCH(V$2,indexy_SDcast!$2:$2,0)),"#ekrk")),"#popis")</f>
        <v>-3814.2893457543805</v>
      </c>
      <c r="W365" s="365">
        <f>IF($Q365="ekrk",IF($R365="data",IFERROR(INDEX(data!$A:$ALL,MATCH($M365,data!$A:$A,0),MATCH(W$2,data!$1:$1,0)),"#data"),IFERROR(V365*INDEX(indexy_SDcast!$A:$ALI,MATCH($R365,indexy_SDcast!$K:$K,0),MATCH(W$2,indexy_SDcast!$2:$2,0)),"#ekrk")),"#popis")</f>
        <v>-3893.4344398952148</v>
      </c>
      <c r="X365" s="365">
        <f>IF($Q365="ekrk",IF($R365="data",IFERROR(INDEX(data!$A:$ALL,MATCH($M365,data!$A:$A,0),MATCH(X$2,data!$1:$1,0)),"#data"),IFERROR(W365*INDEX(indexy_SDcast!$A:$ALI,MATCH($R365,indexy_SDcast!$K:$K,0),MATCH(X$2,indexy_SDcast!$2:$2,0)),"#ekrk")),"#popis")</f>
        <v>-3982.0007731542737</v>
      </c>
      <c r="Y365" s="362">
        <f>IF($Q365="ekrk",IF($R365="data",IFERROR(INDEX(data!$A:$ALL,MATCH($M365,data!$A:$A,0),MATCH(Y$2,data!$1:$1,0)),"#data"),IFERROR(X365*INDEX(indexy_SDcast!$A:$ALI,MATCH($R365,indexy_SDcast!$K:$K,0),MATCH(Y$2,indexy_SDcast!$2:$2,0)),"#ekrk")),"#popis")</f>
        <v>-4075.7902391927819</v>
      </c>
    </row>
    <row r="366" spans="1:44" x14ac:dyDescent="0.25">
      <c r="A366" s="330">
        <v>631003</v>
      </c>
      <c r="B366" s="329">
        <v>-13.15761</v>
      </c>
      <c r="C366" s="157"/>
      <c r="D366" s="330">
        <v>631003</v>
      </c>
      <c r="E366" s="329">
        <v>-13.15761</v>
      </c>
      <c r="F366" s="157"/>
      <c r="G366" s="330">
        <v>631003</v>
      </c>
      <c r="H366" s="329">
        <v>-13.15761</v>
      </c>
      <c r="I366" s="157"/>
      <c r="J366" s="330">
        <v>631003</v>
      </c>
      <c r="K366" s="329">
        <v>-13.15761</v>
      </c>
      <c r="L366" s="157"/>
      <c r="M366" s="360">
        <f t="shared" si="35"/>
        <v>631003</v>
      </c>
      <c r="N366" s="237">
        <f t="shared" si="36"/>
        <v>-13.15761</v>
      </c>
      <c r="O366" s="361"/>
      <c r="P366" s="361"/>
      <c r="Q366" s="361" t="s">
        <v>698</v>
      </c>
      <c r="R366" s="362">
        <f>IF(Q366="ekrk",INDEX(indexy_SDcast!$A:$C,MATCH($M366,indexy_SDcast!$A:$A,0),2),"")</f>
        <v>25</v>
      </c>
      <c r="S366" s="236"/>
      <c r="T366" s="364">
        <f t="shared" si="37"/>
        <v>631003</v>
      </c>
      <c r="U366" s="365">
        <f t="shared" si="40"/>
        <v>-13.15761</v>
      </c>
      <c r="V366" s="365">
        <f>IF($Q366="ekrk",IF($R366="data",IFERROR(INDEX(data!$A:$ALL,MATCH($M366,data!$A:$A,0),MATCH(V$2,data!$1:$1,0)),"#data"),IFERROR(U366*INDEX(indexy_SDcast!$A:$ALI,MATCH($R366,indexy_SDcast!$K:$K,0),MATCH(V$2,indexy_SDcast!$2:$2,0)),"#ekrk")),"#popis")</f>
        <v>-13.256916989139413</v>
      </c>
      <c r="W366" s="365">
        <f>IF($Q366="ekrk",IF($R366="data",IFERROR(INDEX(data!$A:$ALL,MATCH($M366,data!$A:$A,0),MATCH(W$2,data!$1:$1,0)),"#data"),IFERROR(V366*INDEX(indexy_SDcast!$A:$ALI,MATCH($R366,indexy_SDcast!$K:$K,0),MATCH(W$2,indexy_SDcast!$2:$2,0)),"#ekrk")),"#popis")</f>
        <v>-13.531993116830286</v>
      </c>
      <c r="X366" s="365">
        <f>IF($Q366="ekrk",IF($R366="data",IFERROR(INDEX(data!$A:$ALL,MATCH($M366,data!$A:$A,0),MATCH(X$2,data!$1:$1,0)),"#data"),IFERROR(W366*INDEX(indexy_SDcast!$A:$ALI,MATCH($R366,indexy_SDcast!$K:$K,0),MATCH(X$2,indexy_SDcast!$2:$2,0)),"#ekrk")),"#popis")</f>
        <v>-13.839813636360271</v>
      </c>
      <c r="Y366" s="362">
        <f>IF($Q366="ekrk",IF($R366="data",IFERROR(INDEX(data!$A:$ALL,MATCH($M366,data!$A:$A,0),MATCH(Y$2,data!$1:$1,0)),"#data"),IFERROR(X366*INDEX(indexy_SDcast!$A:$ALI,MATCH($R366,indexy_SDcast!$K:$K,0),MATCH(Y$2,indexy_SDcast!$2:$2,0)),"#ekrk")),"#popis")</f>
        <v>-14.165787639122325</v>
      </c>
    </row>
    <row r="367" spans="1:44" x14ac:dyDescent="0.25">
      <c r="A367" s="330">
        <v>631004</v>
      </c>
      <c r="B367" s="329">
        <v>-8.376750000000003</v>
      </c>
      <c r="C367" s="157"/>
      <c r="D367" s="330">
        <v>631004</v>
      </c>
      <c r="E367" s="329">
        <v>-8.376750000000003</v>
      </c>
      <c r="F367" s="157"/>
      <c r="G367" s="330">
        <v>631004</v>
      </c>
      <c r="H367" s="329">
        <v>-8.376750000000003</v>
      </c>
      <c r="I367" s="157"/>
      <c r="J367" s="330">
        <v>631004</v>
      </c>
      <c r="K367" s="329">
        <v>-8.376750000000003</v>
      </c>
      <c r="L367" s="157"/>
      <c r="M367" s="360">
        <f t="shared" si="35"/>
        <v>631004</v>
      </c>
      <c r="N367" s="237">
        <f t="shared" si="36"/>
        <v>-8.376750000000003</v>
      </c>
      <c r="O367" s="361"/>
      <c r="P367" s="361"/>
      <c r="Q367" s="361" t="s">
        <v>698</v>
      </c>
      <c r="R367" s="362">
        <f>IF(Q367="ekrk",INDEX(indexy_SDcast!$A:$C,MATCH($M367,indexy_SDcast!$A:$A,0),2),"")</f>
        <v>25</v>
      </c>
      <c r="S367" s="236"/>
      <c r="T367" s="364">
        <f t="shared" si="37"/>
        <v>631004</v>
      </c>
      <c r="U367" s="365">
        <f t="shared" si="40"/>
        <v>-8.376750000000003</v>
      </c>
      <c r="V367" s="365">
        <f>IF($Q367="ekrk",IF($R367="data",IFERROR(INDEX(data!$A:$ALL,MATCH($M367,data!$A:$A,0),MATCH(V$2,data!$1:$1,0)),"#data"),IFERROR(U367*INDEX(indexy_SDcast!$A:$ALI,MATCH($R367,indexy_SDcast!$K:$K,0),MATCH(V$2,indexy_SDcast!$2:$2,0)),"#ekrk")),"#popis")</f>
        <v>-8.4399734745727848</v>
      </c>
      <c r="W367" s="365">
        <f>IF($Q367="ekrk",IF($R367="data",IFERROR(INDEX(data!$A:$ALL,MATCH($M367,data!$A:$A,0),MATCH(W$2,data!$1:$1,0)),"#data"),IFERROR(V367*INDEX(indexy_SDcast!$A:$ALI,MATCH($R367,indexy_SDcast!$K:$K,0),MATCH(W$2,indexy_SDcast!$2:$2,0)),"#ekrk")),"#popis")</f>
        <v>-8.6150998047067926</v>
      </c>
      <c r="X367" s="365">
        <f>IF($Q367="ekrk",IF($R367="data",IFERROR(INDEX(data!$A:$ALL,MATCH($M367,data!$A:$A,0),MATCH(X$2,data!$1:$1,0)),"#data"),IFERROR(W367*INDEX(indexy_SDcast!$A:$ALI,MATCH($R367,indexy_SDcast!$K:$K,0),MATCH(X$2,indexy_SDcast!$2:$2,0)),"#ekrk")),"#popis")</f>
        <v>-8.8110727463711829</v>
      </c>
      <c r="Y367" s="362">
        <f>IF($Q367="ekrk",IF($R367="data",IFERROR(INDEX(data!$A:$ALL,MATCH($M367,data!$A:$A,0),MATCH(Y$2,data!$1:$1,0)),"#data"),IFERROR(X367*INDEX(indexy_SDcast!$A:$ALI,MATCH($R367,indexy_SDcast!$K:$K,0),MATCH(Y$2,indexy_SDcast!$2:$2,0)),"#ekrk")),"#popis")</f>
        <v>-9.0186030446272518</v>
      </c>
    </row>
    <row r="368" spans="1:44" x14ac:dyDescent="0.25">
      <c r="A368" s="330">
        <v>632001</v>
      </c>
      <c r="B368" s="329">
        <v>-167001.04225999996</v>
      </c>
      <c r="C368" s="157"/>
      <c r="D368" s="330">
        <v>632001</v>
      </c>
      <c r="E368" s="329">
        <v>-167001.04225999996</v>
      </c>
      <c r="F368" s="157"/>
      <c r="G368" s="330">
        <v>632001</v>
      </c>
      <c r="H368" s="329">
        <v>-167001.04225999996</v>
      </c>
      <c r="I368" s="157"/>
      <c r="J368" s="330">
        <v>632001</v>
      </c>
      <c r="K368" s="329">
        <v>-167001.04225999996</v>
      </c>
      <c r="L368" s="157"/>
      <c r="M368" s="360">
        <f t="shared" ref="M368:M431" si="41">J368</f>
        <v>632001</v>
      </c>
      <c r="N368" s="237">
        <f t="shared" ref="N368:N431" si="42">K368</f>
        <v>-167001.04225999996</v>
      </c>
      <c r="O368" s="361"/>
      <c r="P368" s="361"/>
      <c r="Q368" s="361" t="s">
        <v>698</v>
      </c>
      <c r="R368" s="362">
        <f>IF(Q368="ekrk",INDEX(indexy_SDcast!$A:$C,MATCH($M368,indexy_SDcast!$A:$A,0),2),"")</f>
        <v>25</v>
      </c>
      <c r="S368" s="236"/>
      <c r="T368" s="364">
        <f t="shared" si="37"/>
        <v>632001</v>
      </c>
      <c r="U368" s="365">
        <f t="shared" si="40"/>
        <v>-167001.04225999996</v>
      </c>
      <c r="V368" s="365">
        <f>IF($Q368="ekrk",IF($R368="data",IFERROR(INDEX(data!$A:$ALL,MATCH($M368,data!$A:$A,0),MATCH(V$2,data!$1:$1,0)),"#data"),IFERROR(U368*INDEX(indexy_SDcast!$A:$ALI,MATCH($R368,indexy_SDcast!$K:$K,0),MATCH(V$2,indexy_SDcast!$2:$2,0)),"#ekrk")),"#popis")</f>
        <v>-168261.48170834844</v>
      </c>
      <c r="W368" s="365">
        <f>IF($Q368="ekrk",IF($R368="data",IFERROR(INDEX(data!$A:$ALL,MATCH($M368,data!$A:$A,0),MATCH(W$2,data!$1:$1,0)),"#data"),IFERROR(V368*INDEX(indexy_SDcast!$A:$ALI,MATCH($R368,indexy_SDcast!$K:$K,0),MATCH(W$2,indexy_SDcast!$2:$2,0)),"#ekrk")),"#popis")</f>
        <v>-171752.84526337252</v>
      </c>
      <c r="X368" s="365">
        <f>IF($Q368="ekrk",IF($R368="data",IFERROR(INDEX(data!$A:$ALL,MATCH($M368,data!$A:$A,0),MATCH(X$2,data!$1:$1,0)),"#data"),IFERROR(W368*INDEX(indexy_SDcast!$A:$ALI,MATCH($R368,indexy_SDcast!$K:$K,0),MATCH(X$2,indexy_SDcast!$2:$2,0)),"#ekrk")),"#popis")</f>
        <v>-175659.8122270173</v>
      </c>
      <c r="Y368" s="362">
        <f>IF($Q368="ekrk",IF($R368="data",IFERROR(INDEX(data!$A:$ALL,MATCH($M368,data!$A:$A,0),MATCH(Y$2,data!$1:$1,0)),"#data"),IFERROR(X368*INDEX(indexy_SDcast!$A:$ALI,MATCH($R368,indexy_SDcast!$K:$K,0),MATCH(Y$2,indexy_SDcast!$2:$2,0)),"#ekrk")),"#popis")</f>
        <v>-179797.18962389464</v>
      </c>
    </row>
    <row r="369" spans="1:25" x14ac:dyDescent="0.25">
      <c r="A369" s="330">
        <v>632002</v>
      </c>
      <c r="B369" s="329">
        <v>-18302.378419999997</v>
      </c>
      <c r="C369" s="157"/>
      <c r="D369" s="330">
        <v>632002</v>
      </c>
      <c r="E369" s="329">
        <v>-18302.378419999997</v>
      </c>
      <c r="F369" s="157"/>
      <c r="G369" s="330">
        <v>632002</v>
      </c>
      <c r="H369" s="329">
        <v>-18302.378419999997</v>
      </c>
      <c r="I369" s="157"/>
      <c r="J369" s="330">
        <v>632002</v>
      </c>
      <c r="K369" s="329">
        <v>-18302.378419999997</v>
      </c>
      <c r="L369" s="157"/>
      <c r="M369" s="360">
        <f t="shared" si="41"/>
        <v>632002</v>
      </c>
      <c r="N369" s="237">
        <f t="shared" si="42"/>
        <v>-18302.378419999997</v>
      </c>
      <c r="O369" s="361"/>
      <c r="P369" s="361"/>
      <c r="Q369" s="361" t="s">
        <v>698</v>
      </c>
      <c r="R369" s="362">
        <f>IF(Q369="ekrk",INDEX(indexy_SDcast!$A:$C,MATCH($M369,indexy_SDcast!$A:$A,0),2),"")</f>
        <v>25</v>
      </c>
      <c r="S369" s="236"/>
      <c r="T369" s="364">
        <f t="shared" si="37"/>
        <v>632002</v>
      </c>
      <c r="U369" s="365">
        <f t="shared" si="40"/>
        <v>-18302.378419999997</v>
      </c>
      <c r="V369" s="365">
        <f>IF($Q369="ekrk",IF($R369="data",IFERROR(INDEX(data!$A:$ALL,MATCH($M369,data!$A:$A,0),MATCH(V$2,data!$1:$1,0)),"#data"),IFERROR(U369*INDEX(indexy_SDcast!$A:$ALI,MATCH($R369,indexy_SDcast!$K:$K,0),MATCH(V$2,indexy_SDcast!$2:$2,0)),"#ekrk")),"#popis")</f>
        <v>-18440.51552050536</v>
      </c>
      <c r="W369" s="365">
        <f>IF($Q369="ekrk",IF($R369="data",IFERROR(INDEX(data!$A:$ALL,MATCH($M369,data!$A:$A,0),MATCH(W$2,data!$1:$1,0)),"#data"),IFERROR(V369*INDEX(indexy_SDcast!$A:$ALI,MATCH($R369,indexy_SDcast!$K:$K,0),MATCH(W$2,indexy_SDcast!$2:$2,0)),"#ekrk")),"#popis")</f>
        <v>-18823.149401833853</v>
      </c>
      <c r="X369" s="365">
        <f>IF($Q369="ekrk",IF($R369="data",IFERROR(INDEX(data!$A:$ALL,MATCH($M369,data!$A:$A,0),MATCH(X$2,data!$1:$1,0)),"#data"),IFERROR(W369*INDEX(indexy_SDcast!$A:$ALI,MATCH($R369,indexy_SDcast!$K:$K,0),MATCH(X$2,indexy_SDcast!$2:$2,0)),"#ekrk")),"#popis")</f>
        <v>-19251.331087860326</v>
      </c>
      <c r="Y369" s="362">
        <f>IF($Q369="ekrk",IF($R369="data",IFERROR(INDEX(data!$A:$ALL,MATCH($M369,data!$A:$A,0),MATCH(Y$2,data!$1:$1,0)),"#data"),IFERROR(X369*INDEX(indexy_SDcast!$A:$ALI,MATCH($R369,indexy_SDcast!$K:$K,0),MATCH(Y$2,indexy_SDcast!$2:$2,0)),"#ekrk")),"#popis")</f>
        <v>-19704.764466234759</v>
      </c>
    </row>
    <row r="370" spans="1:25" x14ac:dyDescent="0.25">
      <c r="A370" s="330">
        <v>632003</v>
      </c>
      <c r="B370" s="329">
        <v>-8909.3976599999896</v>
      </c>
      <c r="C370" s="157"/>
      <c r="D370" s="330">
        <v>632003</v>
      </c>
      <c r="E370" s="329">
        <v>-8909.3976599999896</v>
      </c>
      <c r="F370" s="157"/>
      <c r="G370" s="330">
        <v>632003</v>
      </c>
      <c r="H370" s="329">
        <v>-8909.3976599999896</v>
      </c>
      <c r="I370" s="157"/>
      <c r="J370" s="330">
        <v>632003</v>
      </c>
      <c r="K370" s="329">
        <v>-8909.3976599999896</v>
      </c>
      <c r="L370" s="157"/>
      <c r="M370" s="360">
        <f t="shared" si="41"/>
        <v>632003</v>
      </c>
      <c r="N370" s="237">
        <f t="shared" si="42"/>
        <v>-8909.3976599999896</v>
      </c>
      <c r="O370" s="361"/>
      <c r="P370" s="361"/>
      <c r="Q370" s="361" t="s">
        <v>698</v>
      </c>
      <c r="R370" s="362">
        <f>IF(Q370="ekrk",INDEX(indexy_SDcast!$A:$C,MATCH($M370,indexy_SDcast!$A:$A,0),2),"")</f>
        <v>25</v>
      </c>
      <c r="S370" s="236"/>
      <c r="T370" s="364">
        <f t="shared" si="37"/>
        <v>632003</v>
      </c>
      <c r="U370" s="365">
        <f t="shared" si="40"/>
        <v>-8909.3976599999896</v>
      </c>
      <c r="V370" s="365">
        <f>IF($Q370="ekrk",IF($R370="data",IFERROR(INDEX(data!$A:$ALL,MATCH($M370,data!$A:$A,0),MATCH(V$2,data!$1:$1,0)),"#data"),IFERROR(U370*INDEX(indexy_SDcast!$A:$ALI,MATCH($R370,indexy_SDcast!$K:$K,0),MATCH(V$2,indexy_SDcast!$2:$2,0)),"#ekrk")),"#popis")</f>
        <v>-8976.6412898583239</v>
      </c>
      <c r="W370" s="365">
        <f>IF($Q370="ekrk",IF($R370="data",IFERROR(INDEX(data!$A:$ALL,MATCH($M370,data!$A:$A,0),MATCH(W$2,data!$1:$1,0)),"#data"),IFERROR(V370*INDEX(indexy_SDcast!$A:$ALI,MATCH($R370,indexy_SDcast!$K:$K,0),MATCH(W$2,indexy_SDcast!$2:$2,0)),"#ekrk")),"#popis")</f>
        <v>-9162.9032788039549</v>
      </c>
      <c r="X370" s="365">
        <f>IF($Q370="ekrk",IF($R370="data",IFERROR(INDEX(data!$A:$ALL,MATCH($M370,data!$A:$A,0),MATCH(X$2,data!$1:$1,0)),"#data"),IFERROR(W370*INDEX(indexy_SDcast!$A:$ALI,MATCH($R370,indexy_SDcast!$K:$K,0),MATCH(X$2,indexy_SDcast!$2:$2,0)),"#ekrk")),"#popis")</f>
        <v>-9371.3374409656572</v>
      </c>
      <c r="Y370" s="362">
        <f>IF($Q370="ekrk",IF($R370="data",IFERROR(INDEX(data!$A:$ALL,MATCH($M370,data!$A:$A,0),MATCH(Y$2,data!$1:$1,0)),"#data"),IFERROR(X370*INDEX(indexy_SDcast!$A:$ALI,MATCH($R370,indexy_SDcast!$K:$K,0),MATCH(Y$2,indexy_SDcast!$2:$2,0)),"#ekrk")),"#popis")</f>
        <v>-9592.0638508097763</v>
      </c>
    </row>
    <row r="371" spans="1:25" x14ac:dyDescent="0.25">
      <c r="A371" s="330">
        <v>632004</v>
      </c>
      <c r="B371" s="329">
        <v>-966.80260999999928</v>
      </c>
      <c r="C371" s="157"/>
      <c r="D371" s="330">
        <v>632004</v>
      </c>
      <c r="E371" s="329">
        <v>-966.80260999999928</v>
      </c>
      <c r="F371" s="157"/>
      <c r="G371" s="330">
        <v>632004</v>
      </c>
      <c r="H371" s="329">
        <v>-966.80260999999928</v>
      </c>
      <c r="I371" s="157"/>
      <c r="J371" s="330">
        <v>632004</v>
      </c>
      <c r="K371" s="329">
        <v>-966.80260999999928</v>
      </c>
      <c r="L371" s="157"/>
      <c r="M371" s="360">
        <f t="shared" si="41"/>
        <v>632004</v>
      </c>
      <c r="N371" s="237">
        <f t="shared" si="42"/>
        <v>-966.80260999999928</v>
      </c>
      <c r="O371" s="361"/>
      <c r="P371" s="361"/>
      <c r="Q371" s="361" t="s">
        <v>698</v>
      </c>
      <c r="R371" s="362">
        <f>IF(Q371="ekrk",INDEX(indexy_SDcast!$A:$C,MATCH($M371,indexy_SDcast!$A:$A,0),2),"")</f>
        <v>25</v>
      </c>
      <c r="S371" s="236"/>
      <c r="T371" s="364">
        <f t="shared" si="37"/>
        <v>632004</v>
      </c>
      <c r="U371" s="365">
        <f t="shared" si="40"/>
        <v>-966.80260999999928</v>
      </c>
      <c r="V371" s="365">
        <f>IF($Q371="ekrk",IF($R371="data",IFERROR(INDEX(data!$A:$ALL,MATCH($M371,data!$A:$A,0),MATCH(V$2,data!$1:$1,0)),"#data"),IFERROR(U371*INDEX(indexy_SDcast!$A:$ALI,MATCH($R371,indexy_SDcast!$K:$K,0),MATCH(V$2,indexy_SDcast!$2:$2,0)),"#ekrk")),"#popis")</f>
        <v>-974.09954738385738</v>
      </c>
      <c r="W371" s="365">
        <f>IF($Q371="ekrk",IF($R371="data",IFERROR(INDEX(data!$A:$ALL,MATCH($M371,data!$A:$A,0),MATCH(W$2,data!$1:$1,0)),"#data"),IFERROR(V371*INDEX(indexy_SDcast!$A:$ALI,MATCH($R371,indexy_SDcast!$K:$K,0),MATCH(W$2,indexy_SDcast!$2:$2,0)),"#ekrk")),"#popis")</f>
        <v>-994.31175295920343</v>
      </c>
      <c r="X371" s="365">
        <f>IF($Q371="ekrk",IF($R371="data",IFERROR(INDEX(data!$A:$ALL,MATCH($M371,data!$A:$A,0),MATCH(X$2,data!$1:$1,0)),"#data"),IFERROR(W371*INDEX(indexy_SDcast!$A:$ALI,MATCH($R371,indexy_SDcast!$K:$K,0),MATCH(X$2,indexy_SDcast!$2:$2,0)),"#ekrk")),"#popis")</f>
        <v>-1016.9299702261042</v>
      </c>
      <c r="Y371" s="362">
        <f>IF($Q371="ekrk",IF($R371="data",IFERROR(INDEX(data!$A:$ALL,MATCH($M371,data!$A:$A,0),MATCH(Y$2,data!$1:$1,0)),"#data"),IFERROR(X371*INDEX(indexy_SDcast!$A:$ALI,MATCH($R371,indexy_SDcast!$K:$K,0),MATCH(Y$2,indexy_SDcast!$2:$2,0)),"#ekrk")),"#popis")</f>
        <v>-1040.8820798161057</v>
      </c>
    </row>
    <row r="372" spans="1:25" x14ac:dyDescent="0.25">
      <c r="A372" s="330">
        <v>633001</v>
      </c>
      <c r="B372" s="329">
        <v>-14492.121929999985</v>
      </c>
      <c r="C372" s="157"/>
      <c r="D372" s="330">
        <v>633001</v>
      </c>
      <c r="E372" s="329">
        <v>-14492.121929999985</v>
      </c>
      <c r="F372" s="157"/>
      <c r="G372" s="330">
        <v>633001</v>
      </c>
      <c r="H372" s="329">
        <v>-14492.121929999985</v>
      </c>
      <c r="I372" s="157"/>
      <c r="J372" s="330">
        <v>633001</v>
      </c>
      <c r="K372" s="329">
        <v>-14492.121929999985</v>
      </c>
      <c r="L372" s="157"/>
      <c r="M372" s="360">
        <f t="shared" si="41"/>
        <v>633001</v>
      </c>
      <c r="N372" s="237">
        <f t="shared" si="42"/>
        <v>-14492.121929999985</v>
      </c>
      <c r="O372" s="361"/>
      <c r="P372" s="361"/>
      <c r="Q372" s="361" t="s">
        <v>698</v>
      </c>
      <c r="R372" s="362">
        <f>IF(Q372="ekrk",INDEX(indexy_SDcast!$A:$C,MATCH($M372,indexy_SDcast!$A:$A,0),2),"")</f>
        <v>25</v>
      </c>
      <c r="S372" s="236"/>
      <c r="T372" s="364">
        <f t="shared" ref="T372:T435" si="43">M372</f>
        <v>633001</v>
      </c>
      <c r="U372" s="365">
        <f t="shared" si="40"/>
        <v>-14492.121929999985</v>
      </c>
      <c r="V372" s="365">
        <f>IF($Q372="ekrk",IF($R372="data",IFERROR(INDEX(data!$A:$ALL,MATCH($M372,data!$A:$A,0),MATCH(V$2,data!$1:$1,0)),"#data"),IFERROR(U372*INDEX(indexy_SDcast!$A:$ALI,MATCH($R372,indexy_SDcast!$K:$K,0),MATCH(V$2,indexy_SDcast!$2:$2,0)),"#ekrk")),"#popis")</f>
        <v>-14601.501140594428</v>
      </c>
      <c r="W372" s="365">
        <f>IF($Q372="ekrk",IF($R372="data",IFERROR(INDEX(data!$A:$ALL,MATCH($M372,data!$A:$A,0),MATCH(W$2,data!$1:$1,0)),"#data"),IFERROR(V372*INDEX(indexy_SDcast!$A:$ALI,MATCH($R372,indexy_SDcast!$K:$K,0),MATCH(W$2,indexy_SDcast!$2:$2,0)),"#ekrk")),"#popis")</f>
        <v>-14904.476892461855</v>
      </c>
      <c r="X372" s="365">
        <f>IF($Q372="ekrk",IF($R372="data",IFERROR(INDEX(data!$A:$ALL,MATCH($M372,data!$A:$A,0),MATCH(X$2,data!$1:$1,0)),"#data"),IFERROR(W372*INDEX(indexy_SDcast!$A:$ALI,MATCH($R372,indexy_SDcast!$K:$K,0),MATCH(X$2,indexy_SDcast!$2:$2,0)),"#ekrk")),"#popis")</f>
        <v>-15243.51813943486</v>
      </c>
      <c r="Y372" s="362">
        <f>IF($Q372="ekrk",IF($R372="data",IFERROR(INDEX(data!$A:$ALL,MATCH($M372,data!$A:$A,0),MATCH(Y$2,data!$1:$1,0)),"#data"),IFERROR(X372*INDEX(indexy_SDcast!$A:$ALI,MATCH($R372,indexy_SDcast!$K:$K,0),MATCH(Y$2,indexy_SDcast!$2:$2,0)),"#ekrk")),"#popis")</f>
        <v>-15602.554088519673</v>
      </c>
    </row>
    <row r="373" spans="1:25" x14ac:dyDescent="0.25">
      <c r="A373" s="330">
        <v>633002</v>
      </c>
      <c r="B373" s="329">
        <v>-9180.7726999999977</v>
      </c>
      <c r="C373" s="157"/>
      <c r="D373" s="330">
        <v>633002</v>
      </c>
      <c r="E373" s="329">
        <v>-9180.7726999999977</v>
      </c>
      <c r="F373" s="157"/>
      <c r="G373" s="330">
        <v>633002</v>
      </c>
      <c r="H373" s="329">
        <v>-9180.7726999999977</v>
      </c>
      <c r="I373" s="157"/>
      <c r="J373" s="330">
        <v>633002</v>
      </c>
      <c r="K373" s="329">
        <v>-9180.7726999999977</v>
      </c>
      <c r="L373" s="157"/>
      <c r="M373" s="360">
        <f t="shared" si="41"/>
        <v>633002</v>
      </c>
      <c r="N373" s="237">
        <f t="shared" si="42"/>
        <v>-9180.7726999999977</v>
      </c>
      <c r="O373" s="361"/>
      <c r="P373" s="361"/>
      <c r="Q373" s="361" t="s">
        <v>698</v>
      </c>
      <c r="R373" s="362">
        <f>IF(Q373="ekrk",INDEX(indexy_SDcast!$A:$C,MATCH($M373,indexy_SDcast!$A:$A,0),2),"")</f>
        <v>25</v>
      </c>
      <c r="S373" s="236"/>
      <c r="T373" s="364">
        <f t="shared" si="43"/>
        <v>633002</v>
      </c>
      <c r="U373" s="365">
        <f t="shared" si="40"/>
        <v>-9180.7726999999977</v>
      </c>
      <c r="V373" s="365">
        <f>IF($Q373="ekrk",IF($R373="data",IFERROR(INDEX(data!$A:$ALL,MATCH($M373,data!$A:$A,0),MATCH(V$2,data!$1:$1,0)),"#data"),IFERROR(U373*INDEX(indexy_SDcast!$A:$ALI,MATCH($R373,indexy_SDcast!$K:$K,0),MATCH(V$2,indexy_SDcast!$2:$2,0)),"#ekrk")),"#popis")</f>
        <v>-9250.0645314808153</v>
      </c>
      <c r="W373" s="365">
        <f>IF($Q373="ekrk",IF($R373="data",IFERROR(INDEX(data!$A:$ALL,MATCH($M373,data!$A:$A,0),MATCH(W$2,data!$1:$1,0)),"#data"),IFERROR(V373*INDEX(indexy_SDcast!$A:$ALI,MATCH($R373,indexy_SDcast!$K:$K,0),MATCH(W$2,indexy_SDcast!$2:$2,0)),"#ekrk")),"#popis")</f>
        <v>-9441.9999516312892</v>
      </c>
      <c r="X373" s="365">
        <f>IF($Q373="ekrk",IF($R373="data",IFERROR(INDEX(data!$A:$ALL,MATCH($M373,data!$A:$A,0),MATCH(X$2,data!$1:$1,0)),"#data"),IFERROR(W373*INDEX(indexy_SDcast!$A:$ALI,MATCH($R373,indexy_SDcast!$K:$K,0),MATCH(X$2,indexy_SDcast!$2:$2,0)),"#ekrk")),"#popis")</f>
        <v>-9656.7828964214677</v>
      </c>
      <c r="Y373" s="362">
        <f>IF($Q373="ekrk",IF($R373="data",IFERROR(INDEX(data!$A:$ALL,MATCH($M373,data!$A:$A,0),MATCH(Y$2,data!$1:$1,0)),"#data"),IFERROR(X373*INDEX(indexy_SDcast!$A:$ALI,MATCH($R373,indexy_SDcast!$K:$K,0),MATCH(Y$2,indexy_SDcast!$2:$2,0)),"#ekrk")),"#popis")</f>
        <v>-9884.2325035665035</v>
      </c>
    </row>
    <row r="374" spans="1:25" x14ac:dyDescent="0.25">
      <c r="A374" s="330">
        <v>633003</v>
      </c>
      <c r="B374" s="329">
        <v>-675.47551000000021</v>
      </c>
      <c r="C374" s="157"/>
      <c r="D374" s="330">
        <v>633003</v>
      </c>
      <c r="E374" s="329">
        <v>-675.47551000000021</v>
      </c>
      <c r="F374" s="157"/>
      <c r="G374" s="330">
        <v>633003</v>
      </c>
      <c r="H374" s="329">
        <v>-675.47551000000021</v>
      </c>
      <c r="I374" s="157"/>
      <c r="J374" s="330">
        <v>633003</v>
      </c>
      <c r="K374" s="329">
        <v>-675.47551000000021</v>
      </c>
      <c r="L374" s="157"/>
      <c r="M374" s="360">
        <f t="shared" si="41"/>
        <v>633003</v>
      </c>
      <c r="N374" s="237">
        <f t="shared" si="42"/>
        <v>-675.47551000000021</v>
      </c>
      <c r="O374" s="361"/>
      <c r="P374" s="361"/>
      <c r="Q374" s="361" t="s">
        <v>698</v>
      </c>
      <c r="R374" s="362">
        <f>IF(Q374="ekrk",INDEX(indexy_SDcast!$A:$C,MATCH($M374,indexy_SDcast!$A:$A,0),2),"")</f>
        <v>25</v>
      </c>
      <c r="S374" s="236"/>
      <c r="T374" s="364">
        <f t="shared" si="43"/>
        <v>633003</v>
      </c>
      <c r="U374" s="365">
        <f t="shared" si="40"/>
        <v>-675.47551000000021</v>
      </c>
      <c r="V374" s="365">
        <f>IF($Q374="ekrk",IF($R374="data",IFERROR(INDEX(data!$A:$ALL,MATCH($M374,data!$A:$A,0),MATCH(V$2,data!$1:$1,0)),"#data"),IFERROR(U374*INDEX(indexy_SDcast!$A:$ALI,MATCH($R374,indexy_SDcast!$K:$K,0),MATCH(V$2,indexy_SDcast!$2:$2,0)),"#ekrk")),"#popis")</f>
        <v>-680.57365769821513</v>
      </c>
      <c r="W374" s="365">
        <f>IF($Q374="ekrk",IF($R374="data",IFERROR(INDEX(data!$A:$ALL,MATCH($M374,data!$A:$A,0),MATCH(W$2,data!$1:$1,0)),"#data"),IFERROR(V374*INDEX(indexy_SDcast!$A:$ALI,MATCH($R374,indexy_SDcast!$K:$K,0),MATCH(W$2,indexy_SDcast!$2:$2,0)),"#ekrk")),"#popis")</f>
        <v>-694.69530955146331</v>
      </c>
      <c r="X374" s="365">
        <f>IF($Q374="ekrk",IF($R374="data",IFERROR(INDEX(data!$A:$ALL,MATCH($M374,data!$A:$A,0),MATCH(X$2,data!$1:$1,0)),"#data"),IFERROR(W374*INDEX(indexy_SDcast!$A:$ALI,MATCH($R374,indexy_SDcast!$K:$K,0),MATCH(X$2,indexy_SDcast!$2:$2,0)),"#ekrk")),"#popis")</f>
        <v>-710.49796842476792</v>
      </c>
      <c r="Y374" s="362">
        <f>IF($Q374="ekrk",IF($R374="data",IFERROR(INDEX(data!$A:$ALL,MATCH($M374,data!$A:$A,0),MATCH(Y$2,data!$1:$1,0)),"#data"),IFERROR(X374*INDEX(indexy_SDcast!$A:$ALI,MATCH($R374,indexy_SDcast!$K:$K,0),MATCH(Y$2,indexy_SDcast!$2:$2,0)),"#ekrk")),"#popis")</f>
        <v>-727.23257719964727</v>
      </c>
    </row>
    <row r="375" spans="1:25" x14ac:dyDescent="0.25">
      <c r="A375" s="330">
        <v>633004</v>
      </c>
      <c r="B375" s="329">
        <v>-6837.2796700000044</v>
      </c>
      <c r="C375" s="157"/>
      <c r="D375" s="330">
        <v>633004</v>
      </c>
      <c r="E375" s="329">
        <v>-6837.2796700000044</v>
      </c>
      <c r="F375" s="157"/>
      <c r="G375" s="330">
        <v>633004</v>
      </c>
      <c r="H375" s="329">
        <v>-6837.2796700000044</v>
      </c>
      <c r="I375" s="157"/>
      <c r="J375" s="330">
        <v>633004</v>
      </c>
      <c r="K375" s="329">
        <v>-6837.2796700000044</v>
      </c>
      <c r="L375" s="157"/>
      <c r="M375" s="360">
        <f t="shared" si="41"/>
        <v>633004</v>
      </c>
      <c r="N375" s="237">
        <f t="shared" si="42"/>
        <v>-6837.2796700000044</v>
      </c>
      <c r="O375" s="361"/>
      <c r="P375" s="361"/>
      <c r="Q375" s="361" t="s">
        <v>698</v>
      </c>
      <c r="R375" s="362">
        <f>IF(Q375="ekrk",INDEX(indexy_SDcast!$A:$C,MATCH($M375,indexy_SDcast!$A:$A,0),2),"")</f>
        <v>25</v>
      </c>
      <c r="S375" s="236"/>
      <c r="T375" s="364">
        <f t="shared" si="43"/>
        <v>633004</v>
      </c>
      <c r="U375" s="365">
        <f t="shared" si="40"/>
        <v>-6837.2796700000044</v>
      </c>
      <c r="V375" s="365">
        <f>IF($Q375="ekrk",IF($R375="data",IFERROR(INDEX(data!$A:$ALL,MATCH($M375,data!$A:$A,0),MATCH(V$2,data!$1:$1,0)),"#data"),IFERROR(U375*INDEX(indexy_SDcast!$A:$ALI,MATCH($R375,indexy_SDcast!$K:$K,0),MATCH(V$2,indexy_SDcast!$2:$2,0)),"#ekrk")),"#popis")</f>
        <v>-6888.884000720539</v>
      </c>
      <c r="W375" s="365">
        <f>IF($Q375="ekrk",IF($R375="data",IFERROR(INDEX(data!$A:$ALL,MATCH($M375,data!$A:$A,0),MATCH(W$2,data!$1:$1,0)),"#data"),IFERROR(V375*INDEX(indexy_SDcast!$A:$ALI,MATCH($R375,indexy_SDcast!$K:$K,0),MATCH(W$2,indexy_SDcast!$2:$2,0)),"#ekrk")),"#popis")</f>
        <v>-7031.8257975638207</v>
      </c>
      <c r="X375" s="365">
        <f>IF($Q375="ekrk",IF($R375="data",IFERROR(INDEX(data!$A:$ALL,MATCH($M375,data!$A:$A,0),MATCH(X$2,data!$1:$1,0)),"#data"),IFERROR(W375*INDEX(indexy_SDcast!$A:$ALI,MATCH($R375,indexy_SDcast!$K:$K,0),MATCH(X$2,indexy_SDcast!$2:$2,0)),"#ekrk")),"#popis")</f>
        <v>-7191.783037533025</v>
      </c>
      <c r="Y375" s="362">
        <f>IF($Q375="ekrk",IF($R375="data",IFERROR(INDEX(data!$A:$ALL,MATCH($M375,data!$A:$A,0),MATCH(Y$2,data!$1:$1,0)),"#data"),IFERROR(X375*INDEX(indexy_SDcast!$A:$ALI,MATCH($R375,indexy_SDcast!$K:$K,0),MATCH(Y$2,indexy_SDcast!$2:$2,0)),"#ekrk")),"#popis")</f>
        <v>-7361.173635220106</v>
      </c>
    </row>
    <row r="376" spans="1:25" x14ac:dyDescent="0.25">
      <c r="A376" s="330">
        <v>633005</v>
      </c>
      <c r="B376" s="329">
        <v>-336.76369000000005</v>
      </c>
      <c r="C376" s="157"/>
      <c r="D376" s="330">
        <v>633005</v>
      </c>
      <c r="E376" s="329">
        <v>-336.76369000000005</v>
      </c>
      <c r="F376" s="157"/>
      <c r="G376" s="330">
        <v>633005</v>
      </c>
      <c r="H376" s="329">
        <v>-336.76369000000005</v>
      </c>
      <c r="I376" s="157"/>
      <c r="J376" s="330">
        <v>633005</v>
      </c>
      <c r="K376" s="329">
        <v>-336.76369000000005</v>
      </c>
      <c r="L376" s="157"/>
      <c r="M376" s="360">
        <f t="shared" si="41"/>
        <v>633005</v>
      </c>
      <c r="N376" s="237">
        <f t="shared" si="42"/>
        <v>-336.76369000000005</v>
      </c>
      <c r="O376" s="361"/>
      <c r="P376" s="361"/>
      <c r="Q376" s="361" t="s">
        <v>698</v>
      </c>
      <c r="R376" s="362">
        <f>IF(Q376="ekrk",INDEX(indexy_SDcast!$A:$C,MATCH($M376,indexy_SDcast!$A:$A,0),2),"")</f>
        <v>25</v>
      </c>
      <c r="S376" s="236"/>
      <c r="T376" s="364">
        <f t="shared" si="43"/>
        <v>633005</v>
      </c>
      <c r="U376" s="365">
        <f t="shared" si="40"/>
        <v>-336.76369000000005</v>
      </c>
      <c r="V376" s="365">
        <f>IF($Q376="ekrk",IF($R376="data",IFERROR(INDEX(data!$A:$ALL,MATCH($M376,data!$A:$A,0),MATCH(V$2,data!$1:$1,0)),"#data"),IFERROR(U376*INDEX(indexy_SDcast!$A:$ALI,MATCH($R376,indexy_SDcast!$K:$K,0),MATCH(V$2,indexy_SDcast!$2:$2,0)),"#ekrk")),"#popis")</f>
        <v>-339.30541209887502</v>
      </c>
      <c r="W376" s="365">
        <f>IF($Q376="ekrk",IF($R376="data",IFERROR(INDEX(data!$A:$ALL,MATCH($M376,data!$A:$A,0),MATCH(W$2,data!$1:$1,0)),"#data"),IFERROR(V376*INDEX(indexy_SDcast!$A:$ALI,MATCH($R376,indexy_SDcast!$K:$K,0),MATCH(W$2,indexy_SDcast!$2:$2,0)),"#ekrk")),"#popis")</f>
        <v>-346.34587399066913</v>
      </c>
      <c r="X376" s="365">
        <f>IF($Q376="ekrk",IF($R376="data",IFERROR(INDEX(data!$A:$ALL,MATCH($M376,data!$A:$A,0),MATCH(X$2,data!$1:$1,0)),"#data"),IFERROR(W376*INDEX(indexy_SDcast!$A:$ALI,MATCH($R376,indexy_SDcast!$K:$K,0),MATCH(X$2,indexy_SDcast!$2:$2,0)),"#ekrk")),"#popis")</f>
        <v>-354.22441530741548</v>
      </c>
      <c r="Y376" s="362">
        <f>IF($Q376="ekrk",IF($R376="data",IFERROR(INDEX(data!$A:$ALL,MATCH($M376,data!$A:$A,0),MATCH(Y$2,data!$1:$1,0)),"#data"),IFERROR(X376*INDEX(indexy_SDcast!$A:$ALI,MATCH($R376,indexy_SDcast!$K:$K,0),MATCH(Y$2,indexy_SDcast!$2:$2,0)),"#ekrk")),"#popis")</f>
        <v>-362.56758766274595</v>
      </c>
    </row>
    <row r="377" spans="1:25" x14ac:dyDescent="0.25">
      <c r="A377" s="330">
        <v>633006</v>
      </c>
      <c r="B377" s="329">
        <v>-44696.775169999986</v>
      </c>
      <c r="C377" s="157"/>
      <c r="D377" s="330">
        <v>633006</v>
      </c>
      <c r="E377" s="329">
        <v>-44696.775169999986</v>
      </c>
      <c r="F377" s="157"/>
      <c r="G377" s="330">
        <v>633006</v>
      </c>
      <c r="H377" s="329">
        <v>-44696.775169999986</v>
      </c>
      <c r="I377" s="157"/>
      <c r="J377" s="330">
        <v>633006</v>
      </c>
      <c r="K377" s="329">
        <v>-44696.775169999986</v>
      </c>
      <c r="L377" s="157"/>
      <c r="M377" s="360">
        <f t="shared" si="41"/>
        <v>633006</v>
      </c>
      <c r="N377" s="237">
        <f t="shared" si="42"/>
        <v>-44696.775169999986</v>
      </c>
      <c r="O377" s="361"/>
      <c r="P377" s="361"/>
      <c r="Q377" s="361" t="s">
        <v>698</v>
      </c>
      <c r="R377" s="362">
        <f>IF(Q377="ekrk",INDEX(indexy_SDcast!$A:$C,MATCH($M377,indexy_SDcast!$A:$A,0),2),"")</f>
        <v>25</v>
      </c>
      <c r="S377" s="236"/>
      <c r="T377" s="364">
        <f t="shared" si="43"/>
        <v>633006</v>
      </c>
      <c r="U377" s="365">
        <f t="shared" si="40"/>
        <v>-44696.775169999986</v>
      </c>
      <c r="V377" s="365">
        <f>IF($Q377="ekrk",IF($R377="data",IFERROR(INDEX(data!$A:$ALL,MATCH($M377,data!$A:$A,0),MATCH(V$2,data!$1:$1,0)),"#data"),IFERROR(U377*INDEX(indexy_SDcast!$A:$ALI,MATCH($R377,indexy_SDcast!$K:$K,0),MATCH(V$2,indexy_SDcast!$2:$2,0)),"#ekrk")),"#popis")</f>
        <v>-45034.123834869511</v>
      </c>
      <c r="W377" s="365">
        <f>IF($Q377="ekrk",IF($R377="data",IFERROR(INDEX(data!$A:$ALL,MATCH($M377,data!$A:$A,0),MATCH(W$2,data!$1:$1,0)),"#data"),IFERROR(V377*INDEX(indexy_SDcast!$A:$ALI,MATCH($R377,indexy_SDcast!$K:$K,0),MATCH(W$2,indexy_SDcast!$2:$2,0)),"#ekrk")),"#popis")</f>
        <v>-45968.565259568459</v>
      </c>
      <c r="X377" s="365">
        <f>IF($Q377="ekrk",IF($R377="data",IFERROR(INDEX(data!$A:$ALL,MATCH($M377,data!$A:$A,0),MATCH(X$2,data!$1:$1,0)),"#data"),IFERROR(W377*INDEX(indexy_SDcast!$A:$ALI,MATCH($R377,indexy_SDcast!$K:$K,0),MATCH(X$2,indexy_SDcast!$2:$2,0)),"#ekrk")),"#popis")</f>
        <v>-47014.240314091607</v>
      </c>
      <c r="Y377" s="362">
        <f>IF($Q377="ekrk",IF($R377="data",IFERROR(INDEX(data!$A:$ALL,MATCH($M377,data!$A:$A,0),MATCH(Y$2,data!$1:$1,0)),"#data"),IFERROR(X377*INDEX(indexy_SDcast!$A:$ALI,MATCH($R377,indexy_SDcast!$K:$K,0),MATCH(Y$2,indexy_SDcast!$2:$2,0)),"#ekrk")),"#popis")</f>
        <v>-48121.583267159869</v>
      </c>
    </row>
    <row r="378" spans="1:25" x14ac:dyDescent="0.25">
      <c r="A378" s="330">
        <v>633007</v>
      </c>
      <c r="B378" s="329">
        <v>-177.26819000000003</v>
      </c>
      <c r="C378" s="157"/>
      <c r="D378" s="330">
        <v>633007</v>
      </c>
      <c r="E378" s="329">
        <v>-177.26819000000003</v>
      </c>
      <c r="F378" s="157"/>
      <c r="G378" s="330">
        <v>633007</v>
      </c>
      <c r="H378" s="329">
        <v>-177.26819000000003</v>
      </c>
      <c r="I378" s="157"/>
      <c r="J378" s="330">
        <v>633007</v>
      </c>
      <c r="K378" s="329">
        <v>-177.26819000000003</v>
      </c>
      <c r="L378" s="157"/>
      <c r="M378" s="360">
        <f t="shared" si="41"/>
        <v>633007</v>
      </c>
      <c r="N378" s="237">
        <f t="shared" si="42"/>
        <v>-177.26819000000003</v>
      </c>
      <c r="O378" s="361"/>
      <c r="P378" s="361"/>
      <c r="Q378" s="361" t="s">
        <v>698</v>
      </c>
      <c r="R378" s="362">
        <f>IF(Q378="ekrk",INDEX(indexy_SDcast!$A:$C,MATCH($M378,indexy_SDcast!$A:$A,0),2),"")</f>
        <v>25</v>
      </c>
      <c r="S378" s="236"/>
      <c r="T378" s="364">
        <f t="shared" si="43"/>
        <v>633007</v>
      </c>
      <c r="U378" s="365">
        <f t="shared" si="40"/>
        <v>-177.26819000000003</v>
      </c>
      <c r="V378" s="365">
        <f>IF($Q378="ekrk",IF($R378="data",IFERROR(INDEX(data!$A:$ALL,MATCH($M378,data!$A:$A,0),MATCH(V$2,data!$1:$1,0)),"#data"),IFERROR(U378*INDEX(indexy_SDcast!$A:$ALI,MATCH($R378,indexy_SDcast!$K:$K,0),MATCH(V$2,indexy_SDcast!$2:$2,0)),"#ekrk")),"#popis")</f>
        <v>-178.60612068947123</v>
      </c>
      <c r="W378" s="365">
        <f>IF($Q378="ekrk",IF($R378="data",IFERROR(INDEX(data!$A:$ALL,MATCH($M378,data!$A:$A,0),MATCH(W$2,data!$1:$1,0)),"#data"),IFERROR(V378*INDEX(indexy_SDcast!$A:$ALI,MATCH($R378,indexy_SDcast!$K:$K,0),MATCH(W$2,indexy_SDcast!$2:$2,0)),"#ekrk")),"#popis")</f>
        <v>-182.31213167991476</v>
      </c>
      <c r="X378" s="365">
        <f>IF($Q378="ekrk",IF($R378="data",IFERROR(INDEX(data!$A:$ALL,MATCH($M378,data!$A:$A,0),MATCH(X$2,data!$1:$1,0)),"#data"),IFERROR(W378*INDEX(indexy_SDcast!$A:$ALI,MATCH($R378,indexy_SDcast!$K:$K,0),MATCH(X$2,indexy_SDcast!$2:$2,0)),"#ekrk")),"#popis")</f>
        <v>-186.45929718656376</v>
      </c>
      <c r="Y378" s="362">
        <f>IF($Q378="ekrk",IF($R378="data",IFERROR(INDEX(data!$A:$ALL,MATCH($M378,data!$A:$A,0),MATCH(Y$2,data!$1:$1,0)),"#data"),IFERROR(X378*INDEX(indexy_SDcast!$A:$ALI,MATCH($R378,indexy_SDcast!$K:$K,0),MATCH(Y$2,indexy_SDcast!$2:$2,0)),"#ekrk")),"#popis")</f>
        <v>-190.85103865455713</v>
      </c>
    </row>
    <row r="379" spans="1:25" x14ac:dyDescent="0.25">
      <c r="A379" s="330">
        <v>633008</v>
      </c>
      <c r="B379" s="329">
        <v>-3.10087</v>
      </c>
      <c r="C379" s="157"/>
      <c r="D379" s="330">
        <v>633008</v>
      </c>
      <c r="E379" s="329">
        <v>-3.10087</v>
      </c>
      <c r="F379" s="157"/>
      <c r="G379" s="330">
        <v>633008</v>
      </c>
      <c r="H379" s="329">
        <v>-3.10087</v>
      </c>
      <c r="I379" s="157"/>
      <c r="J379" s="330">
        <v>633008</v>
      </c>
      <c r="K379" s="329">
        <v>-3.10087</v>
      </c>
      <c r="L379" s="157"/>
      <c r="M379" s="360">
        <f t="shared" si="41"/>
        <v>633008</v>
      </c>
      <c r="N379" s="237">
        <f t="shared" si="42"/>
        <v>-3.10087</v>
      </c>
      <c r="O379" s="361"/>
      <c r="P379" s="361"/>
      <c r="Q379" s="361" t="s">
        <v>698</v>
      </c>
      <c r="R379" s="362">
        <f>IF(Q379="ekrk",INDEX(indexy_SDcast!$A:$C,MATCH($M379,indexy_SDcast!$A:$A,0),2),"")</f>
        <v>25</v>
      </c>
      <c r="S379" s="236"/>
      <c r="T379" s="364">
        <f t="shared" si="43"/>
        <v>633008</v>
      </c>
      <c r="U379" s="365">
        <f t="shared" si="40"/>
        <v>-3.10087</v>
      </c>
      <c r="V379" s="365">
        <f>IF($Q379="ekrk",IF($R379="data",IFERROR(INDEX(data!$A:$ALL,MATCH($M379,data!$A:$A,0),MATCH(V$2,data!$1:$1,0)),"#data"),IFERROR(U379*INDEX(indexy_SDcast!$A:$ALI,MATCH($R379,indexy_SDcast!$K:$K,0),MATCH(V$2,indexy_SDcast!$2:$2,0)),"#ekrk")),"#popis")</f>
        <v>-3.1242737992775838</v>
      </c>
      <c r="W379" s="365">
        <f>IF($Q379="ekrk",IF($R379="data",IFERROR(INDEX(data!$A:$ALL,MATCH($M379,data!$A:$A,0),MATCH(W$2,data!$1:$1,0)),"#data"),IFERROR(V379*INDEX(indexy_SDcast!$A:$ALI,MATCH($R379,indexy_SDcast!$K:$K,0),MATCH(W$2,indexy_SDcast!$2:$2,0)),"#ekrk")),"#popis")</f>
        <v>-3.1891013258627914</v>
      </c>
      <c r="X379" s="365">
        <f>IF($Q379="ekrk",IF($R379="data",IFERROR(INDEX(data!$A:$ALL,MATCH($M379,data!$A:$A,0),MATCH(X$2,data!$1:$1,0)),"#data"),IFERROR(W379*INDEX(indexy_SDcast!$A:$ALI,MATCH($R379,indexy_SDcast!$K:$K,0),MATCH(X$2,indexy_SDcast!$2:$2,0)),"#ekrk")),"#popis")</f>
        <v>-3.2616457632184317</v>
      </c>
      <c r="Y379" s="362">
        <f>IF($Q379="ekrk",IF($R379="data",IFERROR(INDEX(data!$A:$ALL,MATCH($M379,data!$A:$A,0),MATCH(Y$2,data!$1:$1,0)),"#data"),IFERROR(X379*INDEX(indexy_SDcast!$A:$ALI,MATCH($R379,indexy_SDcast!$K:$K,0),MATCH(Y$2,indexy_SDcast!$2:$2,0)),"#ekrk")),"#popis")</f>
        <v>-3.338468454113265</v>
      </c>
    </row>
    <row r="380" spans="1:25" x14ac:dyDescent="0.25">
      <c r="A380" s="330">
        <v>633009</v>
      </c>
      <c r="B380" s="329">
        <v>-21320.951009999997</v>
      </c>
      <c r="C380" s="157"/>
      <c r="D380" s="330">
        <v>633009</v>
      </c>
      <c r="E380" s="329">
        <v>-21320.951009999997</v>
      </c>
      <c r="F380" s="157"/>
      <c r="G380" s="330">
        <v>633009</v>
      </c>
      <c r="H380" s="329">
        <v>-21320.951009999997</v>
      </c>
      <c r="I380" s="157"/>
      <c r="J380" s="330">
        <v>633009</v>
      </c>
      <c r="K380" s="329">
        <v>-21320.951009999997</v>
      </c>
      <c r="L380" s="157"/>
      <c r="M380" s="360">
        <f t="shared" si="41"/>
        <v>633009</v>
      </c>
      <c r="N380" s="237">
        <f t="shared" si="42"/>
        <v>-21320.951009999997</v>
      </c>
      <c r="O380" s="361"/>
      <c r="P380" s="361"/>
      <c r="Q380" s="361" t="s">
        <v>698</v>
      </c>
      <c r="R380" s="362">
        <f>IF(Q380="ekrk",INDEX(indexy_SDcast!$A:$C,MATCH($M380,indexy_SDcast!$A:$A,0),2),"")</f>
        <v>25</v>
      </c>
      <c r="S380" s="236"/>
      <c r="T380" s="364">
        <f t="shared" si="43"/>
        <v>633009</v>
      </c>
      <c r="U380" s="365">
        <f t="shared" si="40"/>
        <v>-21320.951009999997</v>
      </c>
      <c r="V380" s="365">
        <f>IF($Q380="ekrk",IF($R380="data",IFERROR(INDEX(data!$A:$ALL,MATCH($M380,data!$A:$A,0),MATCH(V$2,data!$1:$1,0)),"#data"),IFERROR(U380*INDEX(indexy_SDcast!$A:$ALI,MATCH($R380,indexy_SDcast!$K:$K,0),MATCH(V$2,indexy_SDcast!$2:$2,0)),"#ekrk")),"#popis")</f>
        <v>-21481.870770533409</v>
      </c>
      <c r="W380" s="365">
        <f>IF($Q380="ekrk",IF($R380="data",IFERROR(INDEX(data!$A:$ALL,MATCH($M380,data!$A:$A,0),MATCH(W$2,data!$1:$1,0)),"#data"),IFERROR(V380*INDEX(indexy_SDcast!$A:$ALI,MATCH($R380,indexy_SDcast!$K:$K,0),MATCH(W$2,indexy_SDcast!$2:$2,0)),"#ekrk")),"#popis")</f>
        <v>-21927.611649197359</v>
      </c>
      <c r="X380" s="365">
        <f>IF($Q380="ekrk",IF($R380="data",IFERROR(INDEX(data!$A:$ALL,MATCH($M380,data!$A:$A,0),MATCH(X$2,data!$1:$1,0)),"#data"),IFERROR(W380*INDEX(indexy_SDcast!$A:$ALI,MATCH($R380,indexy_SDcast!$K:$K,0),MATCH(X$2,indexy_SDcast!$2:$2,0)),"#ekrk")),"#popis")</f>
        <v>-22426.412435721017</v>
      </c>
      <c r="Y380" s="362">
        <f>IF($Q380="ekrk",IF($R380="data",IFERROR(INDEX(data!$A:$ALL,MATCH($M380,data!$A:$A,0),MATCH(Y$2,data!$1:$1,0)),"#data"),IFERROR(X380*INDEX(indexy_SDcast!$A:$ALI,MATCH($R380,indexy_SDcast!$K:$K,0),MATCH(Y$2,indexy_SDcast!$2:$2,0)),"#ekrk")),"#popis")</f>
        <v>-22954.629622841119</v>
      </c>
    </row>
    <row r="381" spans="1:25" x14ac:dyDescent="0.25">
      <c r="A381" s="330">
        <v>633010</v>
      </c>
      <c r="B381" s="329">
        <v>-1865.6406099999995</v>
      </c>
      <c r="C381" s="157"/>
      <c r="D381" s="330">
        <v>633010</v>
      </c>
      <c r="E381" s="329">
        <v>-1865.6406099999995</v>
      </c>
      <c r="F381" s="157"/>
      <c r="G381" s="330">
        <v>633010</v>
      </c>
      <c r="H381" s="329">
        <v>-1865.6406099999995</v>
      </c>
      <c r="I381" s="157"/>
      <c r="J381" s="330">
        <v>633010</v>
      </c>
      <c r="K381" s="329">
        <v>-1865.6406099999995</v>
      </c>
      <c r="L381" s="157"/>
      <c r="M381" s="360">
        <f t="shared" si="41"/>
        <v>633010</v>
      </c>
      <c r="N381" s="237">
        <f t="shared" si="42"/>
        <v>-1865.6406099999995</v>
      </c>
      <c r="O381" s="361"/>
      <c r="P381" s="361"/>
      <c r="Q381" s="361" t="s">
        <v>698</v>
      </c>
      <c r="R381" s="362">
        <f>IF(Q381="ekrk",INDEX(indexy_SDcast!$A:$C,MATCH($M381,indexy_SDcast!$A:$A,0),2),"")</f>
        <v>25</v>
      </c>
      <c r="S381" s="236"/>
      <c r="T381" s="364">
        <f t="shared" si="43"/>
        <v>633010</v>
      </c>
      <c r="U381" s="365">
        <f t="shared" si="40"/>
        <v>-1865.6406099999995</v>
      </c>
      <c r="V381" s="365">
        <f>IF($Q381="ekrk",IF($R381="data",IFERROR(INDEX(data!$A:$ALL,MATCH($M381,data!$A:$A,0),MATCH(V$2,data!$1:$1,0)),"#data"),IFERROR(U381*INDEX(indexy_SDcast!$A:$ALI,MATCH($R381,indexy_SDcast!$K:$K,0),MATCH(V$2,indexy_SDcast!$2:$2,0)),"#ekrk")),"#popis")</f>
        <v>-1879.7215222473844</v>
      </c>
      <c r="W381" s="365">
        <f>IF($Q381="ekrk",IF($R381="data",IFERROR(INDEX(data!$A:$ALL,MATCH($M381,data!$A:$A,0),MATCH(W$2,data!$1:$1,0)),"#data"),IFERROR(V381*INDEX(indexy_SDcast!$A:$ALI,MATCH($R381,indexy_SDcast!$K:$K,0),MATCH(W$2,indexy_SDcast!$2:$2,0)),"#ekrk")),"#popis")</f>
        <v>-1918.7250490779895</v>
      </c>
      <c r="X381" s="365">
        <f>IF($Q381="ekrk",IF($R381="data",IFERROR(INDEX(data!$A:$ALL,MATCH($M381,data!$A:$A,0),MATCH(X$2,data!$1:$1,0)),"#data"),IFERROR(W381*INDEX(indexy_SDcast!$A:$ALI,MATCH($R381,indexy_SDcast!$K:$K,0),MATCH(X$2,indexy_SDcast!$2:$2,0)),"#ekrk")),"#popis")</f>
        <v>-1962.3714606851461</v>
      </c>
      <c r="Y381" s="362">
        <f>IF($Q381="ekrk",IF($R381="data",IFERROR(INDEX(data!$A:$ALL,MATCH($M381,data!$A:$A,0),MATCH(Y$2,data!$1:$1,0)),"#data"),IFERROR(X381*INDEX(indexy_SDcast!$A:$ALI,MATCH($R381,indexy_SDcast!$K:$K,0),MATCH(Y$2,indexy_SDcast!$2:$2,0)),"#ekrk")),"#popis")</f>
        <v>-2008.591886534304</v>
      </c>
    </row>
    <row r="382" spans="1:25" x14ac:dyDescent="0.25">
      <c r="A382" s="330">
        <v>633011</v>
      </c>
      <c r="B382" s="329">
        <v>-118454.6850100001</v>
      </c>
      <c r="C382" s="157"/>
      <c r="D382" s="330">
        <v>633011</v>
      </c>
      <c r="E382" s="329">
        <v>-118454.6850100001</v>
      </c>
      <c r="F382" s="157"/>
      <c r="G382" s="330">
        <v>633011</v>
      </c>
      <c r="H382" s="329">
        <v>-118454.6850100001</v>
      </c>
      <c r="I382" s="157"/>
      <c r="J382" s="330">
        <v>633011</v>
      </c>
      <c r="K382" s="329">
        <v>-118454.6850100001</v>
      </c>
      <c r="L382" s="157"/>
      <c r="M382" s="360">
        <f t="shared" si="41"/>
        <v>633011</v>
      </c>
      <c r="N382" s="237">
        <f t="shared" si="42"/>
        <v>-118454.6850100001</v>
      </c>
      <c r="O382" s="361"/>
      <c r="P382" s="361"/>
      <c r="Q382" s="361" t="s">
        <v>698</v>
      </c>
      <c r="R382" s="362">
        <f>IF(Q382="ekrk",INDEX(indexy_SDcast!$A:$C,MATCH($M382,indexy_SDcast!$A:$A,0),2),"")</f>
        <v>55</v>
      </c>
      <c r="S382" s="236"/>
      <c r="T382" s="364">
        <f t="shared" si="43"/>
        <v>633011</v>
      </c>
      <c r="U382" s="365">
        <f t="shared" si="40"/>
        <v>-118454.6850100001</v>
      </c>
      <c r="V382" s="365">
        <f>IF($Q382="ekrk",IF($R382="data",IFERROR(INDEX(data!$A:$ALL,MATCH($M382,data!$A:$A,0),MATCH(V$2,data!$1:$1,0)),"#data"),IFERROR(U382*INDEX(indexy_SDcast!$A:$ALI,MATCH($R382,indexy_SDcast!$K:$K,0),MATCH(V$2,indexy_SDcast!$2:$2,0)),"#ekrk")),"#popis")</f>
        <v>-117610.02203357032</v>
      </c>
      <c r="W382" s="365">
        <f>IF($Q382="ekrk",IF($R382="data",IFERROR(INDEX(data!$A:$ALL,MATCH($M382,data!$A:$A,0),MATCH(W$2,data!$1:$1,0)),"#data"),IFERROR(V382*INDEX(indexy_SDcast!$A:$ALI,MATCH($R382,indexy_SDcast!$K:$K,0),MATCH(W$2,indexy_SDcast!$2:$2,0)),"#ekrk")),"#popis")</f>
        <v>-118595.80420522889</v>
      </c>
      <c r="X382" s="365">
        <f>IF($Q382="ekrk",IF($R382="data",IFERROR(INDEX(data!$A:$ALL,MATCH($M382,data!$A:$A,0),MATCH(X$2,data!$1:$1,0)),"#data"),IFERROR(W382*INDEX(indexy_SDcast!$A:$ALI,MATCH($R382,indexy_SDcast!$K:$K,0),MATCH(X$2,indexy_SDcast!$2:$2,0)),"#ekrk")),"#popis")</f>
        <v>-119562.91708029297</v>
      </c>
      <c r="Y382" s="362">
        <f>IF($Q382="ekrk",IF($R382="data",IFERROR(INDEX(data!$A:$ALL,MATCH($M382,data!$A:$A,0),MATCH(Y$2,data!$1:$1,0)),"#data"),IFERROR(X382*INDEX(indexy_SDcast!$A:$ALI,MATCH($R382,indexy_SDcast!$K:$K,0),MATCH(Y$2,indexy_SDcast!$2:$2,0)),"#ekrk")),"#popis")</f>
        <v>-120824.90337641249</v>
      </c>
    </row>
    <row r="383" spans="1:25" x14ac:dyDescent="0.25">
      <c r="A383" s="330">
        <v>633012</v>
      </c>
      <c r="B383" s="329">
        <v>-138.31188</v>
      </c>
      <c r="C383" s="157"/>
      <c r="D383" s="330">
        <v>633012</v>
      </c>
      <c r="E383" s="329">
        <v>-138.31188</v>
      </c>
      <c r="F383" s="157"/>
      <c r="G383" s="330">
        <v>633012</v>
      </c>
      <c r="H383" s="329">
        <v>-138.31188</v>
      </c>
      <c r="I383" s="157"/>
      <c r="J383" s="330">
        <v>633012</v>
      </c>
      <c r="K383" s="329">
        <v>-138.31188</v>
      </c>
      <c r="L383" s="157"/>
      <c r="M383" s="360">
        <f t="shared" si="41"/>
        <v>633012</v>
      </c>
      <c r="N383" s="237">
        <f t="shared" si="42"/>
        <v>-138.31188</v>
      </c>
      <c r="O383" s="361"/>
      <c r="P383" s="361"/>
      <c r="Q383" s="361" t="s">
        <v>698</v>
      </c>
      <c r="R383" s="362">
        <f>IF(Q383="ekrk",INDEX(indexy_SDcast!$A:$C,MATCH($M383,indexy_SDcast!$A:$A,0),2),"")</f>
        <v>25</v>
      </c>
      <c r="S383" s="236"/>
      <c r="T383" s="364">
        <f t="shared" si="43"/>
        <v>633012</v>
      </c>
      <c r="U383" s="365">
        <f t="shared" si="40"/>
        <v>-138.31188</v>
      </c>
      <c r="V383" s="365">
        <f>IF($Q383="ekrk",IF($R383="data",IFERROR(INDEX(data!$A:$ALL,MATCH($M383,data!$A:$A,0),MATCH(V$2,data!$1:$1,0)),"#data"),IFERROR(U383*INDEX(indexy_SDcast!$A:$ALI,MATCH($R383,indexy_SDcast!$K:$K,0),MATCH(V$2,indexy_SDcast!$2:$2,0)),"#ekrk")),"#popis")</f>
        <v>-139.35578815391335</v>
      </c>
      <c r="W383" s="365">
        <f>IF($Q383="ekrk",IF($R383="data",IFERROR(INDEX(data!$A:$ALL,MATCH($M383,data!$A:$A,0),MATCH(W$2,data!$1:$1,0)),"#data"),IFERROR(V383*INDEX(indexy_SDcast!$A:$ALI,MATCH($R383,indexy_SDcast!$K:$K,0),MATCH(W$2,indexy_SDcast!$2:$2,0)),"#ekrk")),"#popis")</f>
        <v>-142.2473692513957</v>
      </c>
      <c r="X383" s="365">
        <f>IF($Q383="ekrk",IF($R383="data",IFERROR(INDEX(data!$A:$ALL,MATCH($M383,data!$A:$A,0),MATCH(X$2,data!$1:$1,0)),"#data"),IFERROR(W383*INDEX(indexy_SDcast!$A:$ALI,MATCH($R383,indexy_SDcast!$K:$K,0),MATCH(X$2,indexy_SDcast!$2:$2,0)),"#ekrk")),"#popis")</f>
        <v>-145.48315711551152</v>
      </c>
      <c r="Y383" s="362">
        <f>IF($Q383="ekrk",IF($R383="data",IFERROR(INDEX(data!$A:$ALL,MATCH($M383,data!$A:$A,0),MATCH(Y$2,data!$1:$1,0)),"#data"),IFERROR(X383*INDEX(indexy_SDcast!$A:$ALI,MATCH($R383,indexy_SDcast!$K:$K,0),MATCH(Y$2,indexy_SDcast!$2:$2,0)),"#ekrk")),"#popis")</f>
        <v>-148.90977313112111</v>
      </c>
    </row>
    <row r="384" spans="1:25" x14ac:dyDescent="0.25">
      <c r="A384" s="330">
        <v>633013</v>
      </c>
      <c r="B384" s="329">
        <v>-3097.0159899999999</v>
      </c>
      <c r="C384" s="157"/>
      <c r="D384" s="330">
        <v>633013</v>
      </c>
      <c r="E384" s="329">
        <v>-3097.0159899999999</v>
      </c>
      <c r="F384" s="157"/>
      <c r="G384" s="330">
        <v>633013</v>
      </c>
      <c r="H384" s="329">
        <v>-3097.0159899999999</v>
      </c>
      <c r="I384" s="157"/>
      <c r="J384" s="330">
        <v>633013</v>
      </c>
      <c r="K384" s="329">
        <v>-3097.0159899999999</v>
      </c>
      <c r="L384" s="157"/>
      <c r="M384" s="360">
        <f t="shared" si="41"/>
        <v>633013</v>
      </c>
      <c r="N384" s="237">
        <f t="shared" si="42"/>
        <v>-3097.0159899999999</v>
      </c>
      <c r="O384" s="361"/>
      <c r="P384" s="361"/>
      <c r="Q384" s="361" t="s">
        <v>698</v>
      </c>
      <c r="R384" s="362">
        <f>IF(Q384="ekrk",INDEX(indexy_SDcast!$A:$C,MATCH($M384,indexy_SDcast!$A:$A,0),2),"")</f>
        <v>25</v>
      </c>
      <c r="S384" s="236"/>
      <c r="T384" s="364">
        <f t="shared" si="43"/>
        <v>633013</v>
      </c>
      <c r="U384" s="365">
        <f t="shared" si="40"/>
        <v>-3097.0159899999999</v>
      </c>
      <c r="V384" s="365">
        <f>IF($Q384="ekrk",IF($R384="data",IFERROR(INDEX(data!$A:$ALL,MATCH($M384,data!$A:$A,0),MATCH(V$2,data!$1:$1,0)),"#data"),IFERROR(U384*INDEX(indexy_SDcast!$A:$ALI,MATCH($R384,indexy_SDcast!$K:$K,0),MATCH(V$2,indexy_SDcast!$2:$2,0)),"#ekrk")),"#popis")</f>
        <v>-3120.3907011582965</v>
      </c>
      <c r="W384" s="365">
        <f>IF($Q384="ekrk",IF($R384="data",IFERROR(INDEX(data!$A:$ALL,MATCH($M384,data!$A:$A,0),MATCH(W$2,data!$1:$1,0)),"#data"),IFERROR(V384*INDEX(indexy_SDcast!$A:$ALI,MATCH($R384,indexy_SDcast!$K:$K,0),MATCH(W$2,indexy_SDcast!$2:$2,0)),"#ekrk")),"#popis")</f>
        <v>-3185.1376548927446</v>
      </c>
      <c r="X384" s="365">
        <f>IF($Q384="ekrk",IF($R384="data",IFERROR(INDEX(data!$A:$ALL,MATCH($M384,data!$A:$A,0),MATCH(X$2,data!$1:$1,0)),"#data"),IFERROR(W384*INDEX(indexy_SDcast!$A:$ALI,MATCH($R384,indexy_SDcast!$K:$K,0),MATCH(X$2,indexy_SDcast!$2:$2,0)),"#ekrk")),"#popis")</f>
        <v>-3257.591928201839</v>
      </c>
      <c r="Y384" s="362">
        <f>IF($Q384="ekrk",IF($R384="data",IFERROR(INDEX(data!$A:$ALL,MATCH($M384,data!$A:$A,0),MATCH(Y$2,data!$1:$1,0)),"#data"),IFERROR(X384*INDEX(indexy_SDcast!$A:$ALI,MATCH($R384,indexy_SDcast!$K:$K,0),MATCH(Y$2,indexy_SDcast!$2:$2,0)),"#ekrk")),"#popis")</f>
        <v>-3334.3191376934096</v>
      </c>
    </row>
    <row r="385" spans="1:25" x14ac:dyDescent="0.25">
      <c r="A385" s="330">
        <v>633015</v>
      </c>
      <c r="B385" s="329">
        <v>-372.49263000000002</v>
      </c>
      <c r="C385" s="157"/>
      <c r="D385" s="330">
        <v>633015</v>
      </c>
      <c r="E385" s="329">
        <v>-372.49263000000002</v>
      </c>
      <c r="F385" s="157"/>
      <c r="G385" s="330">
        <v>633015</v>
      </c>
      <c r="H385" s="329">
        <v>-372.49263000000002</v>
      </c>
      <c r="I385" s="157"/>
      <c r="J385" s="330">
        <v>633015</v>
      </c>
      <c r="K385" s="329">
        <v>-372.49263000000002</v>
      </c>
      <c r="L385" s="157"/>
      <c r="M385" s="360">
        <f t="shared" si="41"/>
        <v>633015</v>
      </c>
      <c r="N385" s="237">
        <f t="shared" si="42"/>
        <v>-372.49263000000002</v>
      </c>
      <c r="O385" s="361"/>
      <c r="P385" s="361"/>
      <c r="Q385" s="361" t="s">
        <v>698</v>
      </c>
      <c r="R385" s="362">
        <f>IF(Q385="ekrk",INDEX(indexy_SDcast!$A:$C,MATCH($M385,indexy_SDcast!$A:$A,0),2),"")</f>
        <v>25</v>
      </c>
      <c r="S385" s="236"/>
      <c r="T385" s="364">
        <f t="shared" si="43"/>
        <v>633015</v>
      </c>
      <c r="U385" s="365">
        <f t="shared" si="40"/>
        <v>-372.49263000000002</v>
      </c>
      <c r="V385" s="365">
        <f>IF($Q385="ekrk",IF($R385="data",IFERROR(INDEX(data!$A:$ALL,MATCH($M385,data!$A:$A,0),MATCH(V$2,data!$1:$1,0)),"#data"),IFERROR(U385*INDEX(indexy_SDcast!$A:$ALI,MATCH($R385,indexy_SDcast!$K:$K,0),MATCH(V$2,indexy_SDcast!$2:$2,0)),"#ekrk")),"#popis")</f>
        <v>-375.30401607710075</v>
      </c>
      <c r="W385" s="365">
        <f>IF($Q385="ekrk",IF($R385="data",IFERROR(INDEX(data!$A:$ALL,MATCH($M385,data!$A:$A,0),MATCH(W$2,data!$1:$1,0)),"#data"),IFERROR(V385*INDEX(indexy_SDcast!$A:$ALI,MATCH($R385,indexy_SDcast!$K:$K,0),MATCH(W$2,indexy_SDcast!$2:$2,0)),"#ekrk")),"#popis")</f>
        <v>-383.09143569614929</v>
      </c>
      <c r="X385" s="365">
        <f>IF($Q385="ekrk",IF($R385="data",IFERROR(INDEX(data!$A:$ALL,MATCH($M385,data!$A:$A,0),MATCH(X$2,data!$1:$1,0)),"#data"),IFERROR(W385*INDEX(indexy_SDcast!$A:$ALI,MATCH($R385,indexy_SDcast!$K:$K,0),MATCH(X$2,indexy_SDcast!$2:$2,0)),"#ekrk")),"#popis")</f>
        <v>-391.80585076755591</v>
      </c>
      <c r="Y385" s="362">
        <f>IF($Q385="ekrk",IF($R385="data",IFERROR(INDEX(data!$A:$ALL,MATCH($M385,data!$A:$A,0),MATCH(Y$2,data!$1:$1,0)),"#data"),IFERROR(X385*INDEX(indexy_SDcast!$A:$ALI,MATCH($R385,indexy_SDcast!$K:$K,0),MATCH(Y$2,indexy_SDcast!$2:$2,0)),"#ekrk")),"#popis")</f>
        <v>-401.03419190249338</v>
      </c>
    </row>
    <row r="386" spans="1:25" x14ac:dyDescent="0.25">
      <c r="A386" s="330">
        <v>633016</v>
      </c>
      <c r="B386" s="329">
        <v>-746.61572999999999</v>
      </c>
      <c r="C386" s="157"/>
      <c r="D386" s="330">
        <v>633016</v>
      </c>
      <c r="E386" s="329">
        <v>-746.61572999999999</v>
      </c>
      <c r="F386" s="157"/>
      <c r="G386" s="330">
        <v>633016</v>
      </c>
      <c r="H386" s="329">
        <v>-746.61572999999999</v>
      </c>
      <c r="I386" s="157"/>
      <c r="J386" s="330">
        <v>633016</v>
      </c>
      <c r="K386" s="329">
        <v>-746.61572999999999</v>
      </c>
      <c r="L386" s="157"/>
      <c r="M386" s="360">
        <f t="shared" si="41"/>
        <v>633016</v>
      </c>
      <c r="N386" s="237">
        <f t="shared" si="42"/>
        <v>-746.61572999999999</v>
      </c>
      <c r="O386" s="361"/>
      <c r="P386" s="361"/>
      <c r="Q386" s="361" t="s">
        <v>698</v>
      </c>
      <c r="R386" s="362">
        <f>IF(Q386="ekrk",INDEX(indexy_SDcast!$A:$C,MATCH($M386,indexy_SDcast!$A:$A,0),2),"")</f>
        <v>25</v>
      </c>
      <c r="S386" s="236"/>
      <c r="T386" s="364">
        <f t="shared" si="43"/>
        <v>633016</v>
      </c>
      <c r="U386" s="365">
        <f t="shared" si="40"/>
        <v>-746.61572999999999</v>
      </c>
      <c r="V386" s="365">
        <f>IF($Q386="ekrk",IF($R386="data",IFERROR(INDEX(data!$A:$ALL,MATCH($M386,data!$A:$A,0),MATCH(V$2,data!$1:$1,0)),"#data"),IFERROR(U386*INDEX(indexy_SDcast!$A:$ALI,MATCH($R386,indexy_SDcast!$K:$K,0),MATCH(V$2,indexy_SDcast!$2:$2,0)),"#ekrk")),"#popis")</f>
        <v>-752.25080811756266</v>
      </c>
      <c r="W386" s="365">
        <f>IF($Q386="ekrk",IF($R386="data",IFERROR(INDEX(data!$A:$ALL,MATCH($M386,data!$A:$A,0),MATCH(W$2,data!$1:$1,0)),"#data"),IFERROR(V386*INDEX(indexy_SDcast!$A:$ALI,MATCH($R386,indexy_SDcast!$K:$K,0),MATCH(W$2,indexy_SDcast!$2:$2,0)),"#ekrk")),"#popis")</f>
        <v>-767.85973434971982</v>
      </c>
      <c r="X386" s="365">
        <f>IF($Q386="ekrk",IF($R386="data",IFERROR(INDEX(data!$A:$ALL,MATCH($M386,data!$A:$A,0),MATCH(X$2,data!$1:$1,0)),"#data"),IFERROR(W386*INDEX(indexy_SDcast!$A:$ALI,MATCH($R386,indexy_SDcast!$K:$K,0),MATCH(X$2,indexy_SDcast!$2:$2,0)),"#ekrk")),"#popis")</f>
        <v>-785.32670911929108</v>
      </c>
      <c r="Y386" s="362">
        <f>IF($Q386="ekrk",IF($R386="data",IFERROR(INDEX(data!$A:$ALL,MATCH($M386,data!$A:$A,0),MATCH(Y$2,data!$1:$1,0)),"#data"),IFERROR(X386*INDEX(indexy_SDcast!$A:$ALI,MATCH($R386,indexy_SDcast!$K:$K,0),MATCH(Y$2,indexy_SDcast!$2:$2,0)),"#ekrk")),"#popis")</f>
        <v>-803.82378556654953</v>
      </c>
    </row>
    <row r="387" spans="1:25" x14ac:dyDescent="0.25">
      <c r="A387" s="330">
        <v>633018</v>
      </c>
      <c r="B387" s="329">
        <v>-253.79245000000009</v>
      </c>
      <c r="C387" s="157"/>
      <c r="D387" s="330">
        <v>633018</v>
      </c>
      <c r="E387" s="329">
        <v>-253.79245000000009</v>
      </c>
      <c r="F387" s="157"/>
      <c r="G387" s="330">
        <v>633018</v>
      </c>
      <c r="H387" s="329">
        <v>-253.79245000000009</v>
      </c>
      <c r="I387" s="157"/>
      <c r="J387" s="330">
        <v>633018</v>
      </c>
      <c r="K387" s="329">
        <v>-253.79245000000009</v>
      </c>
      <c r="L387" s="157"/>
      <c r="M387" s="360">
        <f t="shared" si="41"/>
        <v>633018</v>
      </c>
      <c r="N387" s="237">
        <f t="shared" si="42"/>
        <v>-253.79245000000009</v>
      </c>
      <c r="O387" s="361"/>
      <c r="P387" s="361"/>
      <c r="Q387" s="361" t="s">
        <v>698</v>
      </c>
      <c r="R387" s="362">
        <f>IF(Q387="ekrk",INDEX(indexy_SDcast!$A:$C,MATCH($M387,indexy_SDcast!$A:$A,0),2),"")</f>
        <v>25</v>
      </c>
      <c r="S387" s="236"/>
      <c r="T387" s="364">
        <f t="shared" si="43"/>
        <v>633018</v>
      </c>
      <c r="U387" s="365">
        <f t="shared" si="40"/>
        <v>-253.79245000000009</v>
      </c>
      <c r="V387" s="365">
        <f>IF($Q387="ekrk",IF($R387="data",IFERROR(INDEX(data!$A:$ALL,MATCH($M387,data!$A:$A,0),MATCH(V$2,data!$1:$1,0)),"#data"),IFERROR(U387*INDEX(indexy_SDcast!$A:$ALI,MATCH($R387,indexy_SDcast!$K:$K,0),MATCH(V$2,indexy_SDcast!$2:$2,0)),"#ekrk")),"#popis")</f>
        <v>-255.7079471211197</v>
      </c>
      <c r="W387" s="365">
        <f>IF($Q387="ekrk",IF($R387="data",IFERROR(INDEX(data!$A:$ALL,MATCH($M387,data!$A:$A,0),MATCH(W$2,data!$1:$1,0)),"#data"),IFERROR(V387*INDEX(indexy_SDcast!$A:$ALI,MATCH($R387,indexy_SDcast!$K:$K,0),MATCH(W$2,indexy_SDcast!$2:$2,0)),"#ekrk")),"#popis")</f>
        <v>-261.01379251273562</v>
      </c>
      <c r="X387" s="365">
        <f>IF($Q387="ekrk",IF($R387="data",IFERROR(INDEX(data!$A:$ALL,MATCH($M387,data!$A:$A,0),MATCH(X$2,data!$1:$1,0)),"#data"),IFERROR(W387*INDEX(indexy_SDcast!$A:$ALI,MATCH($R387,indexy_SDcast!$K:$K,0),MATCH(X$2,indexy_SDcast!$2:$2,0)),"#ekrk")),"#popis")</f>
        <v>-266.95123280863947</v>
      </c>
      <c r="Y387" s="362">
        <f>IF($Q387="ekrk",IF($R387="data",IFERROR(INDEX(data!$A:$ALL,MATCH($M387,data!$A:$A,0),MATCH(Y$2,data!$1:$1,0)),"#data"),IFERROR(X387*INDEX(indexy_SDcast!$A:$ALI,MATCH($R387,indexy_SDcast!$K:$K,0),MATCH(Y$2,indexy_SDcast!$2:$2,0)),"#ekrk")),"#popis")</f>
        <v>-273.23882917281873</v>
      </c>
    </row>
    <row r="388" spans="1:25" x14ac:dyDescent="0.25">
      <c r="A388" s="330">
        <v>633019</v>
      </c>
      <c r="B388" s="329">
        <v>-68.787770000000009</v>
      </c>
      <c r="C388" s="157"/>
      <c r="D388" s="330">
        <v>633019</v>
      </c>
      <c r="E388" s="329">
        <v>-68.787770000000009</v>
      </c>
      <c r="F388" s="157"/>
      <c r="G388" s="330">
        <v>633019</v>
      </c>
      <c r="H388" s="329">
        <v>-68.787770000000009</v>
      </c>
      <c r="I388" s="157"/>
      <c r="J388" s="330">
        <v>633019</v>
      </c>
      <c r="K388" s="329">
        <v>-68.787770000000009</v>
      </c>
      <c r="L388" s="157"/>
      <c r="M388" s="360">
        <f t="shared" si="41"/>
        <v>633019</v>
      </c>
      <c r="N388" s="237">
        <f t="shared" si="42"/>
        <v>-68.787770000000009</v>
      </c>
      <c r="O388" s="361"/>
      <c r="P388" s="361"/>
      <c r="Q388" s="361" t="s">
        <v>698</v>
      </c>
      <c r="R388" s="362">
        <f>IF(Q388="ekrk",INDEX(indexy_SDcast!$A:$C,MATCH($M388,indexy_SDcast!$A:$A,0),2),"")</f>
        <v>25</v>
      </c>
      <c r="S388" s="236"/>
      <c r="T388" s="364">
        <f t="shared" si="43"/>
        <v>633019</v>
      </c>
      <c r="U388" s="365">
        <f t="shared" si="40"/>
        <v>-68.787770000000009</v>
      </c>
      <c r="V388" s="365">
        <f>IF($Q388="ekrk",IF($R388="data",IFERROR(INDEX(data!$A:$ALL,MATCH($M388,data!$A:$A,0),MATCH(V$2,data!$1:$1,0)),"#data"),IFERROR(U388*INDEX(indexy_SDcast!$A:$ALI,MATCH($R388,indexy_SDcast!$K:$K,0),MATCH(V$2,indexy_SDcast!$2:$2,0)),"#ekrk")),"#popis")</f>
        <v>-69.306945315905736</v>
      </c>
      <c r="W388" s="365">
        <f>IF($Q388="ekrk",IF($R388="data",IFERROR(INDEX(data!$A:$ALL,MATCH($M388,data!$A:$A,0),MATCH(W$2,data!$1:$1,0)),"#data"),IFERROR(V388*INDEX(indexy_SDcast!$A:$ALI,MATCH($R388,indexy_SDcast!$K:$K,0),MATCH(W$2,indexy_SDcast!$2:$2,0)),"#ekrk")),"#popis")</f>
        <v>-70.745038814959926</v>
      </c>
      <c r="X388" s="365">
        <f>IF($Q388="ekrk",IF($R388="data",IFERROR(INDEX(data!$A:$ALL,MATCH($M388,data!$A:$A,0),MATCH(X$2,data!$1:$1,0)),"#data"),IFERROR(W388*INDEX(indexy_SDcast!$A:$ALI,MATCH($R388,indexy_SDcast!$K:$K,0),MATCH(X$2,indexy_SDcast!$2:$2,0)),"#ekrk")),"#popis")</f>
        <v>-72.354319459294956</v>
      </c>
      <c r="Y388" s="362">
        <f>IF($Q388="ekrk",IF($R388="data",IFERROR(INDEX(data!$A:$ALL,MATCH($M388,data!$A:$A,0),MATCH(Y$2,data!$1:$1,0)),"#data"),IFERROR(X388*INDEX(indexy_SDcast!$A:$ALI,MATCH($R388,indexy_SDcast!$K:$K,0),MATCH(Y$2,indexy_SDcast!$2:$2,0)),"#ekrk")),"#popis")</f>
        <v>-74.058506217222543</v>
      </c>
    </row>
    <row r="389" spans="1:25" x14ac:dyDescent="0.25">
      <c r="A389" s="330">
        <v>633200</v>
      </c>
      <c r="B389" s="329">
        <v>-59.217889999999997</v>
      </c>
      <c r="C389" s="157"/>
      <c r="D389" s="330">
        <v>633200</v>
      </c>
      <c r="E389" s="329">
        <v>-59.217889999999997</v>
      </c>
      <c r="F389" s="157"/>
      <c r="G389" s="330">
        <v>633200</v>
      </c>
      <c r="H389" s="329">
        <v>-59.217889999999997</v>
      </c>
      <c r="I389" s="157"/>
      <c r="J389" s="330">
        <v>633200</v>
      </c>
      <c r="K389" s="329">
        <v>-59.217889999999997</v>
      </c>
      <c r="L389" s="157"/>
      <c r="M389" s="360">
        <f t="shared" si="41"/>
        <v>633200</v>
      </c>
      <c r="N389" s="237">
        <f t="shared" si="42"/>
        <v>-59.217889999999997</v>
      </c>
      <c r="O389" s="361"/>
      <c r="P389" s="361"/>
      <c r="Q389" s="361" t="s">
        <v>698</v>
      </c>
      <c r="R389" s="362">
        <f>IF(Q389="ekrk",INDEX(indexy_SDcast!$A:$C,MATCH($M389,indexy_SDcast!$A:$A,0),2),"")</f>
        <v>25</v>
      </c>
      <c r="S389" s="236"/>
      <c r="T389" s="364">
        <f t="shared" si="43"/>
        <v>633200</v>
      </c>
      <c r="U389" s="365">
        <f t="shared" si="40"/>
        <v>-59.217889999999997</v>
      </c>
      <c r="V389" s="365">
        <f>IF($Q389="ekrk",IF($R389="data",IFERROR(INDEX(data!$A:$ALL,MATCH($M389,data!$A:$A,0),MATCH(V$2,data!$1:$1,0)),"#data"),IFERROR(U389*INDEX(indexy_SDcast!$A:$ALI,MATCH($R389,indexy_SDcast!$K:$K,0),MATCH(V$2,indexy_SDcast!$2:$2,0)),"#ekrk")),"#popis")</f>
        <v>-59.664836699217325</v>
      </c>
      <c r="W389" s="365">
        <f>IF($Q389="ekrk",IF($R389="data",IFERROR(INDEX(data!$A:$ALL,MATCH($M389,data!$A:$A,0),MATCH(W$2,data!$1:$1,0)),"#data"),IFERROR(V389*INDEX(indexy_SDcast!$A:$ALI,MATCH($R389,indexy_SDcast!$K:$K,0),MATCH(W$2,indexy_SDcast!$2:$2,0)),"#ekrk")),"#popis")</f>
        <v>-60.902860008254763</v>
      </c>
      <c r="X389" s="365">
        <f>IF($Q389="ekrk",IF($R389="data",IFERROR(INDEX(data!$A:$ALL,MATCH($M389,data!$A:$A,0),MATCH(X$2,data!$1:$1,0)),"#data"),IFERROR(W389*INDEX(indexy_SDcast!$A:$ALI,MATCH($R389,indexy_SDcast!$K:$K,0),MATCH(X$2,indexy_SDcast!$2:$2,0)),"#ekrk")),"#popis")</f>
        <v>-62.288254594754093</v>
      </c>
      <c r="Y389" s="362">
        <f>IF($Q389="ekrk",IF($R389="data",IFERROR(INDEX(data!$A:$ALL,MATCH($M389,data!$A:$A,0),MATCH(Y$2,data!$1:$1,0)),"#data"),IFERROR(X389*INDEX(indexy_SDcast!$A:$ALI,MATCH($R389,indexy_SDcast!$K:$K,0),MATCH(Y$2,indexy_SDcast!$2:$2,0)),"#ekrk")),"#popis")</f>
        <v>-63.755351783257403</v>
      </c>
    </row>
    <row r="390" spans="1:25" x14ac:dyDescent="0.25">
      <c r="A390" s="330">
        <v>634001</v>
      </c>
      <c r="B390" s="329">
        <v>-2432.167289999998</v>
      </c>
      <c r="C390" s="157"/>
      <c r="D390" s="330">
        <v>634001</v>
      </c>
      <c r="E390" s="329">
        <v>-2432.167289999998</v>
      </c>
      <c r="F390" s="157"/>
      <c r="G390" s="330">
        <v>634001</v>
      </c>
      <c r="H390" s="329">
        <v>-2432.167289999998</v>
      </c>
      <c r="I390" s="157"/>
      <c r="J390" s="330">
        <v>634001</v>
      </c>
      <c r="K390" s="329">
        <v>-2432.167289999998</v>
      </c>
      <c r="L390" s="157"/>
      <c r="M390" s="360">
        <f t="shared" si="41"/>
        <v>634001</v>
      </c>
      <c r="N390" s="237">
        <f t="shared" si="42"/>
        <v>-2432.167289999998</v>
      </c>
      <c r="O390" s="361"/>
      <c r="P390" s="361"/>
      <c r="Q390" s="361" t="s">
        <v>698</v>
      </c>
      <c r="R390" s="362">
        <f>IF(Q390="ekrk",INDEX(indexy_SDcast!$A:$C,MATCH($M390,indexy_SDcast!$A:$A,0),2),"")</f>
        <v>25</v>
      </c>
      <c r="S390" s="236"/>
      <c r="T390" s="364">
        <f t="shared" si="43"/>
        <v>634001</v>
      </c>
      <c r="U390" s="365">
        <f t="shared" si="40"/>
        <v>-2432.167289999998</v>
      </c>
      <c r="V390" s="365">
        <f>IF($Q390="ekrk",IF($R390="data",IFERROR(INDEX(data!$A:$ALL,MATCH($M390,data!$A:$A,0),MATCH(V$2,data!$1:$1,0)),"#data"),IFERROR(U390*INDEX(indexy_SDcast!$A:$ALI,MATCH($R390,indexy_SDcast!$K:$K,0),MATCH(V$2,indexy_SDcast!$2:$2,0)),"#ekrk")),"#popis")</f>
        <v>-2450.5240592501327</v>
      </c>
      <c r="W390" s="365">
        <f>IF($Q390="ekrk",IF($R390="data",IFERROR(INDEX(data!$A:$ALL,MATCH($M390,data!$A:$A,0),MATCH(W$2,data!$1:$1,0)),"#data"),IFERROR(V390*INDEX(indexy_SDcast!$A:$ALI,MATCH($R390,indexy_SDcast!$K:$K,0),MATCH(W$2,indexy_SDcast!$2:$2,0)),"#ekrk")),"#popis")</f>
        <v>-2501.3715277516008</v>
      </c>
      <c r="X390" s="365">
        <f>IF($Q390="ekrk",IF($R390="data",IFERROR(INDEX(data!$A:$ALL,MATCH($M390,data!$A:$A,0),MATCH(X$2,data!$1:$1,0)),"#data"),IFERROR(W390*INDEX(indexy_SDcast!$A:$ALI,MATCH($R390,indexy_SDcast!$K:$K,0),MATCH(X$2,indexy_SDcast!$2:$2,0)),"#ekrk")),"#popis")</f>
        <v>-2558.2717549806821</v>
      </c>
      <c r="Y390" s="362">
        <f>IF($Q390="ekrk",IF($R390="data",IFERROR(INDEX(data!$A:$ALL,MATCH($M390,data!$A:$A,0),MATCH(Y$2,data!$1:$1,0)),"#data"),IFERROR(X390*INDEX(indexy_SDcast!$A:$ALI,MATCH($R390,indexy_SDcast!$K:$K,0),MATCH(Y$2,indexy_SDcast!$2:$2,0)),"#ekrk")),"#popis")</f>
        <v>-2618.5276302428488</v>
      </c>
    </row>
    <row r="391" spans="1:25" x14ac:dyDescent="0.25">
      <c r="A391" s="330">
        <v>634002</v>
      </c>
      <c r="B391" s="329">
        <v>-1410.2534800000012</v>
      </c>
      <c r="C391" s="157"/>
      <c r="D391" s="330">
        <v>634002</v>
      </c>
      <c r="E391" s="329">
        <v>-1410.2534800000012</v>
      </c>
      <c r="F391" s="157"/>
      <c r="G391" s="330">
        <v>634002</v>
      </c>
      <c r="H391" s="329">
        <v>-1410.2534800000012</v>
      </c>
      <c r="I391" s="157"/>
      <c r="J391" s="330">
        <v>634002</v>
      </c>
      <c r="K391" s="329">
        <v>-1410.2534800000012</v>
      </c>
      <c r="L391" s="157"/>
      <c r="M391" s="360">
        <f t="shared" si="41"/>
        <v>634002</v>
      </c>
      <c r="N391" s="237">
        <f t="shared" si="42"/>
        <v>-1410.2534800000012</v>
      </c>
      <c r="O391" s="361"/>
      <c r="P391" s="361"/>
      <c r="Q391" s="361" t="s">
        <v>698</v>
      </c>
      <c r="R391" s="362">
        <f>IF(Q391="ekrk",INDEX(indexy_SDcast!$A:$C,MATCH($M391,indexy_SDcast!$A:$A,0),2),"")</f>
        <v>25</v>
      </c>
      <c r="S391" s="236"/>
      <c r="T391" s="364">
        <f t="shared" si="43"/>
        <v>634002</v>
      </c>
      <c r="U391" s="365">
        <f t="shared" si="40"/>
        <v>-1410.2534800000012</v>
      </c>
      <c r="V391" s="365">
        <f>IF($Q391="ekrk",IF($R391="data",IFERROR(INDEX(data!$A:$ALL,MATCH($M391,data!$A:$A,0),MATCH(V$2,data!$1:$1,0)),"#data"),IFERROR(U391*INDEX(indexy_SDcast!$A:$ALI,MATCH($R391,indexy_SDcast!$K:$K,0),MATCH(V$2,indexy_SDcast!$2:$2,0)),"#ekrk")),"#popis")</f>
        <v>-1420.8973603872582</v>
      </c>
      <c r="W391" s="365">
        <f>IF($Q391="ekrk",IF($R391="data",IFERROR(INDEX(data!$A:$ALL,MATCH($M391,data!$A:$A,0),MATCH(W$2,data!$1:$1,0)),"#data"),IFERROR(V391*INDEX(indexy_SDcast!$A:$ALI,MATCH($R391,indexy_SDcast!$K:$K,0),MATCH(W$2,indexy_SDcast!$2:$2,0)),"#ekrk")),"#popis")</f>
        <v>-1450.3804554433495</v>
      </c>
      <c r="X391" s="365">
        <f>IF($Q391="ekrk",IF($R391="data",IFERROR(INDEX(data!$A:$ALL,MATCH($M391,data!$A:$A,0),MATCH(X$2,data!$1:$1,0)),"#data"),IFERROR(W391*INDEX(indexy_SDcast!$A:$ALI,MATCH($R391,indexy_SDcast!$K:$K,0),MATCH(X$2,indexy_SDcast!$2:$2,0)),"#ekrk")),"#popis")</f>
        <v>-1483.3731462802546</v>
      </c>
      <c r="Y391" s="362">
        <f>IF($Q391="ekrk",IF($R391="data",IFERROR(INDEX(data!$A:$ALL,MATCH($M391,data!$A:$A,0),MATCH(Y$2,data!$1:$1,0)),"#data"),IFERROR(X391*INDEX(indexy_SDcast!$A:$ALI,MATCH($R391,indexy_SDcast!$K:$K,0),MATCH(Y$2,indexy_SDcast!$2:$2,0)),"#ekrk")),"#popis")</f>
        <v>-1518.3115562030837</v>
      </c>
    </row>
    <row r="392" spans="1:25" x14ac:dyDescent="0.25">
      <c r="A392" s="330">
        <v>634004</v>
      </c>
      <c r="B392" s="329">
        <v>-1596.260850000001</v>
      </c>
      <c r="C392" s="157"/>
      <c r="D392" s="330">
        <v>634004</v>
      </c>
      <c r="E392" s="329">
        <v>-1596.260850000001</v>
      </c>
      <c r="F392" s="157"/>
      <c r="G392" s="330">
        <v>634004</v>
      </c>
      <c r="H392" s="329">
        <v>-1596.260850000001</v>
      </c>
      <c r="I392" s="157"/>
      <c r="J392" s="330">
        <v>634004</v>
      </c>
      <c r="K392" s="329">
        <v>-1596.260850000001</v>
      </c>
      <c r="L392" s="157"/>
      <c r="M392" s="360">
        <f t="shared" si="41"/>
        <v>634004</v>
      </c>
      <c r="N392" s="237">
        <f t="shared" si="42"/>
        <v>-1596.260850000001</v>
      </c>
      <c r="O392" s="361"/>
      <c r="P392" s="361"/>
      <c r="Q392" s="361" t="s">
        <v>698</v>
      </c>
      <c r="R392" s="362">
        <f>IF(Q392="ekrk",INDEX(indexy_SDcast!$A:$C,MATCH($M392,indexy_SDcast!$A:$A,0),2),"")</f>
        <v>25</v>
      </c>
      <c r="S392" s="236"/>
      <c r="T392" s="364">
        <f t="shared" si="43"/>
        <v>634004</v>
      </c>
      <c r="U392" s="365">
        <f t="shared" si="40"/>
        <v>-1596.260850000001</v>
      </c>
      <c r="V392" s="365">
        <f>IF($Q392="ekrk",IF($R392="data",IFERROR(INDEX(data!$A:$ALL,MATCH($M392,data!$A:$A,0),MATCH(V$2,data!$1:$1,0)),"#data"),IFERROR(U392*INDEX(indexy_SDcast!$A:$ALI,MATCH($R392,indexy_SDcast!$K:$K,0),MATCH(V$2,indexy_SDcast!$2:$2,0)),"#ekrk")),"#popis")</f>
        <v>-1608.3086199897346</v>
      </c>
      <c r="W392" s="365">
        <f>IF($Q392="ekrk",IF($R392="data",IFERROR(INDEX(data!$A:$ALL,MATCH($M392,data!$A:$A,0),MATCH(W$2,data!$1:$1,0)),"#data"),IFERROR(V392*INDEX(indexy_SDcast!$A:$ALI,MATCH($R392,indexy_SDcast!$K:$K,0),MATCH(W$2,indexy_SDcast!$2:$2,0)),"#ekrk")),"#popis")</f>
        <v>-1641.6804294142837</v>
      </c>
      <c r="X392" s="365">
        <f>IF($Q392="ekrk",IF($R392="data",IFERROR(INDEX(data!$A:$ALL,MATCH($M392,data!$A:$A,0),MATCH(X$2,data!$1:$1,0)),"#data"),IFERROR(W392*INDEX(indexy_SDcast!$A:$ALI,MATCH($R392,indexy_SDcast!$K:$K,0),MATCH(X$2,indexy_SDcast!$2:$2,0)),"#ekrk")),"#popis")</f>
        <v>-1679.0247377006956</v>
      </c>
      <c r="Y392" s="362">
        <f>IF($Q392="ekrk",IF($R392="data",IFERROR(INDEX(data!$A:$ALL,MATCH($M392,data!$A:$A,0),MATCH(Y$2,data!$1:$1,0)),"#data"),IFERROR(X392*INDEX(indexy_SDcast!$A:$ALI,MATCH($R392,indexy_SDcast!$K:$K,0),MATCH(Y$2,indexy_SDcast!$2:$2,0)),"#ekrk")),"#popis")</f>
        <v>-1718.5713984336751</v>
      </c>
    </row>
    <row r="393" spans="1:25" x14ac:dyDescent="0.25">
      <c r="A393" s="330">
        <v>634005</v>
      </c>
      <c r="B393" s="329">
        <v>-114.86769000000001</v>
      </c>
      <c r="C393" s="157"/>
      <c r="D393" s="330">
        <v>634005</v>
      </c>
      <c r="E393" s="329">
        <v>-114.86769000000001</v>
      </c>
      <c r="F393" s="157"/>
      <c r="G393" s="330">
        <v>634005</v>
      </c>
      <c r="H393" s="329">
        <v>-114.86769000000001</v>
      </c>
      <c r="I393" s="157"/>
      <c r="J393" s="330">
        <v>634005</v>
      </c>
      <c r="K393" s="329">
        <v>-114.86769000000001</v>
      </c>
      <c r="L393" s="157"/>
      <c r="M393" s="360">
        <f t="shared" si="41"/>
        <v>634005</v>
      </c>
      <c r="N393" s="237">
        <f t="shared" si="42"/>
        <v>-114.86769000000001</v>
      </c>
      <c r="O393" s="361"/>
      <c r="P393" s="361"/>
      <c r="Q393" s="361" t="s">
        <v>698</v>
      </c>
      <c r="R393" s="362">
        <f>IF(Q393="ekrk",INDEX(indexy_SDcast!$A:$C,MATCH($M393,indexy_SDcast!$A:$A,0),2),"")</f>
        <v>25</v>
      </c>
      <c r="S393" s="236"/>
      <c r="T393" s="364">
        <f t="shared" si="43"/>
        <v>634005</v>
      </c>
      <c r="U393" s="365">
        <f t="shared" si="40"/>
        <v>-114.86769000000001</v>
      </c>
      <c r="V393" s="365">
        <f>IF($Q393="ekrk",IF($R393="data",IFERROR(INDEX(data!$A:$ALL,MATCH($M393,data!$A:$A,0),MATCH(V$2,data!$1:$1,0)),"#data"),IFERROR(U393*INDEX(indexy_SDcast!$A:$ALI,MATCH($R393,indexy_SDcast!$K:$K,0),MATCH(V$2,indexy_SDcast!$2:$2,0)),"#ekrk")),"#popis")</f>
        <v>-115.73465325877568</v>
      </c>
      <c r="W393" s="365">
        <f>IF($Q393="ekrk",IF($R393="data",IFERROR(INDEX(data!$A:$ALL,MATCH($M393,data!$A:$A,0),MATCH(W$2,data!$1:$1,0)),"#data"),IFERROR(V393*INDEX(indexy_SDcast!$A:$ALI,MATCH($R393,indexy_SDcast!$K:$K,0),MATCH(W$2,indexy_SDcast!$2:$2,0)),"#ekrk")),"#popis")</f>
        <v>-118.13610453769302</v>
      </c>
      <c r="X393" s="365">
        <f>IF($Q393="ekrk",IF($R393="data",IFERROR(INDEX(data!$A:$ALL,MATCH($M393,data!$A:$A,0),MATCH(X$2,data!$1:$1,0)),"#data"),IFERROR(W393*INDEX(indexy_SDcast!$A:$ALI,MATCH($R393,indexy_SDcast!$K:$K,0),MATCH(X$2,indexy_SDcast!$2:$2,0)),"#ekrk")),"#popis")</f>
        <v>-120.82341872416072</v>
      </c>
      <c r="Y393" s="362">
        <f>IF($Q393="ekrk",IF($R393="data",IFERROR(INDEX(data!$A:$ALL,MATCH($M393,data!$A:$A,0),MATCH(Y$2,data!$1:$1,0)),"#data"),IFERROR(X393*INDEX(indexy_SDcast!$A:$ALI,MATCH($R393,indexy_SDcast!$K:$K,0),MATCH(Y$2,indexy_SDcast!$2:$2,0)),"#ekrk")),"#popis")</f>
        <v>-123.66921524019446</v>
      </c>
    </row>
    <row r="394" spans="1:25" x14ac:dyDescent="0.25">
      <c r="A394" s="330">
        <v>634006</v>
      </c>
      <c r="B394" s="329">
        <v>-6.0583700000000018</v>
      </c>
      <c r="C394" s="157"/>
      <c r="D394" s="330">
        <v>634006</v>
      </c>
      <c r="E394" s="329">
        <v>-6.0583700000000018</v>
      </c>
      <c r="F394" s="157"/>
      <c r="G394" s="330">
        <v>634006</v>
      </c>
      <c r="H394" s="329">
        <v>-6.0583700000000018</v>
      </c>
      <c r="I394" s="157"/>
      <c r="J394" s="330">
        <v>634006</v>
      </c>
      <c r="K394" s="329">
        <v>-6.0583700000000018</v>
      </c>
      <c r="L394" s="157"/>
      <c r="M394" s="360">
        <f t="shared" si="41"/>
        <v>634006</v>
      </c>
      <c r="N394" s="237">
        <f t="shared" si="42"/>
        <v>-6.0583700000000018</v>
      </c>
      <c r="O394" s="361"/>
      <c r="P394" s="361"/>
      <c r="Q394" s="361" t="s">
        <v>698</v>
      </c>
      <c r="R394" s="362">
        <f>IF(Q394="ekrk",INDEX(indexy_SDcast!$A:$C,MATCH($M394,indexy_SDcast!$A:$A,0),2),"")</f>
        <v>25</v>
      </c>
      <c r="S394" s="236"/>
      <c r="T394" s="364">
        <f t="shared" si="43"/>
        <v>634006</v>
      </c>
      <c r="U394" s="365">
        <f t="shared" si="40"/>
        <v>-6.0583700000000018</v>
      </c>
      <c r="V394" s="365">
        <f>IF($Q394="ekrk",IF($R394="data",IFERROR(INDEX(data!$A:$ALL,MATCH($M394,data!$A:$A,0),MATCH(V$2,data!$1:$1,0)),"#data"),IFERROR(U394*INDEX(indexy_SDcast!$A:$ALI,MATCH($R394,indexy_SDcast!$K:$K,0),MATCH(V$2,indexy_SDcast!$2:$2,0)),"#ekrk")),"#popis")</f>
        <v>-6.1040955142683639</v>
      </c>
      <c r="W394" s="365">
        <f>IF($Q394="ekrk",IF($R394="data",IFERROR(INDEX(data!$A:$ALL,MATCH($M394,data!$A:$A,0),MATCH(W$2,data!$1:$1,0)),"#data"),IFERROR(V394*INDEX(indexy_SDcast!$A:$ALI,MATCH($R394,indexy_SDcast!$K:$K,0),MATCH(W$2,indexy_SDcast!$2:$2,0)),"#ekrk")),"#popis")</f>
        <v>-6.2307532400801602</v>
      </c>
      <c r="X394" s="365">
        <f>IF($Q394="ekrk",IF($R394="data",IFERROR(INDEX(data!$A:$ALL,MATCH($M394,data!$A:$A,0),MATCH(X$2,data!$1:$1,0)),"#data"),IFERROR(W394*INDEX(indexy_SDcast!$A:$ALI,MATCH($R394,indexy_SDcast!$K:$K,0),MATCH(X$2,indexy_SDcast!$2:$2,0)),"#ekrk")),"#popis")</f>
        <v>-6.3724879928889813</v>
      </c>
      <c r="Y394" s="362">
        <f>IF($Q394="ekrk",IF($R394="data",IFERROR(INDEX(data!$A:$ALL,MATCH($M394,data!$A:$A,0),MATCH(Y$2,data!$1:$1,0)),"#data"),IFERROR(X394*INDEX(indexy_SDcast!$A:$ALI,MATCH($R394,indexy_SDcast!$K:$K,0),MATCH(Y$2,indexy_SDcast!$2:$2,0)),"#ekrk")),"#popis")</f>
        <v>-6.5225814459639349</v>
      </c>
    </row>
    <row r="395" spans="1:25" x14ac:dyDescent="0.25">
      <c r="A395" s="330">
        <v>635001</v>
      </c>
      <c r="B395" s="329">
        <v>-751.56123999999988</v>
      </c>
      <c r="C395" s="157"/>
      <c r="D395" s="330">
        <v>635001</v>
      </c>
      <c r="E395" s="329">
        <v>-751.56123999999988</v>
      </c>
      <c r="F395" s="157"/>
      <c r="G395" s="330">
        <v>635001</v>
      </c>
      <c r="H395" s="329">
        <v>-751.56123999999988</v>
      </c>
      <c r="I395" s="157"/>
      <c r="J395" s="330">
        <v>635001</v>
      </c>
      <c r="K395" s="329">
        <v>-751.56123999999988</v>
      </c>
      <c r="L395" s="157"/>
      <c r="M395" s="360">
        <f t="shared" si="41"/>
        <v>635001</v>
      </c>
      <c r="N395" s="237">
        <f t="shared" si="42"/>
        <v>-751.56123999999988</v>
      </c>
      <c r="O395" s="361"/>
      <c r="P395" s="361"/>
      <c r="Q395" s="361" t="s">
        <v>698</v>
      </c>
      <c r="R395" s="362">
        <f>IF(Q395="ekrk",INDEX(indexy_SDcast!$A:$C,MATCH($M395,indexy_SDcast!$A:$A,0),2),"")</f>
        <v>25</v>
      </c>
      <c r="S395" s="236"/>
      <c r="T395" s="364">
        <f t="shared" si="43"/>
        <v>635001</v>
      </c>
      <c r="U395" s="365">
        <f t="shared" si="40"/>
        <v>-751.56123999999988</v>
      </c>
      <c r="V395" s="365">
        <f>IF($Q395="ekrk",IF($R395="data",IFERROR(INDEX(data!$A:$ALL,MATCH($M395,data!$A:$A,0),MATCH(V$2,data!$1:$1,0)),"#data"),IFERROR(U395*INDEX(indexy_SDcast!$A:$ALI,MATCH($R395,indexy_SDcast!$K:$K,0),MATCH(V$2,indexy_SDcast!$2:$2,0)),"#ekrk")),"#popis")</f>
        <v>-757.233644327099</v>
      </c>
      <c r="W395" s="365">
        <f>IF($Q395="ekrk",IF($R395="data",IFERROR(INDEX(data!$A:$ALL,MATCH($M395,data!$A:$A,0),MATCH(W$2,data!$1:$1,0)),"#data"),IFERROR(V395*INDEX(indexy_SDcast!$A:$ALI,MATCH($R395,indexy_SDcast!$K:$K,0),MATCH(W$2,indexy_SDcast!$2:$2,0)),"#ekrk")),"#popis")</f>
        <v>-772.94596256891873</v>
      </c>
      <c r="X395" s="365">
        <f>IF($Q395="ekrk",IF($R395="data",IFERROR(INDEX(data!$A:$ALL,MATCH($M395,data!$A:$A,0),MATCH(X$2,data!$1:$1,0)),"#data"),IFERROR(W395*INDEX(indexy_SDcast!$A:$ALI,MATCH($R395,indexy_SDcast!$K:$K,0),MATCH(X$2,indexy_SDcast!$2:$2,0)),"#ekrk")),"#popis")</f>
        <v>-790.52863688100126</v>
      </c>
      <c r="Y395" s="362">
        <f>IF($Q395="ekrk",IF($R395="data",IFERROR(INDEX(data!$A:$ALL,MATCH($M395,data!$A:$A,0),MATCH(Y$2,data!$1:$1,0)),"#data"),IFERROR(X395*INDEX(indexy_SDcast!$A:$ALI,MATCH($R395,indexy_SDcast!$K:$K,0),MATCH(Y$2,indexy_SDcast!$2:$2,0)),"#ekrk")),"#popis")</f>
        <v>-809.14823616412434</v>
      </c>
    </row>
    <row r="396" spans="1:25" x14ac:dyDescent="0.25">
      <c r="A396" s="330">
        <v>635002</v>
      </c>
      <c r="B396" s="329">
        <v>-1565.9971999999996</v>
      </c>
      <c r="C396" s="157"/>
      <c r="D396" s="330">
        <v>635002</v>
      </c>
      <c r="E396" s="329">
        <v>-1565.9971999999996</v>
      </c>
      <c r="F396" s="157"/>
      <c r="G396" s="330">
        <v>635002</v>
      </c>
      <c r="H396" s="329">
        <v>-1565.9971999999996</v>
      </c>
      <c r="I396" s="157"/>
      <c r="J396" s="330">
        <v>635002</v>
      </c>
      <c r="K396" s="329">
        <v>-1565.9971999999996</v>
      </c>
      <c r="L396" s="157"/>
      <c r="M396" s="360">
        <f t="shared" si="41"/>
        <v>635002</v>
      </c>
      <c r="N396" s="237">
        <f t="shared" si="42"/>
        <v>-1565.9971999999996</v>
      </c>
      <c r="O396" s="361"/>
      <c r="P396" s="361"/>
      <c r="Q396" s="361" t="s">
        <v>698</v>
      </c>
      <c r="R396" s="362">
        <f>IF(Q396="ekrk",INDEX(indexy_SDcast!$A:$C,MATCH($M396,indexy_SDcast!$A:$A,0),2),"")</f>
        <v>25</v>
      </c>
      <c r="S396" s="236"/>
      <c r="T396" s="364">
        <f t="shared" si="43"/>
        <v>635002</v>
      </c>
      <c r="U396" s="365">
        <f t="shared" ref="U396:U427" si="44">N396</f>
        <v>-1565.9971999999996</v>
      </c>
      <c r="V396" s="365">
        <f>IF($Q396="ekrk",IF($R396="data",IFERROR(INDEX(data!$A:$ALL,MATCH($M396,data!$A:$A,0),MATCH(V$2,data!$1:$1,0)),"#data"),IFERROR(U396*INDEX(indexy_SDcast!$A:$ALI,MATCH($R396,indexy_SDcast!$K:$K,0),MATCH(V$2,indexy_SDcast!$2:$2,0)),"#ekrk")),"#popis")</f>
        <v>-1577.8165552577364</v>
      </c>
      <c r="W396" s="365">
        <f>IF($Q396="ekrk",IF($R396="data",IFERROR(INDEX(data!$A:$ALL,MATCH($M396,data!$A:$A,0),MATCH(W$2,data!$1:$1,0)),"#data"),IFERROR(V396*INDEX(indexy_SDcast!$A:$ALI,MATCH($R396,indexy_SDcast!$K:$K,0),MATCH(W$2,indexy_SDcast!$2:$2,0)),"#ekrk")),"#popis")</f>
        <v>-1610.5556656091412</v>
      </c>
      <c r="X396" s="365">
        <f>IF($Q396="ekrk",IF($R396="data",IFERROR(INDEX(data!$A:$ALL,MATCH($M396,data!$A:$A,0),MATCH(X$2,data!$1:$1,0)),"#data"),IFERROR(W396*INDEX(indexy_SDcast!$A:$ALI,MATCH($R396,indexy_SDcast!$K:$K,0),MATCH(X$2,indexy_SDcast!$2:$2,0)),"#ekrk")),"#popis")</f>
        <v>-1647.191959866723</v>
      </c>
      <c r="Y396" s="362">
        <f>IF($Q396="ekrk",IF($R396="data",IFERROR(INDEX(data!$A:$ALL,MATCH($M396,data!$A:$A,0),MATCH(Y$2,data!$1:$1,0)),"#data"),IFERROR(X396*INDEX(indexy_SDcast!$A:$ALI,MATCH($R396,indexy_SDcast!$K:$K,0),MATCH(Y$2,indexy_SDcast!$2:$2,0)),"#ekrk")),"#popis")</f>
        <v>-1685.988851976929</v>
      </c>
    </row>
    <row r="397" spans="1:25" x14ac:dyDescent="0.25">
      <c r="A397" s="330">
        <v>635003</v>
      </c>
      <c r="B397" s="329">
        <v>-138.31206999999992</v>
      </c>
      <c r="C397" s="157"/>
      <c r="D397" s="330">
        <v>635003</v>
      </c>
      <c r="E397" s="329">
        <v>-138.31206999999992</v>
      </c>
      <c r="F397" s="157"/>
      <c r="G397" s="330">
        <v>635003</v>
      </c>
      <c r="H397" s="329">
        <v>-138.31206999999992</v>
      </c>
      <c r="I397" s="157"/>
      <c r="J397" s="330">
        <v>635003</v>
      </c>
      <c r="K397" s="329">
        <v>-138.31206999999992</v>
      </c>
      <c r="L397" s="157"/>
      <c r="M397" s="360">
        <f t="shared" si="41"/>
        <v>635003</v>
      </c>
      <c r="N397" s="237">
        <f t="shared" si="42"/>
        <v>-138.31206999999992</v>
      </c>
      <c r="O397" s="361"/>
      <c r="P397" s="361"/>
      <c r="Q397" s="361" t="s">
        <v>698</v>
      </c>
      <c r="R397" s="362">
        <f>IF(Q397="ekrk",INDEX(indexy_SDcast!$A:$C,MATCH($M397,indexy_SDcast!$A:$A,0),2),"")</f>
        <v>25</v>
      </c>
      <c r="S397" s="236"/>
      <c r="T397" s="364">
        <f t="shared" si="43"/>
        <v>635003</v>
      </c>
      <c r="U397" s="365">
        <f t="shared" si="44"/>
        <v>-138.31206999999992</v>
      </c>
      <c r="V397" s="365">
        <f>IF($Q397="ekrk",IF($R397="data",IFERROR(INDEX(data!$A:$ALL,MATCH($M397,data!$A:$A,0),MATCH(V$2,data!$1:$1,0)),"#data"),IFERROR(U397*INDEX(indexy_SDcast!$A:$ALI,MATCH($R397,indexy_SDcast!$K:$K,0),MATCH(V$2,indexy_SDcast!$2:$2,0)),"#ekrk")),"#popis")</f>
        <v>-139.35597958793721</v>
      </c>
      <c r="W397" s="365">
        <f>IF($Q397="ekrk",IF($R397="data",IFERROR(INDEX(data!$A:$ALL,MATCH($M397,data!$A:$A,0),MATCH(W$2,data!$1:$1,0)),"#data"),IFERROR(V397*INDEX(indexy_SDcast!$A:$ALI,MATCH($R397,indexy_SDcast!$K:$K,0),MATCH(W$2,indexy_SDcast!$2:$2,0)),"#ekrk")),"#popis")</f>
        <v>-142.24756465760478</v>
      </c>
      <c r="X397" s="365">
        <f>IF($Q397="ekrk",IF($R397="data",IFERROR(INDEX(data!$A:$ALL,MATCH($M397,data!$A:$A,0),MATCH(X$2,data!$1:$1,0)),"#data"),IFERROR(W397*INDEX(indexy_SDcast!$A:$ALI,MATCH($R397,indexy_SDcast!$K:$K,0),MATCH(X$2,indexy_SDcast!$2:$2,0)),"#ekrk")),"#popis")</f>
        <v>-145.48335696674508</v>
      </c>
      <c r="Y397" s="362">
        <f>IF($Q397="ekrk",IF($R397="data",IFERROR(INDEX(data!$A:$ALL,MATCH($M397,data!$A:$A,0),MATCH(Y$2,data!$1:$1,0)),"#data"),IFERROR(X397*INDEX(indexy_SDcast!$A:$ALI,MATCH($R397,indexy_SDcast!$K:$K,0),MATCH(Y$2,indexy_SDcast!$2:$2,0)),"#ekrk")),"#popis")</f>
        <v>-148.90997768952113</v>
      </c>
    </row>
    <row r="398" spans="1:25" x14ac:dyDescent="0.25">
      <c r="A398" s="330">
        <v>635004</v>
      </c>
      <c r="B398" s="329">
        <v>-7974.2858300000016</v>
      </c>
      <c r="C398" s="157"/>
      <c r="D398" s="330">
        <v>635004</v>
      </c>
      <c r="E398" s="329">
        <v>-7974.2858300000016</v>
      </c>
      <c r="F398" s="157"/>
      <c r="G398" s="330">
        <v>635004</v>
      </c>
      <c r="H398" s="329">
        <v>-7974.2858300000016</v>
      </c>
      <c r="I398" s="157"/>
      <c r="J398" s="330">
        <v>635004</v>
      </c>
      <c r="K398" s="329">
        <v>-7974.2858300000016</v>
      </c>
      <c r="L398" s="157"/>
      <c r="M398" s="360">
        <f t="shared" si="41"/>
        <v>635004</v>
      </c>
      <c r="N398" s="237">
        <f t="shared" si="42"/>
        <v>-7974.2858300000016</v>
      </c>
      <c r="O398" s="361"/>
      <c r="P398" s="361"/>
      <c r="Q398" s="361" t="s">
        <v>698</v>
      </c>
      <c r="R398" s="362">
        <f>IF(Q398="ekrk",INDEX(indexy_SDcast!$A:$C,MATCH($M398,indexy_SDcast!$A:$A,0),2),"")</f>
        <v>25</v>
      </c>
      <c r="S398" s="236"/>
      <c r="T398" s="364">
        <f t="shared" si="43"/>
        <v>635004</v>
      </c>
      <c r="U398" s="365">
        <f t="shared" si="44"/>
        <v>-7974.2858300000016</v>
      </c>
      <c r="V398" s="365">
        <f>IF($Q398="ekrk",IF($R398="data",IFERROR(INDEX(data!$A:$ALL,MATCH($M398,data!$A:$A,0),MATCH(V$2,data!$1:$1,0)),"#data"),IFERROR(U398*INDEX(indexy_SDcast!$A:$ALI,MATCH($R398,indexy_SDcast!$K:$K,0),MATCH(V$2,indexy_SDcast!$2:$2,0)),"#ekrk")),"#popis")</f>
        <v>-8034.4717084623044</v>
      </c>
      <c r="W398" s="365">
        <f>IF($Q398="ekrk",IF($R398="data",IFERROR(INDEX(data!$A:$ALL,MATCH($M398,data!$A:$A,0),MATCH(W$2,data!$1:$1,0)),"#data"),IFERROR(V398*INDEX(indexy_SDcast!$A:$ALI,MATCH($R398,indexy_SDcast!$K:$K,0),MATCH(W$2,indexy_SDcast!$2:$2,0)),"#ekrk")),"#popis")</f>
        <v>-8201.1840268253345</v>
      </c>
      <c r="X398" s="365">
        <f>IF($Q398="ekrk",IF($R398="data",IFERROR(INDEX(data!$A:$ALL,MATCH($M398,data!$A:$A,0),MATCH(X$2,data!$1:$1,0)),"#data"),IFERROR(W398*INDEX(indexy_SDcast!$A:$ALI,MATCH($R398,indexy_SDcast!$K:$K,0),MATCH(X$2,indexy_SDcast!$2:$2,0)),"#ekrk")),"#popis")</f>
        <v>-8387.7413732637233</v>
      </c>
      <c r="Y398" s="362">
        <f>IF($Q398="ekrk",IF($R398="data",IFERROR(INDEX(data!$A:$ALL,MATCH($M398,data!$A:$A,0),MATCH(Y$2,data!$1:$1,0)),"#data"),IFERROR(X398*INDEX(indexy_SDcast!$A:$ALI,MATCH($R398,indexy_SDcast!$K:$K,0),MATCH(Y$2,indexy_SDcast!$2:$2,0)),"#ekrk")),"#popis")</f>
        <v>-8585.3007986589</v>
      </c>
    </row>
    <row r="399" spans="1:25" x14ac:dyDescent="0.25">
      <c r="A399" s="330">
        <v>635005</v>
      </c>
      <c r="B399" s="329">
        <v>-313.00124000000005</v>
      </c>
      <c r="C399" s="157"/>
      <c r="D399" s="330">
        <v>635005</v>
      </c>
      <c r="E399" s="329">
        <v>-313.00124000000005</v>
      </c>
      <c r="F399" s="157"/>
      <c r="G399" s="330">
        <v>635005</v>
      </c>
      <c r="H399" s="329">
        <v>-313.00124000000005</v>
      </c>
      <c r="I399" s="157"/>
      <c r="J399" s="330">
        <v>635005</v>
      </c>
      <c r="K399" s="329">
        <v>-313.00124000000005</v>
      </c>
      <c r="L399" s="157"/>
      <c r="M399" s="360">
        <f t="shared" si="41"/>
        <v>635005</v>
      </c>
      <c r="N399" s="237">
        <f t="shared" si="42"/>
        <v>-313.00124000000005</v>
      </c>
      <c r="O399" s="361"/>
      <c r="P399" s="361"/>
      <c r="Q399" s="361" t="s">
        <v>698</v>
      </c>
      <c r="R399" s="362">
        <f>IF(Q399="ekrk",INDEX(indexy_SDcast!$A:$C,MATCH($M399,indexy_SDcast!$A:$A,0),2),"")</f>
        <v>25</v>
      </c>
      <c r="S399" s="236"/>
      <c r="T399" s="364">
        <f t="shared" si="43"/>
        <v>635005</v>
      </c>
      <c r="U399" s="365">
        <f t="shared" si="44"/>
        <v>-313.00124000000005</v>
      </c>
      <c r="V399" s="365">
        <f>IF($Q399="ekrk",IF($R399="data",IFERROR(INDEX(data!$A:$ALL,MATCH($M399,data!$A:$A,0),MATCH(V$2,data!$1:$1,0)),"#data"),IFERROR(U399*INDEX(indexy_SDcast!$A:$ALI,MATCH($R399,indexy_SDcast!$K:$K,0),MATCH(V$2,indexy_SDcast!$2:$2,0)),"#ekrk")),"#popis")</f>
        <v>-315.36361513813705</v>
      </c>
      <c r="W399" s="365">
        <f>IF($Q399="ekrk",IF($R399="data",IFERROR(INDEX(data!$A:$ALL,MATCH($M399,data!$A:$A,0),MATCH(W$2,data!$1:$1,0)),"#data"),IFERROR(V399*INDEX(indexy_SDcast!$A:$ALI,MATCH($R399,indexy_SDcast!$K:$K,0),MATCH(W$2,indexy_SDcast!$2:$2,0)),"#ekrk")),"#popis")</f>
        <v>-321.90729359202356</v>
      </c>
      <c r="X399" s="365">
        <f>IF($Q399="ekrk",IF($R399="data",IFERROR(INDEX(data!$A:$ALL,MATCH($M399,data!$A:$A,0),MATCH(X$2,data!$1:$1,0)),"#data"),IFERROR(W399*INDEX(indexy_SDcast!$A:$ALI,MATCH($R399,indexy_SDcast!$K:$K,0),MATCH(X$2,indexy_SDcast!$2:$2,0)),"#ekrk")),"#popis")</f>
        <v>-329.22991558114848</v>
      </c>
      <c r="Y399" s="362">
        <f>IF($Q399="ekrk",IF($R399="data",IFERROR(INDEX(data!$A:$ALL,MATCH($M399,data!$A:$A,0),MATCH(Y$2,data!$1:$1,0)),"#data"),IFERROR(X399*INDEX(indexy_SDcast!$A:$ALI,MATCH($R399,indexy_SDcast!$K:$K,0),MATCH(Y$2,indexy_SDcast!$2:$2,0)),"#ekrk")),"#popis")</f>
        <v>-336.98438368533198</v>
      </c>
    </row>
    <row r="400" spans="1:25" x14ac:dyDescent="0.25">
      <c r="A400" s="330">
        <v>635006</v>
      </c>
      <c r="B400" s="329">
        <v>-55053.884559999969</v>
      </c>
      <c r="C400" s="157"/>
      <c r="D400" s="330">
        <v>635006</v>
      </c>
      <c r="E400" s="329">
        <v>-55053.884559999969</v>
      </c>
      <c r="F400" s="157"/>
      <c r="G400" s="330">
        <v>635006</v>
      </c>
      <c r="H400" s="329">
        <v>-55053.884559999969</v>
      </c>
      <c r="I400" s="157"/>
      <c r="J400" s="330">
        <v>635006</v>
      </c>
      <c r="K400" s="329">
        <v>-55053.884559999969</v>
      </c>
      <c r="L400" s="157"/>
      <c r="M400" s="360">
        <f t="shared" si="41"/>
        <v>635006</v>
      </c>
      <c r="N400" s="237">
        <f t="shared" si="42"/>
        <v>-55053.884559999969</v>
      </c>
      <c r="O400" s="361"/>
      <c r="P400" s="361"/>
      <c r="Q400" s="361" t="s">
        <v>698</v>
      </c>
      <c r="R400" s="362">
        <f>IF(Q400="ekrk",INDEX(indexy_SDcast!$A:$C,MATCH($M400,indexy_SDcast!$A:$A,0),2),"")</f>
        <v>25</v>
      </c>
      <c r="S400" s="236"/>
      <c r="T400" s="364">
        <f t="shared" si="43"/>
        <v>635006</v>
      </c>
      <c r="U400" s="365">
        <f t="shared" si="44"/>
        <v>-55053.884559999969</v>
      </c>
      <c r="V400" s="365">
        <f>IF($Q400="ekrk",IF($R400="data",IFERROR(INDEX(data!$A:$ALL,MATCH($M400,data!$A:$A,0),MATCH(V$2,data!$1:$1,0)),"#data"),IFERROR(U400*INDEX(indexy_SDcast!$A:$ALI,MATCH($R400,indexy_SDcast!$K:$K,0),MATCH(V$2,indexy_SDcast!$2:$2,0)),"#ekrk")),"#popis")</f>
        <v>-55469.403451051032</v>
      </c>
      <c r="W400" s="365">
        <f>IF($Q400="ekrk",IF($R400="data",IFERROR(INDEX(data!$A:$ALL,MATCH($M400,data!$A:$A,0),MATCH(W$2,data!$1:$1,0)),"#data"),IFERROR(V400*INDEX(indexy_SDcast!$A:$ALI,MATCH($R400,indexy_SDcast!$K:$K,0),MATCH(W$2,indexy_SDcast!$2:$2,0)),"#ekrk")),"#popis")</f>
        <v>-56620.373070845591</v>
      </c>
      <c r="X400" s="365">
        <f>IF($Q400="ekrk",IF($R400="data",IFERROR(INDEX(data!$A:$ALL,MATCH($M400,data!$A:$A,0),MATCH(X$2,data!$1:$1,0)),"#data"),IFERROR(W400*INDEX(indexy_SDcast!$A:$ALI,MATCH($R400,indexy_SDcast!$K:$K,0),MATCH(X$2,indexy_SDcast!$2:$2,0)),"#ekrk")),"#popis")</f>
        <v>-57908.351309097292</v>
      </c>
      <c r="Y400" s="362">
        <f>IF($Q400="ekrk",IF($R400="data",IFERROR(INDEX(data!$A:$ALL,MATCH($M400,data!$A:$A,0),MATCH(Y$2,data!$1:$1,0)),"#data"),IFERROR(X400*INDEX(indexy_SDcast!$A:$ALI,MATCH($R400,indexy_SDcast!$K:$K,0),MATCH(Y$2,indexy_SDcast!$2:$2,0)),"#ekrk")),"#popis")</f>
        <v>-59272.287093607032</v>
      </c>
    </row>
    <row r="401" spans="1:25" x14ac:dyDescent="0.25">
      <c r="A401" s="330">
        <v>635007</v>
      </c>
      <c r="B401" s="329">
        <v>-9.1411299999999986</v>
      </c>
      <c r="C401" s="157"/>
      <c r="D401" s="330">
        <v>635007</v>
      </c>
      <c r="E401" s="329">
        <v>-9.1411299999999986</v>
      </c>
      <c r="F401" s="157"/>
      <c r="G401" s="330">
        <v>635007</v>
      </c>
      <c r="H401" s="329">
        <v>-9.1411299999999986</v>
      </c>
      <c r="I401" s="157"/>
      <c r="J401" s="330">
        <v>635007</v>
      </c>
      <c r="K401" s="329">
        <v>-9.1411299999999986</v>
      </c>
      <c r="L401" s="157"/>
      <c r="M401" s="360">
        <f t="shared" si="41"/>
        <v>635007</v>
      </c>
      <c r="N401" s="237">
        <f t="shared" si="42"/>
        <v>-9.1411299999999986</v>
      </c>
      <c r="O401" s="361"/>
      <c r="P401" s="361"/>
      <c r="Q401" s="361" t="s">
        <v>698</v>
      </c>
      <c r="R401" s="362">
        <f>IF(Q401="ekrk",INDEX(indexy_SDcast!$A:$C,MATCH($M401,indexy_SDcast!$A:$A,0),2),"")</f>
        <v>25</v>
      </c>
      <c r="S401" s="236"/>
      <c r="T401" s="364">
        <f t="shared" si="43"/>
        <v>635007</v>
      </c>
      <c r="U401" s="365">
        <f t="shared" si="44"/>
        <v>-9.1411299999999986</v>
      </c>
      <c r="V401" s="365">
        <f>IF($Q401="ekrk",IF($R401="data",IFERROR(INDEX(data!$A:$ALL,MATCH($M401,data!$A:$A,0),MATCH(V$2,data!$1:$1,0)),"#data"),IFERROR(U401*INDEX(indexy_SDcast!$A:$ALI,MATCH($R401,indexy_SDcast!$K:$K,0),MATCH(V$2,indexy_SDcast!$2:$2,0)),"#ekrk")),"#popis")</f>
        <v>-9.2101226284205069</v>
      </c>
      <c r="W401" s="365">
        <f>IF($Q401="ekrk",IF($R401="data",IFERROR(INDEX(data!$A:$ALL,MATCH($M401,data!$A:$A,0),MATCH(W$2,data!$1:$1,0)),"#data"),IFERROR(V401*INDEX(indexy_SDcast!$A:$ALI,MATCH($R401,indexy_SDcast!$K:$K,0),MATCH(W$2,indexy_SDcast!$2:$2,0)),"#ekrk")),"#popis")</f>
        <v>-9.4012292688452401</v>
      </c>
      <c r="X401" s="365">
        <f>IF($Q401="ekrk",IF($R401="data",IFERROR(INDEX(data!$A:$ALL,MATCH($M401,data!$A:$A,0),MATCH(X$2,data!$1:$1,0)),"#data"),IFERROR(W401*INDEX(indexy_SDcast!$A:$ALI,MATCH($R401,indexy_SDcast!$K:$K,0),MATCH(X$2,indexy_SDcast!$2:$2,0)),"#ekrk")),"#popis")</f>
        <v>-9.6150847779909832</v>
      </c>
      <c r="Y401" s="362">
        <f>IF($Q401="ekrk",IF($R401="data",IFERROR(INDEX(data!$A:$ALL,MATCH($M401,data!$A:$A,0),MATCH(Y$2,data!$1:$1,0)),"#data"),IFERROR(X401*INDEX(indexy_SDcast!$A:$ALI,MATCH($R401,indexy_SDcast!$K:$K,0),MATCH(Y$2,indexy_SDcast!$2:$2,0)),"#ekrk")),"#popis")</f>
        <v>-9.841552254673168</v>
      </c>
    </row>
    <row r="402" spans="1:25" x14ac:dyDescent="0.25">
      <c r="A402" s="330">
        <v>635008</v>
      </c>
      <c r="B402" s="329">
        <v>-65.936360000000008</v>
      </c>
      <c r="C402" s="157"/>
      <c r="D402" s="330">
        <v>635008</v>
      </c>
      <c r="E402" s="329">
        <v>-65.936360000000008</v>
      </c>
      <c r="F402" s="157"/>
      <c r="G402" s="330">
        <v>635008</v>
      </c>
      <c r="H402" s="329">
        <v>-65.936360000000008</v>
      </c>
      <c r="I402" s="157"/>
      <c r="J402" s="330">
        <v>635008</v>
      </c>
      <c r="K402" s="329">
        <v>-65.936360000000008</v>
      </c>
      <c r="L402" s="157"/>
      <c r="M402" s="360">
        <f t="shared" si="41"/>
        <v>635008</v>
      </c>
      <c r="N402" s="237">
        <f t="shared" si="42"/>
        <v>-65.936360000000008</v>
      </c>
      <c r="O402" s="361"/>
      <c r="P402" s="361"/>
      <c r="Q402" s="361" t="s">
        <v>698</v>
      </c>
      <c r="R402" s="362">
        <f>IF(Q402="ekrk",INDEX(indexy_SDcast!$A:$C,MATCH($M402,indexy_SDcast!$A:$A,0),2),"")</f>
        <v>25</v>
      </c>
      <c r="S402" s="236"/>
      <c r="T402" s="364">
        <f t="shared" si="43"/>
        <v>635008</v>
      </c>
      <c r="U402" s="365">
        <f t="shared" si="44"/>
        <v>-65.936360000000008</v>
      </c>
      <c r="V402" s="365">
        <f>IF($Q402="ekrk",IF($R402="data",IFERROR(INDEX(data!$A:$ALL,MATCH($M402,data!$A:$A,0),MATCH(V$2,data!$1:$1,0)),"#data"),IFERROR(U402*INDEX(indexy_SDcast!$A:$ALI,MATCH($R402,indexy_SDcast!$K:$K,0),MATCH(V$2,indexy_SDcast!$2:$2,0)),"#ekrk")),"#popis")</f>
        <v>-66.434014314606713</v>
      </c>
      <c r="W402" s="365">
        <f>IF($Q402="ekrk",IF($R402="data",IFERROR(INDEX(data!$A:$ALL,MATCH($M402,data!$A:$A,0),MATCH(W$2,data!$1:$1,0)),"#data"),IFERROR(V402*INDEX(indexy_SDcast!$A:$ALI,MATCH($R402,indexy_SDcast!$K:$K,0),MATCH(W$2,indexy_SDcast!$2:$2,0)),"#ekrk")),"#popis")</f>
        <v>-67.812495557235991</v>
      </c>
      <c r="X402" s="365">
        <f>IF($Q402="ekrk",IF($R402="data",IFERROR(INDEX(data!$A:$ALL,MATCH($M402,data!$A:$A,0),MATCH(X$2,data!$1:$1,0)),"#data"),IFERROR(W402*INDEX(indexy_SDcast!$A:$ALI,MATCH($R402,indexy_SDcast!$K:$K,0),MATCH(X$2,indexy_SDcast!$2:$2,0)),"#ekrk")),"#popis")</f>
        <v>-69.355067847425175</v>
      </c>
      <c r="Y402" s="362">
        <f>IF($Q402="ekrk",IF($R402="data",IFERROR(INDEX(data!$A:$ALL,MATCH($M402,data!$A:$A,0),MATCH(Y$2,data!$1:$1,0)),"#data"),IFERROR(X402*INDEX(indexy_SDcast!$A:$ALI,MATCH($R402,indexy_SDcast!$K:$K,0),MATCH(Y$2,indexy_SDcast!$2:$2,0)),"#ekrk")),"#popis")</f>
        <v>-70.988612176278195</v>
      </c>
    </row>
    <row r="403" spans="1:25" x14ac:dyDescent="0.25">
      <c r="A403" s="330">
        <v>635009</v>
      </c>
      <c r="B403" s="329">
        <v>-1174.6400699999992</v>
      </c>
      <c r="C403" s="157"/>
      <c r="D403" s="330">
        <v>635009</v>
      </c>
      <c r="E403" s="329">
        <v>-1174.6400699999992</v>
      </c>
      <c r="F403" s="157"/>
      <c r="G403" s="330">
        <v>635009</v>
      </c>
      <c r="H403" s="329">
        <v>-1174.6400699999992</v>
      </c>
      <c r="I403" s="157"/>
      <c r="J403" s="330">
        <v>635009</v>
      </c>
      <c r="K403" s="329">
        <v>-1174.6400699999992</v>
      </c>
      <c r="L403" s="157"/>
      <c r="M403" s="360">
        <f t="shared" si="41"/>
        <v>635009</v>
      </c>
      <c r="N403" s="237">
        <f t="shared" si="42"/>
        <v>-1174.6400699999992</v>
      </c>
      <c r="O403" s="361"/>
      <c r="P403" s="361"/>
      <c r="Q403" s="361" t="s">
        <v>698</v>
      </c>
      <c r="R403" s="362">
        <f>IF(Q403="ekrk",INDEX(indexy_SDcast!$A:$C,MATCH($M403,indexy_SDcast!$A:$A,0),2),"")</f>
        <v>25</v>
      </c>
      <c r="S403" s="236"/>
      <c r="T403" s="364">
        <f t="shared" si="43"/>
        <v>635009</v>
      </c>
      <c r="U403" s="365">
        <f t="shared" si="44"/>
        <v>-1174.6400699999992</v>
      </c>
      <c r="V403" s="365">
        <f>IF($Q403="ekrk",IF($R403="data",IFERROR(INDEX(data!$A:$ALL,MATCH($M403,data!$A:$A,0),MATCH(V$2,data!$1:$1,0)),"#data"),IFERROR(U403*INDEX(indexy_SDcast!$A:$ALI,MATCH($R403,indexy_SDcast!$K:$K,0),MATCH(V$2,indexy_SDcast!$2:$2,0)),"#ekrk")),"#popis")</f>
        <v>-1183.5056594705952</v>
      </c>
      <c r="W403" s="365">
        <f>IF($Q403="ekrk",IF($R403="data",IFERROR(INDEX(data!$A:$ALL,MATCH($M403,data!$A:$A,0),MATCH(W$2,data!$1:$1,0)),"#data"),IFERROR(V403*INDEX(indexy_SDcast!$A:$ALI,MATCH($R403,indexy_SDcast!$K:$K,0),MATCH(W$2,indexy_SDcast!$2:$2,0)),"#ekrk")),"#popis")</f>
        <v>-1208.0629644740218</v>
      </c>
      <c r="X403" s="365">
        <f>IF($Q403="ekrk",IF($R403="data",IFERROR(INDEX(data!$A:$ALL,MATCH($M403,data!$A:$A,0),MATCH(X$2,data!$1:$1,0)),"#data"),IFERROR(W403*INDEX(indexy_SDcast!$A:$ALI,MATCH($R403,indexy_SDcast!$K:$K,0),MATCH(X$2,indexy_SDcast!$2:$2,0)),"#ekrk")),"#popis")</f>
        <v>-1235.5435112152718</v>
      </c>
      <c r="Y403" s="362">
        <f>IF($Q403="ekrk",IF($R403="data",IFERROR(INDEX(data!$A:$ALL,MATCH($M403,data!$A:$A,0),MATCH(Y$2,data!$1:$1,0)),"#data"),IFERROR(X403*INDEX(indexy_SDcast!$A:$ALI,MATCH($R403,indexy_SDcast!$K:$K,0),MATCH(Y$2,indexy_SDcast!$2:$2,0)),"#ekrk")),"#popis")</f>
        <v>-1264.6447024971687</v>
      </c>
    </row>
    <row r="404" spans="1:25" x14ac:dyDescent="0.25">
      <c r="A404" s="330">
        <v>635010</v>
      </c>
      <c r="B404" s="329">
        <v>-187.77415000000005</v>
      </c>
      <c r="C404" s="157"/>
      <c r="D404" s="330">
        <v>635010</v>
      </c>
      <c r="E404" s="329">
        <v>-187.77415000000005</v>
      </c>
      <c r="F404" s="157"/>
      <c r="G404" s="330">
        <v>635010</v>
      </c>
      <c r="H404" s="329">
        <v>-187.77415000000005</v>
      </c>
      <c r="I404" s="157"/>
      <c r="J404" s="330">
        <v>635010</v>
      </c>
      <c r="K404" s="329">
        <v>-187.77415000000005</v>
      </c>
      <c r="L404" s="157"/>
      <c r="M404" s="360">
        <f t="shared" si="41"/>
        <v>635010</v>
      </c>
      <c r="N404" s="237">
        <f t="shared" si="42"/>
        <v>-187.77415000000005</v>
      </c>
      <c r="O404" s="361"/>
      <c r="P404" s="361"/>
      <c r="Q404" s="361" t="s">
        <v>698</v>
      </c>
      <c r="R404" s="362">
        <f>IF(Q404="ekrk",INDEX(indexy_SDcast!$A:$C,MATCH($M404,indexy_SDcast!$A:$A,0),2),"")</f>
        <v>25</v>
      </c>
      <c r="S404" s="236"/>
      <c r="T404" s="364">
        <f t="shared" si="43"/>
        <v>635010</v>
      </c>
      <c r="U404" s="365">
        <f t="shared" si="44"/>
        <v>-187.77415000000005</v>
      </c>
      <c r="V404" s="365">
        <f>IF($Q404="ekrk",IF($R404="data",IFERROR(INDEX(data!$A:$ALL,MATCH($M404,data!$A:$A,0),MATCH(V$2,data!$1:$1,0)),"#data"),IFERROR(U404*INDEX(indexy_SDcast!$A:$ALI,MATCH($R404,indexy_SDcast!$K:$K,0),MATCH(V$2,indexy_SDcast!$2:$2,0)),"#ekrk")),"#popis")</f>
        <v>-189.19137436481344</v>
      </c>
      <c r="W404" s="365">
        <f>IF($Q404="ekrk",IF($R404="data",IFERROR(INDEX(data!$A:$ALL,MATCH($M404,data!$A:$A,0),MATCH(W$2,data!$1:$1,0)),"#data"),IFERROR(V404*INDEX(indexy_SDcast!$A:$ALI,MATCH($R404,indexy_SDcast!$K:$K,0),MATCH(W$2,indexy_SDcast!$2:$2,0)),"#ekrk")),"#popis")</f>
        <v>-193.11702545664889</v>
      </c>
      <c r="X404" s="365">
        <f>IF($Q404="ekrk",IF($R404="data",IFERROR(INDEX(data!$A:$ALL,MATCH($M404,data!$A:$A,0),MATCH(X$2,data!$1:$1,0)),"#data"),IFERROR(W404*INDEX(indexy_SDcast!$A:$ALI,MATCH($R404,indexy_SDcast!$K:$K,0),MATCH(X$2,indexy_SDcast!$2:$2,0)),"#ekrk")),"#popis")</f>
        <v>-197.50997648706408</v>
      </c>
      <c r="Y404" s="362">
        <f>IF($Q404="ekrk",IF($R404="data",IFERROR(INDEX(data!$A:$ALL,MATCH($M404,data!$A:$A,0),MATCH(Y$2,data!$1:$1,0)),"#data"),IFERROR(X404*INDEX(indexy_SDcast!$A:$ALI,MATCH($R404,indexy_SDcast!$K:$K,0),MATCH(Y$2,indexy_SDcast!$2:$2,0)),"#ekrk")),"#popis")</f>
        <v>-202.16199849491673</v>
      </c>
    </row>
    <row r="405" spans="1:25" x14ac:dyDescent="0.25">
      <c r="A405" s="330">
        <v>635200</v>
      </c>
      <c r="B405" s="329">
        <v>-24.279209999999999</v>
      </c>
      <c r="C405" s="157"/>
      <c r="D405" s="330">
        <v>635200</v>
      </c>
      <c r="E405" s="329">
        <v>-24.279209999999999</v>
      </c>
      <c r="F405" s="157"/>
      <c r="G405" s="330">
        <v>635200</v>
      </c>
      <c r="H405" s="329">
        <v>-24.279209999999999</v>
      </c>
      <c r="I405" s="157"/>
      <c r="J405" s="330">
        <v>635200</v>
      </c>
      <c r="K405" s="329">
        <v>-24.279209999999999</v>
      </c>
      <c r="L405" s="157"/>
      <c r="M405" s="360">
        <f t="shared" si="41"/>
        <v>635200</v>
      </c>
      <c r="N405" s="237">
        <f t="shared" si="42"/>
        <v>-24.279209999999999</v>
      </c>
      <c r="O405" s="361"/>
      <c r="P405" s="361"/>
      <c r="Q405" s="361" t="s">
        <v>698</v>
      </c>
      <c r="R405" s="362">
        <f>IF(Q405="ekrk",INDEX(indexy_SDcast!$A:$C,MATCH($M405,indexy_SDcast!$A:$A,0),2),"")</f>
        <v>25</v>
      </c>
      <c r="S405" s="236"/>
      <c r="T405" s="364">
        <f t="shared" si="43"/>
        <v>635200</v>
      </c>
      <c r="U405" s="365">
        <f t="shared" si="44"/>
        <v>-24.279209999999999</v>
      </c>
      <c r="V405" s="365">
        <f>IF($Q405="ekrk",IF($R405="data",IFERROR(INDEX(data!$A:$ALL,MATCH($M405,data!$A:$A,0),MATCH(V$2,data!$1:$1,0)),"#data"),IFERROR(U405*INDEX(indexy_SDcast!$A:$ALI,MATCH($R405,indexy_SDcast!$K:$K,0),MATCH(V$2,indexy_SDcast!$2:$2,0)),"#ekrk")),"#popis")</f>
        <v>-24.46245720399704</v>
      </c>
      <c r="W405" s="365">
        <f>IF($Q405="ekrk",IF($R405="data",IFERROR(INDEX(data!$A:$ALL,MATCH($M405,data!$A:$A,0),MATCH(W$2,data!$1:$1,0)),"#data"),IFERROR(V405*INDEX(indexy_SDcast!$A:$ALI,MATCH($R405,indexy_SDcast!$K:$K,0),MATCH(W$2,indexy_SDcast!$2:$2,0)),"#ekrk")),"#popis")</f>
        <v>-24.970044149513249</v>
      </c>
      <c r="X405" s="365">
        <f>IF($Q405="ekrk",IF($R405="data",IFERROR(INDEX(data!$A:$ALL,MATCH($M405,data!$A:$A,0),MATCH(X$2,data!$1:$1,0)),"#data"),IFERROR(W405*INDEX(indexy_SDcast!$A:$ALI,MATCH($R405,indexy_SDcast!$K:$K,0),MATCH(X$2,indexy_SDcast!$2:$2,0)),"#ekrk")),"#popis")</f>
        <v>-25.538053007959245</v>
      </c>
      <c r="Y405" s="362">
        <f>IF($Q405="ekrk",IF($R405="data",IFERROR(INDEX(data!$A:$ALL,MATCH($M405,data!$A:$A,0),MATCH(Y$2,data!$1:$1,0)),"#data"),IFERROR(X405*INDEX(indexy_SDcast!$A:$ALI,MATCH($R405,indexy_SDcast!$K:$K,0),MATCH(Y$2,indexy_SDcast!$2:$2,0)),"#ekrk")),"#popis")</f>
        <v>-26.139559760903015</v>
      </c>
    </row>
    <row r="406" spans="1:25" x14ac:dyDescent="0.25">
      <c r="A406" s="330">
        <v>636001</v>
      </c>
      <c r="B406" s="329">
        <v>-5038.506019999998</v>
      </c>
      <c r="C406" s="157"/>
      <c r="D406" s="330">
        <v>636001</v>
      </c>
      <c r="E406" s="329">
        <v>-5038.506019999998</v>
      </c>
      <c r="F406" s="157"/>
      <c r="G406" s="330">
        <v>636001</v>
      </c>
      <c r="H406" s="329">
        <v>-5038.506019999998</v>
      </c>
      <c r="I406" s="157"/>
      <c r="J406" s="330">
        <v>636001</v>
      </c>
      <c r="K406" s="329">
        <v>-5038.506019999998</v>
      </c>
      <c r="L406" s="157"/>
      <c r="M406" s="360">
        <f t="shared" si="41"/>
        <v>636001</v>
      </c>
      <c r="N406" s="237">
        <f t="shared" si="42"/>
        <v>-5038.506019999998</v>
      </c>
      <c r="O406" s="361"/>
      <c r="P406" s="361"/>
      <c r="Q406" s="361" t="s">
        <v>698</v>
      </c>
      <c r="R406" s="362">
        <v>25</v>
      </c>
      <c r="S406" s="236"/>
      <c r="T406" s="364">
        <f t="shared" si="43"/>
        <v>636001</v>
      </c>
      <c r="U406" s="365">
        <f t="shared" si="44"/>
        <v>-5038.506019999998</v>
      </c>
      <c r="V406" s="365">
        <f>IF($Q406="ekrk",IF($R406="data",IFERROR(INDEX(data!$A:$ALL,MATCH($M406,data!$A:$A,0),MATCH(V$2,data!$1:$1,0)),"#data"),IFERROR(U406*INDEX(indexy_SDcast!$A:$ALI,MATCH($R406,indexy_SDcast!$K:$K,0),MATCH(V$2,indexy_SDcast!$2:$2,0)),"#ekrk")),"#popis")</f>
        <v>-5076.5341164861384</v>
      </c>
      <c r="W406" s="365">
        <f>IF($Q406="ekrk",IF($R406="data",IFERROR(INDEX(data!$A:$ALL,MATCH($M406,data!$A:$A,0),MATCH(W$2,data!$1:$1,0)),"#data"),IFERROR(V406*INDEX(indexy_SDcast!$A:$ALI,MATCH($R406,indexy_SDcast!$K:$K,0),MATCH(W$2,indexy_SDcast!$2:$2,0)),"#ekrk")),"#popis")</f>
        <v>-5181.870323086634</v>
      </c>
      <c r="X406" s="365">
        <f>IF($Q406="ekrk",IF($R406="data",IFERROR(INDEX(data!$A:$ALL,MATCH($M406,data!$A:$A,0),MATCH(X$2,data!$1:$1,0)),"#data"),IFERROR(W406*INDEX(indexy_SDcast!$A:$ALI,MATCH($R406,indexy_SDcast!$K:$K,0),MATCH(X$2,indexy_SDcast!$2:$2,0)),"#ekrk")),"#popis")</f>
        <v>-5299.7454950009369</v>
      </c>
      <c r="Y406" s="362">
        <f>IF($Q406="ekrk",IF($R406="data",IFERROR(INDEX(data!$A:$ALL,MATCH($M406,data!$A:$A,0),MATCH(Y$2,data!$1:$1,0)),"#data"),IFERROR(X406*INDEX(indexy_SDcast!$A:$ALI,MATCH($R406,indexy_SDcast!$K:$K,0),MATCH(Y$2,indexy_SDcast!$2:$2,0)),"#ekrk")),"#popis")</f>
        <v>-5424.5722663735569</v>
      </c>
    </row>
    <row r="407" spans="1:25" x14ac:dyDescent="0.25">
      <c r="A407" s="330">
        <v>636002</v>
      </c>
      <c r="B407" s="329">
        <v>-829.48988999999949</v>
      </c>
      <c r="C407" s="157"/>
      <c r="D407" s="330">
        <v>636002</v>
      </c>
      <c r="E407" s="329">
        <v>-829.48988999999949</v>
      </c>
      <c r="F407" s="157"/>
      <c r="G407" s="330">
        <v>636002</v>
      </c>
      <c r="H407" s="329">
        <v>-829.48988999999949</v>
      </c>
      <c r="I407" s="157"/>
      <c r="J407" s="330">
        <v>636002</v>
      </c>
      <c r="K407" s="329">
        <v>-829.48988999999949</v>
      </c>
      <c r="L407" s="157"/>
      <c r="M407" s="360">
        <f t="shared" si="41"/>
        <v>636002</v>
      </c>
      <c r="N407" s="237">
        <f t="shared" si="42"/>
        <v>-829.48988999999949</v>
      </c>
      <c r="O407" s="361"/>
      <c r="P407" s="361"/>
      <c r="Q407" s="361" t="s">
        <v>698</v>
      </c>
      <c r="R407" s="362">
        <f>IF(Q407="ekrk",INDEX(indexy_SDcast!$A:$C,MATCH($M407,indexy_SDcast!$A:$A,0),2),"")</f>
        <v>25</v>
      </c>
      <c r="S407" s="236"/>
      <c r="T407" s="364">
        <f t="shared" si="43"/>
        <v>636002</v>
      </c>
      <c r="U407" s="365">
        <f t="shared" si="44"/>
        <v>-829.48988999999949</v>
      </c>
      <c r="V407" s="365">
        <f>IF($Q407="ekrk",IF($R407="data",IFERROR(INDEX(data!$A:$ALL,MATCH($M407,data!$A:$A,0),MATCH(V$2,data!$1:$1,0)),"#data"),IFERROR(U407*INDEX(indexy_SDcast!$A:$ALI,MATCH($R407,indexy_SDcast!$K:$K,0),MATCH(V$2,indexy_SDcast!$2:$2,0)),"#ekrk")),"#popis")</f>
        <v>-835.75046038455127</v>
      </c>
      <c r="W407" s="365">
        <f>IF($Q407="ekrk",IF($R407="data",IFERROR(INDEX(data!$A:$ALL,MATCH($M407,data!$A:$A,0),MATCH(W$2,data!$1:$1,0)),"#data"),IFERROR(V407*INDEX(indexy_SDcast!$A:$ALI,MATCH($R407,indexy_SDcast!$K:$K,0),MATCH(W$2,indexy_SDcast!$2:$2,0)),"#ekrk")),"#popis")</f>
        <v>-853.09197353929039</v>
      </c>
      <c r="X407" s="365">
        <f>IF($Q407="ekrk",IF($R407="data",IFERROR(INDEX(data!$A:$ALL,MATCH($M407,data!$A:$A,0),MATCH(X$2,data!$1:$1,0)),"#data"),IFERROR(W407*INDEX(indexy_SDcast!$A:$ALI,MATCH($R407,indexy_SDcast!$K:$K,0),MATCH(X$2,indexy_SDcast!$2:$2,0)),"#ekrk")),"#popis")</f>
        <v>-872.4977781561372</v>
      </c>
      <c r="Y407" s="362">
        <f>IF($Q407="ekrk",IF($R407="data",IFERROR(INDEX(data!$A:$ALL,MATCH($M407,data!$A:$A,0),MATCH(Y$2,data!$1:$1,0)),"#data"),IFERROR(X407*INDEX(indexy_SDcast!$A:$ALI,MATCH($R407,indexy_SDcast!$K:$K,0),MATCH(Y$2,indexy_SDcast!$2:$2,0)),"#ekrk")),"#popis")</f>
        <v>-893.04802548022985</v>
      </c>
    </row>
    <row r="408" spans="1:25" x14ac:dyDescent="0.25">
      <c r="A408" s="330">
        <v>636003</v>
      </c>
      <c r="B408" s="329">
        <v>-93.374200000000002</v>
      </c>
      <c r="C408" s="157"/>
      <c r="D408" s="330">
        <v>636003</v>
      </c>
      <c r="E408" s="329">
        <v>-93.374200000000002</v>
      </c>
      <c r="F408" s="157"/>
      <c r="G408" s="330">
        <v>636003</v>
      </c>
      <c r="H408" s="329">
        <v>-93.374200000000002</v>
      </c>
      <c r="I408" s="157"/>
      <c r="J408" s="330">
        <v>636003</v>
      </c>
      <c r="K408" s="329">
        <v>-93.374200000000002</v>
      </c>
      <c r="L408" s="157"/>
      <c r="M408" s="360">
        <f t="shared" si="41"/>
        <v>636003</v>
      </c>
      <c r="N408" s="237">
        <f t="shared" si="42"/>
        <v>-93.374200000000002</v>
      </c>
      <c r="O408" s="361"/>
      <c r="P408" s="361"/>
      <c r="Q408" s="361" t="s">
        <v>698</v>
      </c>
      <c r="R408" s="362">
        <f>IF(Q408="ekrk",INDEX(indexy_SDcast!$A:$C,MATCH($M408,indexy_SDcast!$A:$A,0),2),"")</f>
        <v>25</v>
      </c>
      <c r="S408" s="236"/>
      <c r="T408" s="364">
        <f t="shared" si="43"/>
        <v>636003</v>
      </c>
      <c r="U408" s="365">
        <f t="shared" si="44"/>
        <v>-93.374200000000002</v>
      </c>
      <c r="V408" s="365">
        <f>IF($Q408="ekrk",IF($R408="data",IFERROR(INDEX(data!$A:$ALL,MATCH($M408,data!$A:$A,0),MATCH(V$2,data!$1:$1,0)),"#data"),IFERROR(U408*INDEX(indexy_SDcast!$A:$ALI,MATCH($R408,indexy_SDcast!$K:$K,0),MATCH(V$2,indexy_SDcast!$2:$2,0)),"#ekrk")),"#popis")</f>
        <v>-94.078941261163791</v>
      </c>
      <c r="W408" s="365">
        <f>IF($Q408="ekrk",IF($R408="data",IFERROR(INDEX(data!$A:$ALL,MATCH($M408,data!$A:$A,0),MATCH(W$2,data!$1:$1,0)),"#data"),IFERROR(V408*INDEX(indexy_SDcast!$A:$ALI,MATCH($R408,indexy_SDcast!$K:$K,0),MATCH(W$2,indexy_SDcast!$2:$2,0)),"#ekrk")),"#popis")</f>
        <v>-96.031044520208027</v>
      </c>
      <c r="X408" s="365">
        <f>IF($Q408="ekrk",IF($R408="data",IFERROR(INDEX(data!$A:$ALL,MATCH($M408,data!$A:$A,0),MATCH(X$2,data!$1:$1,0)),"#data"),IFERROR(W408*INDEX(indexy_SDcast!$A:$ALI,MATCH($R408,indexy_SDcast!$K:$K,0),MATCH(X$2,indexy_SDcast!$2:$2,0)),"#ekrk")),"#popis")</f>
        <v>-98.215521393644522</v>
      </c>
      <c r="Y408" s="362">
        <f>IF($Q408="ekrk",IF($R408="data",IFERROR(INDEX(data!$A:$ALL,MATCH($M408,data!$A:$A,0),MATCH(Y$2,data!$1:$1,0)),"#data"),IFERROR(X408*INDEX(indexy_SDcast!$A:$ALI,MATCH($R408,indexy_SDcast!$K:$K,0),MATCH(Y$2,indexy_SDcast!$2:$2,0)),"#ekrk")),"#popis")</f>
        <v>-100.52882614494088</v>
      </c>
    </row>
    <row r="409" spans="1:25" x14ac:dyDescent="0.25">
      <c r="A409" s="330">
        <v>636004</v>
      </c>
      <c r="B409" s="329">
        <v>-68.302679999999981</v>
      </c>
      <c r="C409" s="157"/>
      <c r="D409" s="330">
        <v>636004</v>
      </c>
      <c r="E409" s="329">
        <v>-68.302679999999981</v>
      </c>
      <c r="F409" s="157"/>
      <c r="G409" s="330">
        <v>636004</v>
      </c>
      <c r="H409" s="329">
        <v>-68.302679999999981</v>
      </c>
      <c r="I409" s="157"/>
      <c r="J409" s="330">
        <v>636004</v>
      </c>
      <c r="K409" s="329">
        <v>-68.302679999999981</v>
      </c>
      <c r="L409" s="157"/>
      <c r="M409" s="360">
        <f t="shared" si="41"/>
        <v>636004</v>
      </c>
      <c r="N409" s="237">
        <f t="shared" si="42"/>
        <v>-68.302679999999981</v>
      </c>
      <c r="O409" s="361"/>
      <c r="P409" s="361"/>
      <c r="Q409" s="361" t="s">
        <v>698</v>
      </c>
      <c r="R409" s="362">
        <f>IF(Q409="ekrk",INDEX(indexy_SDcast!$A:$C,MATCH($M409,indexy_SDcast!$A:$A,0),2),"")</f>
        <v>25</v>
      </c>
      <c r="S409" s="236"/>
      <c r="T409" s="364">
        <f t="shared" si="43"/>
        <v>636004</v>
      </c>
      <c r="U409" s="365">
        <f t="shared" si="44"/>
        <v>-68.302679999999981</v>
      </c>
      <c r="V409" s="365">
        <f>IF($Q409="ekrk",IF($R409="data",IFERROR(INDEX(data!$A:$ALL,MATCH($M409,data!$A:$A,0),MATCH(V$2,data!$1:$1,0)),"#data"),IFERROR(U409*INDEX(indexy_SDcast!$A:$ALI,MATCH($R409,indexy_SDcast!$K:$K,0),MATCH(V$2,indexy_SDcast!$2:$2,0)),"#ekrk")),"#popis")</f>
        <v>-68.818194101797559</v>
      </c>
      <c r="W409" s="365">
        <f>IF($Q409="ekrk",IF($R409="data",IFERROR(INDEX(data!$A:$ALL,MATCH($M409,data!$A:$A,0),MATCH(W$2,data!$1:$1,0)),"#data"),IFERROR(V409*INDEX(indexy_SDcast!$A:$ALI,MATCH($R409,indexy_SDcast!$K:$K,0),MATCH(W$2,indexy_SDcast!$2:$2,0)),"#ekrk")),"#popis")</f>
        <v>-70.246146193804293</v>
      </c>
      <c r="X409" s="365">
        <f>IF($Q409="ekrk",IF($R409="data",IFERROR(INDEX(data!$A:$ALL,MATCH($M409,data!$A:$A,0),MATCH(X$2,data!$1:$1,0)),"#data"),IFERROR(W409*INDEX(indexy_SDcast!$A:$ALI,MATCH($R409,indexy_SDcast!$K:$K,0),MATCH(X$2,indexy_SDcast!$2:$2,0)),"#ekrk")),"#popis")</f>
        <v>-71.844078222713065</v>
      </c>
      <c r="Y409" s="362">
        <f>IF($Q409="ekrk",IF($R409="data",IFERROR(INDEX(data!$A:$ALL,MATCH($M409,data!$A:$A,0),MATCH(Y$2,data!$1:$1,0)),"#data"),IFERROR(X409*INDEX(indexy_SDcast!$A:$ALI,MATCH($R409,indexy_SDcast!$K:$K,0),MATCH(Y$2,indexy_SDcast!$2:$2,0)),"#ekrk")),"#popis")</f>
        <v>-73.536247089169493</v>
      </c>
    </row>
    <row r="410" spans="1:25" x14ac:dyDescent="0.25">
      <c r="A410" s="330">
        <v>636005</v>
      </c>
      <c r="B410" s="329">
        <v>-20.110599999999998</v>
      </c>
      <c r="C410" s="157"/>
      <c r="D410" s="330">
        <v>636005</v>
      </c>
      <c r="E410" s="329">
        <v>-20.110599999999998</v>
      </c>
      <c r="F410" s="157"/>
      <c r="G410" s="330">
        <v>636005</v>
      </c>
      <c r="H410" s="329">
        <v>-20.110599999999998</v>
      </c>
      <c r="I410" s="157"/>
      <c r="J410" s="330">
        <v>636005</v>
      </c>
      <c r="K410" s="329">
        <v>-20.110599999999998</v>
      </c>
      <c r="L410" s="157"/>
      <c r="M410" s="360">
        <f t="shared" si="41"/>
        <v>636005</v>
      </c>
      <c r="N410" s="237">
        <f t="shared" si="42"/>
        <v>-20.110599999999998</v>
      </c>
      <c r="O410" s="361"/>
      <c r="P410" s="361"/>
      <c r="Q410" s="361" t="s">
        <v>698</v>
      </c>
      <c r="R410" s="362">
        <f>IF(Q410="ekrk",INDEX(indexy_SDcast!$A:$C,MATCH($M410,indexy_SDcast!$A:$A,0),2),"")</f>
        <v>25</v>
      </c>
      <c r="S410" s="236"/>
      <c r="T410" s="364">
        <f t="shared" si="43"/>
        <v>636005</v>
      </c>
      <c r="U410" s="365">
        <f t="shared" si="44"/>
        <v>-20.110599999999998</v>
      </c>
      <c r="V410" s="365">
        <f>IF($Q410="ekrk",IF($R410="data",IFERROR(INDEX(data!$A:$ALL,MATCH($M410,data!$A:$A,0),MATCH(V$2,data!$1:$1,0)),"#data"),IFERROR(U410*INDEX(indexy_SDcast!$A:$ALI,MATCH($R410,indexy_SDcast!$K:$K,0),MATCH(V$2,indexy_SDcast!$2:$2,0)),"#ekrk")),"#popis")</f>
        <v>-20.262384642939487</v>
      </c>
      <c r="W410" s="365">
        <f>IF($Q410="ekrk",IF($R410="data",IFERROR(INDEX(data!$A:$ALL,MATCH($M410,data!$A:$A,0),MATCH(W$2,data!$1:$1,0)),"#data"),IFERROR(V410*INDEX(indexy_SDcast!$A:$ALI,MATCH($R410,indexy_SDcast!$K:$K,0),MATCH(W$2,indexy_SDcast!$2:$2,0)),"#ekrk")),"#popis")</f>
        <v>-20.682821635185043</v>
      </c>
      <c r="X410" s="365">
        <f>IF($Q410="ekrk",IF($R410="data",IFERROR(INDEX(data!$A:$ALL,MATCH($M410,data!$A:$A,0),MATCH(X$2,data!$1:$1,0)),"#data"),IFERROR(W410*INDEX(indexy_SDcast!$A:$ALI,MATCH($R410,indexy_SDcast!$K:$K,0),MATCH(X$2,indexy_SDcast!$2:$2,0)),"#ekrk")),"#popis")</f>
        <v>-21.153306422320373</v>
      </c>
      <c r="Y410" s="362">
        <f>IF($Q410="ekrk",IF($R410="data",IFERROR(INDEX(data!$A:$ALL,MATCH($M410,data!$A:$A,0),MATCH(Y$2,data!$1:$1,0)),"#data"),IFERROR(X410*INDEX(indexy_SDcast!$A:$ALI,MATCH($R410,indexy_SDcast!$K:$K,0),MATCH(Y$2,indexy_SDcast!$2:$2,0)),"#ekrk")),"#popis")</f>
        <v>-21.651537695321061</v>
      </c>
    </row>
    <row r="411" spans="1:25" x14ac:dyDescent="0.25">
      <c r="A411" s="330">
        <v>636006</v>
      </c>
      <c r="B411" s="329">
        <v>-13.982910000000004</v>
      </c>
      <c r="C411" s="157"/>
      <c r="D411" s="330">
        <v>636006</v>
      </c>
      <c r="E411" s="329">
        <v>-13.982910000000004</v>
      </c>
      <c r="F411" s="157"/>
      <c r="G411" s="330">
        <v>636006</v>
      </c>
      <c r="H411" s="329">
        <v>-13.982910000000004</v>
      </c>
      <c r="I411" s="157"/>
      <c r="J411" s="330">
        <v>636006</v>
      </c>
      <c r="K411" s="329">
        <v>-13.982910000000004</v>
      </c>
      <c r="L411" s="157"/>
      <c r="M411" s="360">
        <f t="shared" si="41"/>
        <v>636006</v>
      </c>
      <c r="N411" s="237">
        <f t="shared" si="42"/>
        <v>-13.982910000000004</v>
      </c>
      <c r="O411" s="361"/>
      <c r="P411" s="361"/>
      <c r="Q411" s="361" t="s">
        <v>698</v>
      </c>
      <c r="R411" s="362">
        <f>IF(Q411="ekrk",INDEX(indexy_SDcast!$A:$C,MATCH($M411,indexy_SDcast!$A:$A,0),2),"")</f>
        <v>25</v>
      </c>
      <c r="S411" s="236"/>
      <c r="T411" s="364">
        <f t="shared" si="43"/>
        <v>636006</v>
      </c>
      <c r="U411" s="365">
        <f t="shared" si="44"/>
        <v>-13.982910000000004</v>
      </c>
      <c r="V411" s="365">
        <f>IF($Q411="ekrk",IF($R411="data",IFERROR(INDEX(data!$A:$ALL,MATCH($M411,data!$A:$A,0),MATCH(V$2,data!$1:$1,0)),"#data"),IFERROR(U411*INDEX(indexy_SDcast!$A:$ALI,MATCH($R411,indexy_SDcast!$K:$K,0),MATCH(V$2,indexy_SDcast!$2:$2,0)),"#ekrk")),"#popis")</f>
        <v>-14.088445936352228</v>
      </c>
      <c r="W411" s="365">
        <f>IF($Q411="ekrk",IF($R411="data",IFERROR(INDEX(data!$A:$ALL,MATCH($M411,data!$A:$A,0),MATCH(W$2,data!$1:$1,0)),"#data"),IFERROR(V411*INDEX(indexy_SDcast!$A:$ALI,MATCH($R411,indexy_SDcast!$K:$K,0),MATCH(W$2,indexy_SDcast!$2:$2,0)),"#ekrk")),"#popis")</f>
        <v>-14.380775982359822</v>
      </c>
      <c r="X411" s="365">
        <f>IF($Q411="ekrk",IF($R411="data",IFERROR(INDEX(data!$A:$ALL,MATCH($M411,data!$A:$A,0),MATCH(X$2,data!$1:$1,0)),"#data"),IFERROR(W411*INDEX(indexy_SDcast!$A:$ALI,MATCH($R411,indexy_SDcast!$K:$K,0),MATCH(X$2,indexy_SDcast!$2:$2,0)),"#ekrk")),"#popis")</f>
        <v>-14.707904284592599</v>
      </c>
      <c r="Y411" s="362">
        <f>IF($Q411="ekrk",IF($R411="data",IFERROR(INDEX(data!$A:$ALL,MATCH($M411,data!$A:$A,0),MATCH(Y$2,data!$1:$1,0)),"#data"),IFERROR(X411*INDEX(indexy_SDcast!$A:$ALI,MATCH($R411,indexy_SDcast!$K:$K,0),MATCH(Y$2,indexy_SDcast!$2:$2,0)),"#ekrk")),"#popis")</f>
        <v>-15.054324731996159</v>
      </c>
    </row>
    <row r="412" spans="1:25" x14ac:dyDescent="0.25">
      <c r="A412" s="330">
        <v>636007</v>
      </c>
      <c r="B412" s="329">
        <v>-46.567950000000003</v>
      </c>
      <c r="C412" s="157"/>
      <c r="D412" s="330">
        <v>636007</v>
      </c>
      <c r="E412" s="329">
        <v>-46.567950000000003</v>
      </c>
      <c r="F412" s="157"/>
      <c r="G412" s="330">
        <v>636007</v>
      </c>
      <c r="H412" s="329">
        <v>-46.567950000000003</v>
      </c>
      <c r="I412" s="157"/>
      <c r="J412" s="330">
        <v>636007</v>
      </c>
      <c r="K412" s="329">
        <v>-46.567950000000003</v>
      </c>
      <c r="L412" s="157"/>
      <c r="M412" s="360">
        <f t="shared" si="41"/>
        <v>636007</v>
      </c>
      <c r="N412" s="237">
        <f t="shared" si="42"/>
        <v>-46.567950000000003</v>
      </c>
      <c r="O412" s="361"/>
      <c r="P412" s="361"/>
      <c r="Q412" s="361" t="s">
        <v>698</v>
      </c>
      <c r="R412" s="362">
        <f>IF(Q412="ekrk",INDEX(indexy_SDcast!$A:$C,MATCH($M412,indexy_SDcast!$A:$A,0),2),"")</f>
        <v>25</v>
      </c>
      <c r="S412" s="236"/>
      <c r="T412" s="364">
        <f t="shared" si="43"/>
        <v>636007</v>
      </c>
      <c r="U412" s="365">
        <f t="shared" si="44"/>
        <v>-46.567950000000003</v>
      </c>
      <c r="V412" s="365">
        <f>IF($Q412="ekrk",IF($R412="data",IFERROR(INDEX(data!$A:$ALL,MATCH($M412,data!$A:$A,0),MATCH(V$2,data!$1:$1,0)),"#data"),IFERROR(U412*INDEX(indexy_SDcast!$A:$ALI,MATCH($R412,indexy_SDcast!$K:$K,0),MATCH(V$2,indexy_SDcast!$2:$2,0)),"#ekrk")),"#popis")</f>
        <v>-46.919421346611941</v>
      </c>
      <c r="W412" s="365">
        <f>IF($Q412="ekrk",IF($R412="data",IFERROR(INDEX(data!$A:$ALL,MATCH($M412,data!$A:$A,0),MATCH(W$2,data!$1:$1,0)),"#data"),IFERROR(V412*INDEX(indexy_SDcast!$A:$ALI,MATCH($R412,indexy_SDcast!$K:$K,0),MATCH(W$2,indexy_SDcast!$2:$2,0)),"#ekrk")),"#popis")</f>
        <v>-47.892981997862599</v>
      </c>
      <c r="X412" s="365">
        <f>IF($Q412="ekrk",IF($R412="data",IFERROR(INDEX(data!$A:$ALL,MATCH($M412,data!$A:$A,0),MATCH(X$2,data!$1:$1,0)),"#data"),IFERROR(W412*INDEX(indexy_SDcast!$A:$ALI,MATCH($R412,indexy_SDcast!$K:$K,0),MATCH(X$2,indexy_SDcast!$2:$2,0)),"#ekrk")),"#popis")</f>
        <v>-48.98243293632683</v>
      </c>
      <c r="Y412" s="362">
        <f>IF($Q412="ekrk",IF($R412="data",IFERROR(INDEX(data!$A:$ALL,MATCH($M412,data!$A:$A,0),MATCH(Y$2,data!$1:$1,0)),"#data"),IFERROR(X412*INDEX(indexy_SDcast!$A:$ALI,MATCH($R412,indexy_SDcast!$K:$K,0),MATCH(Y$2,indexy_SDcast!$2:$2,0)),"#ekrk")),"#popis")</f>
        <v>-50.136133423111524</v>
      </c>
    </row>
    <row r="413" spans="1:25" x14ac:dyDescent="0.25">
      <c r="A413" s="330">
        <v>636008</v>
      </c>
      <c r="B413" s="329">
        <v>-6.6054899999999996</v>
      </c>
      <c r="C413" s="157"/>
      <c r="D413" s="330">
        <v>636008</v>
      </c>
      <c r="E413" s="329">
        <v>-6.6054899999999996</v>
      </c>
      <c r="F413" s="157"/>
      <c r="G413" s="330">
        <v>636008</v>
      </c>
      <c r="H413" s="329">
        <v>-6.6054899999999996</v>
      </c>
      <c r="I413" s="157"/>
      <c r="J413" s="330">
        <v>636008</v>
      </c>
      <c r="K413" s="329">
        <v>-6.6054899999999996</v>
      </c>
      <c r="L413" s="157"/>
      <c r="M413" s="360">
        <f t="shared" si="41"/>
        <v>636008</v>
      </c>
      <c r="N413" s="237">
        <f t="shared" si="42"/>
        <v>-6.6054899999999996</v>
      </c>
      <c r="O413" s="361"/>
      <c r="P413" s="361"/>
      <c r="Q413" s="361" t="s">
        <v>698</v>
      </c>
      <c r="R413" s="362">
        <f>IF(Q413="ekrk",INDEX(indexy_SDcast!$A:$C,MATCH($M413,indexy_SDcast!$A:$A,0),2),"")</f>
        <v>25</v>
      </c>
      <c r="S413" s="236"/>
      <c r="T413" s="364">
        <f t="shared" si="43"/>
        <v>636008</v>
      </c>
      <c r="U413" s="365">
        <f t="shared" si="44"/>
        <v>-6.6054899999999996</v>
      </c>
      <c r="V413" s="365">
        <f>IF($Q413="ekrk",IF($R413="data",IFERROR(INDEX(data!$A:$ALL,MATCH($M413,data!$A:$A,0),MATCH(V$2,data!$1:$1,0)),"#data"),IFERROR(U413*INDEX(indexy_SDcast!$A:$ALI,MATCH($R413,indexy_SDcast!$K:$K,0),MATCH(V$2,indexy_SDcast!$2:$2,0)),"#ekrk")),"#popis")</f>
        <v>-6.655344899460502</v>
      </c>
      <c r="W413" s="365">
        <f>IF($Q413="ekrk",IF($R413="data",IFERROR(INDEX(data!$A:$ALL,MATCH($M413,data!$A:$A,0),MATCH(W$2,data!$1:$1,0)),"#data"),IFERROR(V413*INDEX(indexy_SDcast!$A:$ALI,MATCH($R413,indexy_SDcast!$K:$K,0),MATCH(W$2,indexy_SDcast!$2:$2,0)),"#ekrk")),"#popis")</f>
        <v>-6.79344084627005</v>
      </c>
      <c r="X413" s="365">
        <f>IF($Q413="ekrk",IF($R413="data",IFERROR(INDEX(data!$A:$ALL,MATCH($M413,data!$A:$A,0),MATCH(X$2,data!$1:$1,0)),"#data"),IFERROR(W413*INDEX(indexy_SDcast!$A:$ALI,MATCH($R413,indexy_SDcast!$K:$K,0),MATCH(X$2,indexy_SDcast!$2:$2,0)),"#ekrk")),"#popis")</f>
        <v>-6.9479753980275589</v>
      </c>
      <c r="Y413" s="362">
        <f>IF($Q413="ekrk",IF($R413="data",IFERROR(INDEX(data!$A:$ALL,MATCH($M413,data!$A:$A,0),MATCH(Y$2,data!$1:$1,0)),"#data"),IFERROR(X413*INDEX(indexy_SDcast!$A:$ALI,MATCH($R413,indexy_SDcast!$K:$K,0),MATCH(Y$2,indexy_SDcast!$2:$2,0)),"#ekrk")),"#popis")</f>
        <v>-7.1116235085510295</v>
      </c>
    </row>
    <row r="414" spans="1:25" x14ac:dyDescent="0.25">
      <c r="A414" s="330">
        <v>637000</v>
      </c>
      <c r="B414" s="329">
        <v>-12.747540000000001</v>
      </c>
      <c r="C414" s="157"/>
      <c r="D414" s="330">
        <v>637000</v>
      </c>
      <c r="E414" s="329">
        <v>-12.747540000000001</v>
      </c>
      <c r="F414" s="157"/>
      <c r="G414" s="330">
        <v>637000</v>
      </c>
      <c r="H414" s="329">
        <v>-12.747540000000001</v>
      </c>
      <c r="I414" s="157"/>
      <c r="J414" s="330">
        <v>637000</v>
      </c>
      <c r="K414" s="329">
        <v>-12.747540000000001</v>
      </c>
      <c r="L414" s="157"/>
      <c r="M414" s="360">
        <f t="shared" si="41"/>
        <v>637000</v>
      </c>
      <c r="N414" s="237">
        <f t="shared" si="42"/>
        <v>-12.747540000000001</v>
      </c>
      <c r="O414" s="361"/>
      <c r="P414" s="361"/>
      <c r="Q414" s="361" t="s">
        <v>698</v>
      </c>
      <c r="R414" s="362">
        <f>IF(Q414="ekrk",INDEX(indexy_SDcast!$A:$C,MATCH($M414,indexy_SDcast!$A:$A,0),2),"")</f>
        <v>25</v>
      </c>
      <c r="S414" s="236"/>
      <c r="T414" s="364">
        <f t="shared" si="43"/>
        <v>637000</v>
      </c>
      <c r="U414" s="365">
        <f t="shared" si="44"/>
        <v>-12.747540000000001</v>
      </c>
      <c r="V414" s="365">
        <f>IF($Q414="ekrk",IF($R414="data",IFERROR(INDEX(data!$A:$ALL,MATCH($M414,data!$A:$A,0),MATCH(V$2,data!$1:$1,0)),"#data"),IFERROR(U414*INDEX(indexy_SDcast!$A:$ALI,MATCH($R414,indexy_SDcast!$K:$K,0),MATCH(V$2,indexy_SDcast!$2:$2,0)),"#ekrk")),"#popis")</f>
        <v>-12.843751988068824</v>
      </c>
      <c r="W414" s="365">
        <f>IF($Q414="ekrk",IF($R414="data",IFERROR(INDEX(data!$A:$ALL,MATCH($M414,data!$A:$A,0),MATCH(W$2,data!$1:$1,0)),"#data"),IFERROR(V414*INDEX(indexy_SDcast!$A:$ALI,MATCH($R414,indexy_SDcast!$K:$K,0),MATCH(W$2,indexy_SDcast!$2:$2,0)),"#ekrk")),"#popis")</f>
        <v>-13.110255094695674</v>
      </c>
      <c r="X414" s="365">
        <f>IF($Q414="ekrk",IF($R414="data",IFERROR(INDEX(data!$A:$ALL,MATCH($M414,data!$A:$A,0),MATCH(X$2,data!$1:$1,0)),"#data"),IFERROR(W414*INDEX(indexy_SDcast!$A:$ALI,MATCH($R414,indexy_SDcast!$K:$K,0),MATCH(X$2,indexy_SDcast!$2:$2,0)),"#ekrk")),"#popis")</f>
        <v>-13.408482081627895</v>
      </c>
      <c r="Y414" s="362">
        <f>IF($Q414="ekrk",IF($R414="data",IFERROR(INDEX(data!$A:$ALL,MATCH($M414,data!$A:$A,0),MATCH(Y$2,data!$1:$1,0)),"#data"),IFERROR(X414*INDEX(indexy_SDcast!$A:$ALI,MATCH($R414,indexy_SDcast!$K:$K,0),MATCH(Y$2,indexy_SDcast!$2:$2,0)),"#ekrk")),"#popis")</f>
        <v>-13.72429678043485</v>
      </c>
    </row>
    <row r="415" spans="1:25" x14ac:dyDescent="0.25">
      <c r="A415" s="330">
        <v>637001</v>
      </c>
      <c r="B415" s="329">
        <v>-5770.9019600000056</v>
      </c>
      <c r="C415" s="157"/>
      <c r="D415" s="330">
        <v>637001</v>
      </c>
      <c r="E415" s="329">
        <v>-5770.9019600000056</v>
      </c>
      <c r="F415" s="157"/>
      <c r="G415" s="330">
        <v>637001</v>
      </c>
      <c r="H415" s="329">
        <v>-5770.9019600000056</v>
      </c>
      <c r="I415" s="157"/>
      <c r="J415" s="330">
        <v>637001</v>
      </c>
      <c r="K415" s="329">
        <v>-5770.9019600000056</v>
      </c>
      <c r="L415" s="157"/>
      <c r="M415" s="360">
        <f t="shared" si="41"/>
        <v>637001</v>
      </c>
      <c r="N415" s="237">
        <f t="shared" si="42"/>
        <v>-5770.9019600000056</v>
      </c>
      <c r="O415" s="361"/>
      <c r="P415" s="361"/>
      <c r="Q415" s="361" t="s">
        <v>698</v>
      </c>
      <c r="R415" s="362">
        <f>IF(Q415="ekrk",INDEX(indexy_SDcast!$A:$C,MATCH($M415,indexy_SDcast!$A:$A,0),2),"")</f>
        <v>39</v>
      </c>
      <c r="S415" s="236"/>
      <c r="T415" s="364">
        <f t="shared" si="43"/>
        <v>637001</v>
      </c>
      <c r="U415" s="365">
        <f t="shared" si="44"/>
        <v>-5770.9019600000056</v>
      </c>
      <c r="V415" s="365">
        <f>IF($Q415="ekrk",IF($R415="data",IFERROR(INDEX(data!$A:$ALL,MATCH($M415,data!$A:$A,0),MATCH(V$2,data!$1:$1,0)),"#data"),IFERROR(U415*INDEX(indexy_SDcast!$A:$ALI,MATCH($R415,indexy_SDcast!$K:$K,0),MATCH(V$2,indexy_SDcast!$2:$2,0)),"#ekrk")),"#popis")</f>
        <v>-5938.1796357079156</v>
      </c>
      <c r="W415" s="365">
        <f>IF($Q415="ekrk",IF($R415="data",IFERROR(INDEX(data!$A:$ALL,MATCH($M415,data!$A:$A,0),MATCH(W$2,data!$1:$1,0)),"#data"),IFERROR(V415*INDEX(indexy_SDcast!$A:$ALI,MATCH($R415,indexy_SDcast!$K:$K,0),MATCH(W$2,indexy_SDcast!$2:$2,0)),"#ekrk")),"#popis")</f>
        <v>-6157.756054778607</v>
      </c>
      <c r="X415" s="365">
        <f>IF($Q415="ekrk",IF($R415="data",IFERROR(INDEX(data!$A:$ALL,MATCH($M415,data!$A:$A,0),MATCH(X$2,data!$1:$1,0)),"#data"),IFERROR(W415*INDEX(indexy_SDcast!$A:$ALI,MATCH($R415,indexy_SDcast!$K:$K,0),MATCH(X$2,indexy_SDcast!$2:$2,0)),"#ekrk")),"#popis")</f>
        <v>-6420.8974332547095</v>
      </c>
      <c r="Y415" s="362">
        <f>IF($Q415="ekrk",IF($R415="data",IFERROR(INDEX(data!$A:$ALL,MATCH($M415,data!$A:$A,0),MATCH(Y$2,data!$1:$1,0)),"#data"),IFERROR(X415*INDEX(indexy_SDcast!$A:$ALI,MATCH($R415,indexy_SDcast!$K:$K,0),MATCH(Y$2,indexy_SDcast!$2:$2,0)),"#ekrk")),"#popis")</f>
        <v>-6716.8649217752454</v>
      </c>
    </row>
    <row r="416" spans="1:25" x14ac:dyDescent="0.25">
      <c r="A416" s="330">
        <v>637002</v>
      </c>
      <c r="B416" s="329">
        <v>-3641.387170000005</v>
      </c>
      <c r="C416" s="157"/>
      <c r="D416" s="330">
        <v>637002</v>
      </c>
      <c r="E416" s="329">
        <v>-3641.387170000005</v>
      </c>
      <c r="F416" s="157"/>
      <c r="G416" s="330">
        <v>637002</v>
      </c>
      <c r="H416" s="329">
        <v>-3641.387170000005</v>
      </c>
      <c r="I416" s="157"/>
      <c r="J416" s="330">
        <v>637002</v>
      </c>
      <c r="K416" s="329">
        <v>-3641.387170000005</v>
      </c>
      <c r="L416" s="157"/>
      <c r="M416" s="360">
        <f t="shared" si="41"/>
        <v>637002</v>
      </c>
      <c r="N416" s="237">
        <f t="shared" si="42"/>
        <v>-3641.387170000005</v>
      </c>
      <c r="O416" s="361"/>
      <c r="P416" s="361"/>
      <c r="Q416" s="361" t="s">
        <v>698</v>
      </c>
      <c r="R416" s="362">
        <f>IF(Q416="ekrk",INDEX(indexy_SDcast!$A:$C,MATCH($M416,indexy_SDcast!$A:$A,0),2),"")</f>
        <v>25</v>
      </c>
      <c r="S416" s="236"/>
      <c r="T416" s="364">
        <f t="shared" si="43"/>
        <v>637002</v>
      </c>
      <c r="U416" s="365">
        <f t="shared" si="44"/>
        <v>-3641.387170000005</v>
      </c>
      <c r="V416" s="365">
        <f>IF($Q416="ekrk",IF($R416="data",IFERROR(INDEX(data!$A:$ALL,MATCH($M416,data!$A:$A,0),MATCH(V$2,data!$1:$1,0)),"#data"),IFERROR(U416*INDEX(indexy_SDcast!$A:$ALI,MATCH($R416,indexy_SDcast!$K:$K,0),MATCH(V$2,indexy_SDcast!$2:$2,0)),"#ekrk")),"#popis")</f>
        <v>-3668.870519646604</v>
      </c>
      <c r="W416" s="365">
        <f>IF($Q416="ekrk",IF($R416="data",IFERROR(INDEX(data!$A:$ALL,MATCH($M416,data!$A:$A,0),MATCH(W$2,data!$1:$1,0)),"#data"),IFERROR(V416*INDEX(indexy_SDcast!$A:$ALI,MATCH($R416,indexy_SDcast!$K:$K,0),MATCH(W$2,indexy_SDcast!$2:$2,0)),"#ekrk")),"#popis")</f>
        <v>-3744.9982268933477</v>
      </c>
      <c r="X416" s="365">
        <f>IF($Q416="ekrk",IF($R416="data",IFERROR(INDEX(data!$A:$ALL,MATCH($M416,data!$A:$A,0),MATCH(X$2,data!$1:$1,0)),"#data"),IFERROR(W416*INDEX(indexy_SDcast!$A:$ALI,MATCH($R416,indexy_SDcast!$K:$K,0),MATCH(X$2,indexy_SDcast!$2:$2,0)),"#ekrk")),"#popis")</f>
        <v>-3830.1879908762612</v>
      </c>
      <c r="Y416" s="362">
        <f>IF($Q416="ekrk",IF($R416="data",IFERROR(INDEX(data!$A:$ALL,MATCH($M416,data!$A:$A,0),MATCH(Y$2,data!$1:$1,0)),"#data"),IFERROR(X416*INDEX(indexy_SDcast!$A:$ALI,MATCH($R416,indexy_SDcast!$K:$K,0),MATCH(Y$2,indexy_SDcast!$2:$2,0)),"#ekrk")),"#popis")</f>
        <v>-3920.4017570094184</v>
      </c>
    </row>
    <row r="417" spans="1:25" x14ac:dyDescent="0.25">
      <c r="A417" s="330">
        <v>637003</v>
      </c>
      <c r="B417" s="329">
        <v>-1356.1881699999992</v>
      </c>
      <c r="C417" s="157"/>
      <c r="D417" s="330">
        <v>637003</v>
      </c>
      <c r="E417" s="329">
        <v>-1356.1881699999992</v>
      </c>
      <c r="F417" s="157"/>
      <c r="G417" s="330">
        <v>637003</v>
      </c>
      <c r="H417" s="329">
        <v>-1356.1881699999992</v>
      </c>
      <c r="I417" s="157"/>
      <c r="J417" s="330">
        <v>637003</v>
      </c>
      <c r="K417" s="329">
        <v>-1356.1881699999992</v>
      </c>
      <c r="L417" s="157"/>
      <c r="M417" s="360">
        <f t="shared" si="41"/>
        <v>637003</v>
      </c>
      <c r="N417" s="237">
        <f t="shared" si="42"/>
        <v>-1356.1881699999992</v>
      </c>
      <c r="O417" s="361"/>
      <c r="P417" s="361"/>
      <c r="Q417" s="361" t="s">
        <v>698</v>
      </c>
      <c r="R417" s="362">
        <f>IF(Q417="ekrk",INDEX(indexy_SDcast!$A:$C,MATCH($M417,indexy_SDcast!$A:$A,0),2),"")</f>
        <v>25</v>
      </c>
      <c r="S417" s="236"/>
      <c r="T417" s="364">
        <f t="shared" si="43"/>
        <v>637003</v>
      </c>
      <c r="U417" s="365">
        <f t="shared" si="44"/>
        <v>-1356.1881699999992</v>
      </c>
      <c r="V417" s="365">
        <f>IF($Q417="ekrk",IF($R417="data",IFERROR(INDEX(data!$A:$ALL,MATCH($M417,data!$A:$A,0),MATCH(V$2,data!$1:$1,0)),"#data"),IFERROR(U417*INDEX(indexy_SDcast!$A:$ALI,MATCH($R417,indexy_SDcast!$K:$K,0),MATCH(V$2,indexy_SDcast!$2:$2,0)),"#ekrk")),"#popis")</f>
        <v>-1366.4239927572621</v>
      </c>
      <c r="W417" s="365">
        <f>IF($Q417="ekrk",IF($R417="data",IFERROR(INDEX(data!$A:$ALL,MATCH($M417,data!$A:$A,0),MATCH(W$2,data!$1:$1,0)),"#data"),IFERROR(V417*INDEX(indexy_SDcast!$A:$ALI,MATCH($R417,indexy_SDcast!$K:$K,0),MATCH(W$2,indexy_SDcast!$2:$2,0)),"#ekrk")),"#popis")</f>
        <v>-1394.776785568705</v>
      </c>
      <c r="X417" s="365">
        <f>IF($Q417="ekrk",IF($R417="data",IFERROR(INDEX(data!$A:$ALL,MATCH($M417,data!$A:$A,0),MATCH(X$2,data!$1:$1,0)),"#data"),IFERROR(W417*INDEX(indexy_SDcast!$A:$ALI,MATCH($R417,indexy_SDcast!$K:$K,0),MATCH(X$2,indexy_SDcast!$2:$2,0)),"#ekrk")),"#popis")</f>
        <v>-1426.5046257364725</v>
      </c>
      <c r="Y417" s="362">
        <f>IF($Q417="ekrk",IF($R417="data",IFERROR(INDEX(data!$A:$ALL,MATCH($M417,data!$A:$A,0),MATCH(Y$2,data!$1:$1,0)),"#data"),IFERROR(X417*INDEX(indexy_SDcast!$A:$ALI,MATCH($R417,indexy_SDcast!$K:$K,0),MATCH(Y$2,indexy_SDcast!$2:$2,0)),"#ekrk")),"#popis")</f>
        <v>-1460.1035913748706</v>
      </c>
    </row>
    <row r="418" spans="1:25" x14ac:dyDescent="0.25">
      <c r="A418" s="330">
        <v>637004</v>
      </c>
      <c r="B418" s="329">
        <v>-45082.565929999982</v>
      </c>
      <c r="C418" s="157"/>
      <c r="D418" s="330">
        <v>637004</v>
      </c>
      <c r="E418" s="329">
        <v>-45082.565929999982</v>
      </c>
      <c r="F418" s="157"/>
      <c r="G418" s="330">
        <v>637004</v>
      </c>
      <c r="H418" s="329">
        <v>-45082.565929999982</v>
      </c>
      <c r="I418" s="157"/>
      <c r="J418" s="330">
        <v>637004</v>
      </c>
      <c r="K418" s="329">
        <v>-45082.565929999982</v>
      </c>
      <c r="L418" s="157"/>
      <c r="M418" s="360">
        <f t="shared" si="41"/>
        <v>637004</v>
      </c>
      <c r="N418" s="237">
        <f t="shared" si="42"/>
        <v>-45082.565929999982</v>
      </c>
      <c r="O418" s="361"/>
      <c r="P418" s="361"/>
      <c r="Q418" s="361" t="s">
        <v>698</v>
      </c>
      <c r="R418" s="362">
        <v>25</v>
      </c>
      <c r="S418" s="236"/>
      <c r="T418" s="364">
        <f t="shared" si="43"/>
        <v>637004</v>
      </c>
      <c r="U418" s="365">
        <f t="shared" si="44"/>
        <v>-45082.565929999982</v>
      </c>
      <c r="V418" s="365">
        <f>IF($Q418="ekrk",IF($R418="data",IFERROR(INDEX(data!$A:$ALL,MATCH($M418,data!$A:$A,0),MATCH(V$2,data!$1:$1,0)),"#data"),IFERROR(U418*INDEX(indexy_SDcast!$A:$ALI,MATCH($R418,indexy_SDcast!$K:$K,0),MATCH(V$2,indexy_SDcast!$2:$2,0)),"#ekrk")),"#popis")</f>
        <v>-45422.826348509676</v>
      </c>
      <c r="W418" s="365">
        <f>IF($Q418="ekrk",IF($R418="data",IFERROR(INDEX(data!$A:$ALL,MATCH($M418,data!$A:$A,0),MATCH(W$2,data!$1:$1,0)),"#data"),IFERROR(V418*INDEX(indexy_SDcast!$A:$ALI,MATCH($R418,indexy_SDcast!$K:$K,0),MATCH(W$2,indexy_SDcast!$2:$2,0)),"#ekrk")),"#popis")</f>
        <v>-46365.333206699943</v>
      </c>
      <c r="X418" s="365">
        <f>IF($Q418="ekrk",IF($R418="data",IFERROR(INDEX(data!$A:$ALL,MATCH($M418,data!$A:$A,0),MATCH(X$2,data!$1:$1,0)),"#data"),IFERROR(W418*INDEX(indexy_SDcast!$A:$ALI,MATCH($R418,indexy_SDcast!$K:$K,0),MATCH(X$2,indexy_SDcast!$2:$2,0)),"#ekrk")),"#popis")</f>
        <v>-47420.033784260566</v>
      </c>
      <c r="Y418" s="362">
        <f>IF($Q418="ekrk",IF($R418="data",IFERROR(INDEX(data!$A:$ALL,MATCH($M418,data!$A:$A,0),MATCH(Y$2,data!$1:$1,0)),"#data"),IFERROR(X418*INDEX(indexy_SDcast!$A:$ALI,MATCH($R418,indexy_SDcast!$K:$K,0),MATCH(Y$2,indexy_SDcast!$2:$2,0)),"#ekrk")),"#popis")</f>
        <v>-48536.934533787746</v>
      </c>
    </row>
    <row r="419" spans="1:25" x14ac:dyDescent="0.25">
      <c r="A419" s="330">
        <v>637005</v>
      </c>
      <c r="B419" s="329">
        <v>-6450.4652100000003</v>
      </c>
      <c r="C419" s="157"/>
      <c r="D419" s="330">
        <v>637005</v>
      </c>
      <c r="E419" s="329">
        <v>-6450.4652100000003</v>
      </c>
      <c r="F419" s="157"/>
      <c r="G419" s="330">
        <v>637005</v>
      </c>
      <c r="H419" s="329">
        <v>-6450.4652100000003</v>
      </c>
      <c r="I419" s="157"/>
      <c r="J419" s="330">
        <v>637005</v>
      </c>
      <c r="K419" s="329">
        <v>-6450.4652100000003</v>
      </c>
      <c r="L419" s="157"/>
      <c r="M419" s="360">
        <f t="shared" si="41"/>
        <v>637005</v>
      </c>
      <c r="N419" s="237">
        <f t="shared" si="42"/>
        <v>-6450.4652100000003</v>
      </c>
      <c r="O419" s="361"/>
      <c r="P419" s="361"/>
      <c r="Q419" s="361" t="s">
        <v>698</v>
      </c>
      <c r="R419" s="362">
        <f>IF(Q419="ekrk",INDEX(indexy_SDcast!$A:$C,MATCH($M419,indexy_SDcast!$A:$A,0),2),"")</f>
        <v>6</v>
      </c>
      <c r="S419" s="236"/>
      <c r="T419" s="364">
        <f t="shared" si="43"/>
        <v>637005</v>
      </c>
      <c r="U419" s="365">
        <f t="shared" si="44"/>
        <v>-6450.4652100000003</v>
      </c>
      <c r="V419" s="365">
        <f>IF($Q419="ekrk",IF($R419="data",IFERROR(INDEX(data!$A:$ALL,MATCH($M419,data!$A:$A,0),MATCH(V$2,data!$1:$1,0)),"#data"),IFERROR(U419*INDEX(indexy_SDcast!$A:$ALI,MATCH($R419,indexy_SDcast!$K:$K,0),MATCH(V$2,indexy_SDcast!$2:$2,0)),"#ekrk")),"#popis")</f>
        <v>-6568.2955194885362</v>
      </c>
      <c r="W419" s="365">
        <f>IF($Q419="ekrk",IF($R419="data",IFERROR(INDEX(data!$A:$ALL,MATCH($M419,data!$A:$A,0),MATCH(W$2,data!$1:$1,0)),"#data"),IFERROR(V419*INDEX(indexy_SDcast!$A:$ALI,MATCH($R419,indexy_SDcast!$K:$K,0),MATCH(W$2,indexy_SDcast!$2:$2,0)),"#ekrk")),"#popis")</f>
        <v>-6757.8784973215525</v>
      </c>
      <c r="X419" s="365">
        <f>IF($Q419="ekrk",IF($R419="data",IFERROR(INDEX(data!$A:$ALL,MATCH($M419,data!$A:$A,0),MATCH(X$2,data!$1:$1,0)),"#data"),IFERROR(W419*INDEX(indexy_SDcast!$A:$ALI,MATCH($R419,indexy_SDcast!$K:$K,0),MATCH(X$2,indexy_SDcast!$2:$2,0)),"#ekrk")),"#popis")</f>
        <v>-6979.1345962828982</v>
      </c>
      <c r="Y419" s="362">
        <f>IF($Q419="ekrk",IF($R419="data",IFERROR(INDEX(data!$A:$ALL,MATCH($M419,data!$A:$A,0),MATCH(Y$2,data!$1:$1,0)),"#data"),IFERROR(X419*INDEX(indexy_SDcast!$A:$ALI,MATCH($R419,indexy_SDcast!$K:$K,0),MATCH(Y$2,indexy_SDcast!$2:$2,0)),"#ekrk")),"#popis")</f>
        <v>-7222.17515434285</v>
      </c>
    </row>
    <row r="420" spans="1:25" x14ac:dyDescent="0.25">
      <c r="A420" s="330">
        <v>637008</v>
      </c>
      <c r="B420" s="329">
        <v>-1.1134999999999999</v>
      </c>
      <c r="C420" s="157"/>
      <c r="D420" s="330">
        <v>637008</v>
      </c>
      <c r="E420" s="329">
        <v>-1.1134999999999999</v>
      </c>
      <c r="F420" s="157"/>
      <c r="G420" s="330">
        <v>637008</v>
      </c>
      <c r="H420" s="329">
        <v>-1.1134999999999999</v>
      </c>
      <c r="I420" s="157"/>
      <c r="J420" s="330">
        <v>637008</v>
      </c>
      <c r="K420" s="329">
        <v>-1.1134999999999999</v>
      </c>
      <c r="L420" s="157"/>
      <c r="M420" s="360">
        <f t="shared" si="41"/>
        <v>637008</v>
      </c>
      <c r="N420" s="237">
        <f t="shared" si="42"/>
        <v>-1.1134999999999999</v>
      </c>
      <c r="O420" s="361"/>
      <c r="P420" s="361"/>
      <c r="Q420" s="361" t="s">
        <v>698</v>
      </c>
      <c r="R420" s="362">
        <v>25</v>
      </c>
      <c r="S420" s="236"/>
      <c r="T420" s="364">
        <f t="shared" si="43"/>
        <v>637008</v>
      </c>
      <c r="U420" s="365">
        <f t="shared" si="44"/>
        <v>-1.1134999999999999</v>
      </c>
      <c r="V420" s="365">
        <f>IF($Q420="ekrk",IF($R420="data",IFERROR(INDEX(data!$A:$ALL,MATCH($M420,data!$A:$A,0),MATCH(V$2,data!$1:$1,0)),"#data"),IFERROR(U420*INDEX(indexy_SDcast!$A:$ALI,MATCH($R420,indexy_SDcast!$K:$K,0),MATCH(V$2,indexy_SDcast!$2:$2,0)),"#ekrk")),"#popis")</f>
        <v>-1.121904135128396</v>
      </c>
      <c r="W420" s="365">
        <f>IF($Q420="ekrk",IF($R420="data",IFERROR(INDEX(data!$A:$ALL,MATCH($M420,data!$A:$A,0),MATCH(W$2,data!$1:$1,0)),"#data"),IFERROR(V420*INDEX(indexy_SDcast!$A:$ALI,MATCH($R420,indexy_SDcast!$K:$K,0),MATCH(W$2,indexy_SDcast!$2:$2,0)),"#ekrk")),"#popis")</f>
        <v>-1.1451832312700043</v>
      </c>
      <c r="X420" s="365">
        <f>IF($Q420="ekrk",IF($R420="data",IFERROR(INDEX(data!$A:$ALL,MATCH($M420,data!$A:$A,0),MATCH(X$2,data!$1:$1,0)),"#data"),IFERROR(W420*INDEX(indexy_SDcast!$A:$ALI,MATCH($R420,indexy_SDcast!$K:$K,0),MATCH(X$2,indexy_SDcast!$2:$2,0)),"#ekrk")),"#popis")</f>
        <v>-1.1712334142817091</v>
      </c>
      <c r="Y420" s="362">
        <f>IF($Q420="ekrk",IF($R420="data",IFERROR(INDEX(data!$A:$ALL,MATCH($M420,data!$A:$A,0),MATCH(Y$2,data!$1:$1,0)),"#data"),IFERROR(X420*INDEX(indexy_SDcast!$A:$ALI,MATCH($R420,indexy_SDcast!$K:$K,0),MATCH(Y$2,indexy_SDcast!$2:$2,0)),"#ekrk")),"#popis")</f>
        <v>-1.198819887210725</v>
      </c>
    </row>
    <row r="421" spans="1:25" x14ac:dyDescent="0.25">
      <c r="A421" s="330">
        <v>637010</v>
      </c>
      <c r="B421" s="329">
        <v>-541.00958000000014</v>
      </c>
      <c r="C421" s="157"/>
      <c r="D421" s="330">
        <v>637010</v>
      </c>
      <c r="E421" s="329">
        <v>-541.00958000000014</v>
      </c>
      <c r="F421" s="157"/>
      <c r="G421" s="330">
        <v>637010</v>
      </c>
      <c r="H421" s="329">
        <v>-541.00958000000014</v>
      </c>
      <c r="I421" s="157"/>
      <c r="J421" s="330">
        <v>637010</v>
      </c>
      <c r="K421" s="329">
        <v>-541.00958000000014</v>
      </c>
      <c r="L421" s="157"/>
      <c r="M421" s="360">
        <f t="shared" si="41"/>
        <v>637010</v>
      </c>
      <c r="N421" s="237">
        <f t="shared" si="42"/>
        <v>-541.00958000000014</v>
      </c>
      <c r="O421" s="361"/>
      <c r="P421" s="361"/>
      <c r="Q421" s="361" t="s">
        <v>698</v>
      </c>
      <c r="R421" s="362">
        <f>IF(Q421="ekrk",INDEX(indexy_SDcast!$A:$C,MATCH($M421,indexy_SDcast!$A:$A,0),2),"")</f>
        <v>25</v>
      </c>
      <c r="S421" s="236"/>
      <c r="T421" s="364">
        <f t="shared" si="43"/>
        <v>637010</v>
      </c>
      <c r="U421" s="365">
        <f t="shared" si="44"/>
        <v>-541.00958000000014</v>
      </c>
      <c r="V421" s="365">
        <f>IF($Q421="ekrk",IF($R421="data",IFERROR(INDEX(data!$A:$ALL,MATCH($M421,data!$A:$A,0),MATCH(V$2,data!$1:$1,0)),"#data"),IFERROR(U421*INDEX(indexy_SDcast!$A:$ALI,MATCH($R421,indexy_SDcast!$K:$K,0),MATCH(V$2,indexy_SDcast!$2:$2,0)),"#ekrk")),"#popis")</f>
        <v>-545.09284683078306</v>
      </c>
      <c r="W421" s="365">
        <f>IF($Q421="ekrk",IF($R421="data",IFERROR(INDEX(data!$A:$ALL,MATCH($M421,data!$A:$A,0),MATCH(W$2,data!$1:$1,0)),"#data"),IFERROR(V421*INDEX(indexy_SDcast!$A:$ALI,MATCH($R421,indexy_SDcast!$K:$K,0),MATCH(W$2,indexy_SDcast!$2:$2,0)),"#ekrk")),"#popis")</f>
        <v>-556.40332193302925</v>
      </c>
      <c r="X421" s="365">
        <f>IF($Q421="ekrk",IF($R421="data",IFERROR(INDEX(data!$A:$ALL,MATCH($M421,data!$A:$A,0),MATCH(X$2,data!$1:$1,0)),"#data"),IFERROR(W421*INDEX(indexy_SDcast!$A:$ALI,MATCH($R421,indexy_SDcast!$K:$K,0),MATCH(X$2,indexy_SDcast!$2:$2,0)),"#ekrk")),"#popis")</f>
        <v>-569.06016842614611</v>
      </c>
      <c r="Y421" s="362">
        <f>IF($Q421="ekrk",IF($R421="data",IFERROR(INDEX(data!$A:$ALL,MATCH($M421,data!$A:$A,0),MATCH(Y$2,data!$1:$1,0)),"#data"),IFERROR(X421*INDEX(indexy_SDcast!$A:$ALI,MATCH($R421,indexy_SDcast!$K:$K,0),MATCH(Y$2,indexy_SDcast!$2:$2,0)),"#ekrk")),"#popis")</f>
        <v>-582.46344290572233</v>
      </c>
    </row>
    <row r="422" spans="1:25" x14ac:dyDescent="0.25">
      <c r="A422" s="330">
        <v>637011</v>
      </c>
      <c r="B422" s="329">
        <v>-604.8533199999996</v>
      </c>
      <c r="C422" s="157"/>
      <c r="D422" s="330">
        <v>637011</v>
      </c>
      <c r="E422" s="329">
        <v>-604.8533199999996</v>
      </c>
      <c r="F422" s="157"/>
      <c r="G422" s="330">
        <v>637011</v>
      </c>
      <c r="H422" s="329">
        <v>-604.8533199999996</v>
      </c>
      <c r="I422" s="157"/>
      <c r="J422" s="330">
        <v>637011</v>
      </c>
      <c r="K422" s="329">
        <v>-604.8533199999996</v>
      </c>
      <c r="L422" s="157"/>
      <c r="M422" s="360">
        <f t="shared" si="41"/>
        <v>637011</v>
      </c>
      <c r="N422" s="237">
        <f t="shared" si="42"/>
        <v>-604.8533199999996</v>
      </c>
      <c r="O422" s="361"/>
      <c r="P422" s="361"/>
      <c r="Q422" s="361" t="s">
        <v>698</v>
      </c>
      <c r="R422" s="362">
        <v>39</v>
      </c>
      <c r="S422" s="236"/>
      <c r="T422" s="364">
        <f t="shared" si="43"/>
        <v>637011</v>
      </c>
      <c r="U422" s="365">
        <f t="shared" si="44"/>
        <v>-604.8533199999996</v>
      </c>
      <c r="V422" s="365">
        <f>IF($Q422="ekrk",IF($R422="data",IFERROR(INDEX(data!$A:$ALL,MATCH($M422,data!$A:$A,0),MATCH(V$2,data!$1:$1,0)),"#data"),IFERROR(U422*INDEX(indexy_SDcast!$A:$ALI,MATCH($R422,indexy_SDcast!$K:$K,0),MATCH(V$2,indexy_SDcast!$2:$2,0)),"#ekrk")),"#popis")</f>
        <v>-622.38584060338428</v>
      </c>
      <c r="W422" s="365">
        <f>IF($Q422="ekrk",IF($R422="data",IFERROR(INDEX(data!$A:$ALL,MATCH($M422,data!$A:$A,0),MATCH(W$2,data!$1:$1,0)),"#data"),IFERROR(V422*INDEX(indexy_SDcast!$A:$ALI,MATCH($R422,indexy_SDcast!$K:$K,0),MATCH(W$2,indexy_SDcast!$2:$2,0)),"#ekrk")),"#popis")</f>
        <v>-645.39983858657286</v>
      </c>
      <c r="X422" s="365">
        <f>IF($Q422="ekrk",IF($R422="data",IFERROR(INDEX(data!$A:$ALL,MATCH($M422,data!$A:$A,0),MATCH(X$2,data!$1:$1,0)),"#data"),IFERROR(W422*INDEX(indexy_SDcast!$A:$ALI,MATCH($R422,indexy_SDcast!$K:$K,0),MATCH(X$2,indexy_SDcast!$2:$2,0)),"#ekrk")),"#popis")</f>
        <v>-672.97991835639914</v>
      </c>
      <c r="Y422" s="362">
        <f>IF($Q422="ekrk",IF($R422="data",IFERROR(INDEX(data!$A:$ALL,MATCH($M422,data!$A:$A,0),MATCH(Y$2,data!$1:$1,0)),"#data"),IFERROR(X422*INDEX(indexy_SDcast!$A:$ALI,MATCH($R422,indexy_SDcast!$K:$K,0),MATCH(Y$2,indexy_SDcast!$2:$2,0)),"#ekrk")),"#popis")</f>
        <v>-704.0005316477932</v>
      </c>
    </row>
    <row r="423" spans="1:25" x14ac:dyDescent="0.25">
      <c r="A423" s="330">
        <v>637012</v>
      </c>
      <c r="B423" s="329">
        <v>-9156.3294400000013</v>
      </c>
      <c r="C423" s="157"/>
      <c r="D423" s="330">
        <v>637012</v>
      </c>
      <c r="E423" s="329">
        <v>-9156.3294400000013</v>
      </c>
      <c r="F423" s="157"/>
      <c r="G423" s="330">
        <v>637012</v>
      </c>
      <c r="H423" s="329">
        <v>-9156.3294400000013</v>
      </c>
      <c r="I423" s="157"/>
      <c r="J423" s="330">
        <v>637012</v>
      </c>
      <c r="K423" s="329">
        <v>-9156.3294400000013</v>
      </c>
      <c r="L423" s="157"/>
      <c r="M423" s="360">
        <f t="shared" si="41"/>
        <v>637012</v>
      </c>
      <c r="N423" s="237">
        <f t="shared" si="42"/>
        <v>-9156.3294400000013</v>
      </c>
      <c r="O423" s="361"/>
      <c r="P423" s="361"/>
      <c r="Q423" s="361" t="s">
        <v>698</v>
      </c>
      <c r="R423" s="362">
        <v>22</v>
      </c>
      <c r="S423" s="236"/>
      <c r="T423" s="364">
        <f t="shared" si="43"/>
        <v>637012</v>
      </c>
      <c r="U423" s="365">
        <f t="shared" si="44"/>
        <v>-9156.3294400000013</v>
      </c>
      <c r="V423" s="365">
        <f>IF($Q423="ekrk",IF($R423="data",IFERROR(INDEX(data!$A:$ALL,MATCH($M423,data!$A:$A,0),MATCH(V$2,data!$1:$1,0)),"#data"),IFERROR(U423*INDEX(indexy_SDcast!$A:$ALI,MATCH($R423,indexy_SDcast!$K:$K,0),MATCH(V$2,indexy_SDcast!$2:$2,0)),"#ekrk")),"#popis")</f>
        <v>-9156.3294400000013</v>
      </c>
      <c r="W423" s="365">
        <f>IF($Q423="ekrk",IF($R423="data",IFERROR(INDEX(data!$A:$ALL,MATCH($M423,data!$A:$A,0),MATCH(W$2,data!$1:$1,0)),"#data"),IFERROR(V423*INDEX(indexy_SDcast!$A:$ALI,MATCH($R423,indexy_SDcast!$K:$K,0),MATCH(W$2,indexy_SDcast!$2:$2,0)),"#ekrk")),"#popis")</f>
        <v>-9156.3294400000013</v>
      </c>
      <c r="X423" s="365">
        <f>IF($Q423="ekrk",IF($R423="data",IFERROR(INDEX(data!$A:$ALL,MATCH($M423,data!$A:$A,0),MATCH(X$2,data!$1:$1,0)),"#data"),IFERROR(W423*INDEX(indexy_SDcast!$A:$ALI,MATCH($R423,indexy_SDcast!$K:$K,0),MATCH(X$2,indexy_SDcast!$2:$2,0)),"#ekrk")),"#popis")</f>
        <v>-9156.3294400000013</v>
      </c>
      <c r="Y423" s="362">
        <f>IF($Q423="ekrk",IF($R423="data",IFERROR(INDEX(data!$A:$ALL,MATCH($M423,data!$A:$A,0),MATCH(Y$2,data!$1:$1,0)),"#data"),IFERROR(X423*INDEX(indexy_SDcast!$A:$ALI,MATCH($R423,indexy_SDcast!$K:$K,0),MATCH(Y$2,indexy_SDcast!$2:$2,0)),"#ekrk")),"#popis")</f>
        <v>-9156.3294400000013</v>
      </c>
    </row>
    <row r="424" spans="1:25" x14ac:dyDescent="0.25">
      <c r="A424" s="330">
        <v>637017</v>
      </c>
      <c r="B424" s="329">
        <v>-598.61039000000005</v>
      </c>
      <c r="C424" s="157"/>
      <c r="D424" s="330">
        <v>637017</v>
      </c>
      <c r="E424" s="329">
        <v>-598.61039000000005</v>
      </c>
      <c r="F424" s="157"/>
      <c r="G424" s="330">
        <v>637017</v>
      </c>
      <c r="H424" s="329">
        <v>-598.61039000000005</v>
      </c>
      <c r="I424" s="157"/>
      <c r="J424" s="330">
        <v>637017</v>
      </c>
      <c r="K424" s="329">
        <v>-598.61039000000005</v>
      </c>
      <c r="L424" s="157"/>
      <c r="M424" s="360">
        <f t="shared" si="41"/>
        <v>637017</v>
      </c>
      <c r="N424" s="237">
        <f t="shared" si="42"/>
        <v>-598.61039000000005</v>
      </c>
      <c r="O424" s="361"/>
      <c r="P424" s="361"/>
      <c r="Q424" s="361" t="s">
        <v>698</v>
      </c>
      <c r="R424" s="362">
        <f>IF(Q424="ekrk",INDEX(indexy_SDcast!$A:$C,MATCH($M424,indexy_SDcast!$A:$A,0),2),"")</f>
        <v>25</v>
      </c>
      <c r="S424" s="236"/>
      <c r="T424" s="364">
        <f t="shared" si="43"/>
        <v>637017</v>
      </c>
      <c r="U424" s="365">
        <f t="shared" si="44"/>
        <v>-598.61039000000005</v>
      </c>
      <c r="V424" s="365">
        <f>IF($Q424="ekrk",IF($R424="data",IFERROR(INDEX(data!$A:$ALL,MATCH($M424,data!$A:$A,0),MATCH(V$2,data!$1:$1,0)),"#data"),IFERROR(U424*INDEX(indexy_SDcast!$A:$ALI,MATCH($R424,indexy_SDcast!$K:$K,0),MATCH(V$2,indexy_SDcast!$2:$2,0)),"#ekrk")),"#popis")</f>
        <v>-603.1283986275904</v>
      </c>
      <c r="W424" s="365">
        <f>IF($Q424="ekrk",IF($R424="data",IFERROR(INDEX(data!$A:$ALL,MATCH($M424,data!$A:$A,0),MATCH(W$2,data!$1:$1,0)),"#data"),IFERROR(V424*INDEX(indexy_SDcast!$A:$ALI,MATCH($R424,indexy_SDcast!$K:$K,0),MATCH(W$2,indexy_SDcast!$2:$2,0)),"#ekrk")),"#popis")</f>
        <v>-615.64308997934222</v>
      </c>
      <c r="X424" s="365">
        <f>IF($Q424="ekrk",IF($R424="data",IFERROR(INDEX(data!$A:$ALL,MATCH($M424,data!$A:$A,0),MATCH(X$2,data!$1:$1,0)),"#data"),IFERROR(W424*INDEX(indexy_SDcast!$A:$ALI,MATCH($R424,indexy_SDcast!$K:$K,0),MATCH(X$2,indexy_SDcast!$2:$2,0)),"#ekrk")),"#popis")</f>
        <v>-629.64749968945273</v>
      </c>
      <c r="Y424" s="362">
        <f>IF($Q424="ekrk",IF($R424="data",IFERROR(INDEX(data!$A:$ALL,MATCH($M424,data!$A:$A,0),MATCH(Y$2,data!$1:$1,0)),"#data"),IFERROR(X424*INDEX(indexy_SDcast!$A:$ALI,MATCH($R424,indexy_SDcast!$K:$K,0),MATCH(Y$2,indexy_SDcast!$2:$2,0)),"#ekrk")),"#popis")</f>
        <v>-644.4778089115116</v>
      </c>
    </row>
    <row r="425" spans="1:25" x14ac:dyDescent="0.25">
      <c r="A425" s="330">
        <v>637019</v>
      </c>
      <c r="B425" s="329">
        <v>0</v>
      </c>
      <c r="C425" s="157"/>
      <c r="D425" s="330">
        <v>637019</v>
      </c>
      <c r="E425" s="329">
        <v>0</v>
      </c>
      <c r="F425" s="157"/>
      <c r="G425" s="330">
        <v>637019</v>
      </c>
      <c r="H425" s="329">
        <v>0</v>
      </c>
      <c r="I425" s="157"/>
      <c r="J425" s="330">
        <v>637019</v>
      </c>
      <c r="K425" s="329">
        <v>0</v>
      </c>
      <c r="L425" s="157"/>
      <c r="M425" s="360">
        <f t="shared" si="41"/>
        <v>637019</v>
      </c>
      <c r="N425" s="237">
        <f t="shared" si="42"/>
        <v>0</v>
      </c>
      <c r="O425" s="361"/>
      <c r="P425" s="361"/>
      <c r="Q425" s="361" t="s">
        <v>698</v>
      </c>
      <c r="R425" s="362">
        <f>IF(Q425="ekrk",INDEX(indexy_SDcast!$A:$C,MATCH($M425,indexy_SDcast!$A:$A,0),2),"")</f>
        <v>25</v>
      </c>
      <c r="S425" s="236"/>
      <c r="T425" s="364">
        <f t="shared" si="43"/>
        <v>637019</v>
      </c>
      <c r="U425" s="365">
        <f t="shared" si="44"/>
        <v>0</v>
      </c>
      <c r="V425" s="365">
        <f>IF($Q425="ekrk",IF($R425="data",IFERROR(INDEX(data!$A:$ALL,MATCH($M425,data!$A:$A,0),MATCH(V$2,data!$1:$1,0)),"#data"),IFERROR(U425*INDEX(indexy_SDcast!$A:$ALI,MATCH($R425,indexy_SDcast!$K:$K,0),MATCH(V$2,indexy_SDcast!$2:$2,0)),"#ekrk")),"#popis")</f>
        <v>0</v>
      </c>
      <c r="W425" s="365">
        <f>IF($Q425="ekrk",IF($R425="data",IFERROR(INDEX(data!$A:$ALL,MATCH($M425,data!$A:$A,0),MATCH(W$2,data!$1:$1,0)),"#data"),IFERROR(V425*INDEX(indexy_SDcast!$A:$ALI,MATCH($R425,indexy_SDcast!$K:$K,0),MATCH(W$2,indexy_SDcast!$2:$2,0)),"#ekrk")),"#popis")</f>
        <v>0</v>
      </c>
      <c r="X425" s="365">
        <f>IF($Q425="ekrk",IF($R425="data",IFERROR(INDEX(data!$A:$ALL,MATCH($M425,data!$A:$A,0),MATCH(X$2,data!$1:$1,0)),"#data"),IFERROR(W425*INDEX(indexy_SDcast!$A:$ALI,MATCH($R425,indexy_SDcast!$K:$K,0),MATCH(X$2,indexy_SDcast!$2:$2,0)),"#ekrk")),"#popis")</f>
        <v>0</v>
      </c>
      <c r="Y425" s="362">
        <f>IF($Q425="ekrk",IF($R425="data",IFERROR(INDEX(data!$A:$ALL,MATCH($M425,data!$A:$A,0),MATCH(Y$2,data!$1:$1,0)),"#data"),IFERROR(X425*INDEX(indexy_SDcast!$A:$ALI,MATCH($R425,indexy_SDcast!$K:$K,0),MATCH(Y$2,indexy_SDcast!$2:$2,0)),"#ekrk")),"#popis")</f>
        <v>0</v>
      </c>
    </row>
    <row r="426" spans="1:25" x14ac:dyDescent="0.25">
      <c r="A426" s="330">
        <v>637020</v>
      </c>
      <c r="B426" s="329">
        <v>-910.85860000000002</v>
      </c>
      <c r="C426" s="157"/>
      <c r="D426" s="330">
        <v>637020</v>
      </c>
      <c r="E426" s="329">
        <v>-910.85860000000002</v>
      </c>
      <c r="F426" s="157"/>
      <c r="G426" s="330">
        <v>637020</v>
      </c>
      <c r="H426" s="329">
        <v>-910.85860000000002</v>
      </c>
      <c r="I426" s="157"/>
      <c r="J426" s="330">
        <v>637020</v>
      </c>
      <c r="K426" s="329">
        <v>-910.85860000000002</v>
      </c>
      <c r="L426" s="157"/>
      <c r="M426" s="360">
        <f t="shared" si="41"/>
        <v>637020</v>
      </c>
      <c r="N426" s="237">
        <f t="shared" si="42"/>
        <v>-910.85860000000002</v>
      </c>
      <c r="O426" s="361"/>
      <c r="P426" s="361"/>
      <c r="Q426" s="361" t="s">
        <v>698</v>
      </c>
      <c r="R426" s="362">
        <f>IF(Q426="ekrk",INDEX(indexy_SDcast!$A:$C,MATCH($M426,indexy_SDcast!$A:$A,0),2),"")</f>
        <v>9</v>
      </c>
      <c r="S426" s="236"/>
      <c r="T426" s="364">
        <f t="shared" si="43"/>
        <v>637020</v>
      </c>
      <c r="U426" s="365">
        <f t="shared" si="44"/>
        <v>-910.85860000000002</v>
      </c>
      <c r="V426" s="365">
        <f>IF($Q426="ekrk",IF($R426="data",IFERROR(INDEX(data!$A:$ALL,MATCH($M426,data!$A:$A,0),MATCH(V$2,data!$1:$1,0)),"#data"),IFERROR(U426*INDEX(indexy_SDcast!$A:$ALI,MATCH($R426,indexy_SDcast!$K:$K,0),MATCH(V$2,indexy_SDcast!$2:$2,0)),"#ekrk")),"#popis")</f>
        <v>-910.85860000000002</v>
      </c>
      <c r="W426" s="365">
        <f>IF($Q426="ekrk",IF($R426="data",IFERROR(INDEX(data!$A:$ALL,MATCH($M426,data!$A:$A,0),MATCH(W$2,data!$1:$1,0)),"#data"),IFERROR(V426*INDEX(indexy_SDcast!$A:$ALI,MATCH($R426,indexy_SDcast!$K:$K,0),MATCH(W$2,indexy_SDcast!$2:$2,0)),"#ekrk")),"#popis")</f>
        <v>-910.85860000000002</v>
      </c>
      <c r="X426" s="365">
        <f>IF($Q426="ekrk",IF($R426="data",IFERROR(INDEX(data!$A:$ALL,MATCH($M426,data!$A:$A,0),MATCH(X$2,data!$1:$1,0)),"#data"),IFERROR(W426*INDEX(indexy_SDcast!$A:$ALI,MATCH($R426,indexy_SDcast!$K:$K,0),MATCH(X$2,indexy_SDcast!$2:$2,0)),"#ekrk")),"#popis")</f>
        <v>-910.85860000000002</v>
      </c>
      <c r="Y426" s="362">
        <f>IF($Q426="ekrk",IF($R426="data",IFERROR(INDEX(data!$A:$ALL,MATCH($M426,data!$A:$A,0),MATCH(Y$2,data!$1:$1,0)),"#data"),IFERROR(X426*INDEX(indexy_SDcast!$A:$ALI,MATCH($R426,indexy_SDcast!$K:$K,0),MATCH(Y$2,indexy_SDcast!$2:$2,0)),"#ekrk")),"#popis")</f>
        <v>-910.85860000000002</v>
      </c>
    </row>
    <row r="427" spans="1:25" x14ac:dyDescent="0.25">
      <c r="A427" s="330">
        <v>637021</v>
      </c>
      <c r="B427" s="329">
        <v>-964.61606999999992</v>
      </c>
      <c r="C427" s="157"/>
      <c r="D427" s="330">
        <v>637021</v>
      </c>
      <c r="E427" s="329">
        <v>-964.61606999999992</v>
      </c>
      <c r="F427" s="157"/>
      <c r="G427" s="330">
        <v>637021</v>
      </c>
      <c r="H427" s="329">
        <v>-964.61606999999992</v>
      </c>
      <c r="I427" s="157"/>
      <c r="J427" s="330">
        <v>637021</v>
      </c>
      <c r="K427" s="329">
        <v>-964.61606999999992</v>
      </c>
      <c r="L427" s="157"/>
      <c r="M427" s="360">
        <f t="shared" si="41"/>
        <v>637021</v>
      </c>
      <c r="N427" s="237">
        <f t="shared" si="42"/>
        <v>-964.61606999999992</v>
      </c>
      <c r="O427" s="361"/>
      <c r="P427" s="361"/>
      <c r="Q427" s="361" t="s">
        <v>698</v>
      </c>
      <c r="R427" s="362">
        <f>IF(Q427="ekrk",INDEX(indexy_SDcast!$A:$C,MATCH($M427,indexy_SDcast!$A:$A,0),2),"")</f>
        <v>25</v>
      </c>
      <c r="S427" s="236"/>
      <c r="T427" s="364">
        <f t="shared" si="43"/>
        <v>637021</v>
      </c>
      <c r="U427" s="365">
        <f t="shared" si="44"/>
        <v>-964.61606999999992</v>
      </c>
      <c r="V427" s="365">
        <f>IF($Q427="ekrk",IF($R427="data",IFERROR(INDEX(data!$A:$ALL,MATCH($M427,data!$A:$A,0),MATCH(V$2,data!$1:$1,0)),"#data"),IFERROR(U427*INDEX(indexy_SDcast!$A:$ALI,MATCH($R427,indexy_SDcast!$K:$K,0),MATCH(V$2,indexy_SDcast!$2:$2,0)),"#ekrk")),"#popis")</f>
        <v>-971.89650448522877</v>
      </c>
      <c r="W427" s="365">
        <f>IF($Q427="ekrk",IF($R427="data",IFERROR(INDEX(data!$A:$ALL,MATCH($M427,data!$A:$A,0),MATCH(W$2,data!$1:$1,0)),"#data"),IFERROR(V427*INDEX(indexy_SDcast!$A:$ALI,MATCH($R427,indexy_SDcast!$K:$K,0),MATCH(W$2,indexy_SDcast!$2:$2,0)),"#ekrk")),"#popis")</f>
        <v>-992.06299773468572</v>
      </c>
      <c r="X427" s="365">
        <f>IF($Q427="ekrk",IF($R427="data",IFERROR(INDEX(data!$A:$ALL,MATCH($M427,data!$A:$A,0),MATCH(X$2,data!$1:$1,0)),"#data"),IFERROR(W427*INDEX(indexy_SDcast!$A:$ALI,MATCH($R427,indexy_SDcast!$K:$K,0),MATCH(X$2,indexy_SDcast!$2:$2,0)),"#ekrk")),"#popis")</f>
        <v>-1014.6300611918313</v>
      </c>
      <c r="Y427" s="362">
        <f>IF($Q427="ekrk",IF($R427="data",IFERROR(INDEX(data!$A:$ALL,MATCH($M427,data!$A:$A,0),MATCH(Y$2,data!$1:$1,0)),"#data"),IFERROR(X427*INDEX(indexy_SDcast!$A:$ALI,MATCH($R427,indexy_SDcast!$K:$K,0),MATCH(Y$2,indexy_SDcast!$2:$2,0)),"#ekrk")),"#popis")</f>
        <v>-1038.5280002146858</v>
      </c>
    </row>
    <row r="428" spans="1:25" x14ac:dyDescent="0.25">
      <c r="A428" s="330">
        <v>637022</v>
      </c>
      <c r="B428" s="329">
        <v>-5.8799999999999998E-2</v>
      </c>
      <c r="C428" s="157"/>
      <c r="D428" s="330">
        <v>637022</v>
      </c>
      <c r="E428" s="329">
        <v>-5.8799999999999998E-2</v>
      </c>
      <c r="F428" s="157"/>
      <c r="G428" s="330">
        <v>637022</v>
      </c>
      <c r="H428" s="329">
        <v>-5.8799999999999998E-2</v>
      </c>
      <c r="I428" s="157"/>
      <c r="J428" s="330">
        <v>637022</v>
      </c>
      <c r="K428" s="329">
        <v>-5.8799999999999998E-2</v>
      </c>
      <c r="L428" s="157"/>
      <c r="M428" s="360">
        <f t="shared" si="41"/>
        <v>637022</v>
      </c>
      <c r="N428" s="237">
        <f t="shared" si="42"/>
        <v>-5.8799999999999998E-2</v>
      </c>
      <c r="O428" s="361"/>
      <c r="P428" s="361"/>
      <c r="Q428" s="361" t="s">
        <v>698</v>
      </c>
      <c r="R428" s="362">
        <f>IF(Q428="ekrk",INDEX(indexy_SDcast!$A:$C,MATCH($M428,indexy_SDcast!$A:$A,0),2),"")</f>
        <v>25</v>
      </c>
      <c r="S428" s="236"/>
      <c r="T428" s="364">
        <f t="shared" si="43"/>
        <v>637022</v>
      </c>
      <c r="U428" s="365">
        <f t="shared" ref="U428:U437" si="45">N428</f>
        <v>-5.8799999999999998E-2</v>
      </c>
      <c r="V428" s="365">
        <f>IF($Q428="ekrk",IF($R428="data",IFERROR(INDEX(data!$A:$ALL,MATCH($M428,data!$A:$A,0),MATCH(V$2,data!$1:$1,0)),"#data"),IFERROR(U428*INDEX(indexy_SDcast!$A:$ALI,MATCH($R428,indexy_SDcast!$K:$K,0),MATCH(V$2,indexy_SDcast!$2:$2,0)),"#ekrk")),"#popis")</f>
        <v>-5.924379267673973E-2</v>
      </c>
      <c r="W428" s="365">
        <f>IF($Q428="ekrk",IF($R428="data",IFERROR(INDEX(data!$A:$ALL,MATCH($M428,data!$A:$A,0),MATCH(W$2,data!$1:$1,0)),"#data"),IFERROR(V428*INDEX(indexy_SDcast!$A:$ALI,MATCH($R428,indexy_SDcast!$K:$K,0),MATCH(W$2,indexy_SDcast!$2:$2,0)),"#ekrk")),"#popis")</f>
        <v>-6.0473079477931076E-2</v>
      </c>
      <c r="X428" s="365">
        <f>IF($Q428="ekrk",IF($R428="data",IFERROR(INDEX(data!$A:$ALL,MATCH($M428,data!$A:$A,0),MATCH(X$2,data!$1:$1,0)),"#data"),IFERROR(W428*INDEX(indexy_SDcast!$A:$ALI,MATCH($R428,indexy_SDcast!$K:$K,0),MATCH(X$2,indexy_SDcast!$2:$2,0)),"#ekrk")),"#popis")</f>
        <v>-6.1848697583982488E-2</v>
      </c>
      <c r="Y428" s="362">
        <f>IF($Q428="ekrk",IF($R428="data",IFERROR(INDEX(data!$A:$ALL,MATCH($M428,data!$A:$A,0),MATCH(Y$2,data!$1:$1,0)),"#data"),IFERROR(X428*INDEX(indexy_SDcast!$A:$ALI,MATCH($R428,indexy_SDcast!$K:$K,0),MATCH(Y$2,indexy_SDcast!$2:$2,0)),"#ekrk")),"#popis")</f>
        <v>-6.3305441731468903E-2</v>
      </c>
    </row>
    <row r="429" spans="1:25" x14ac:dyDescent="0.25">
      <c r="A429" s="330">
        <v>637025</v>
      </c>
      <c r="B429" s="329">
        <v>-4.8136599999999996</v>
      </c>
      <c r="C429" s="157"/>
      <c r="D429" s="330">
        <v>637025</v>
      </c>
      <c r="E429" s="329">
        <v>-4.8136599999999996</v>
      </c>
      <c r="F429" s="157"/>
      <c r="G429" s="330">
        <v>637025</v>
      </c>
      <c r="H429" s="329">
        <v>-4.8136599999999996</v>
      </c>
      <c r="I429" s="157"/>
      <c r="J429" s="330">
        <v>637025</v>
      </c>
      <c r="K429" s="329">
        <v>-4.8136599999999996</v>
      </c>
      <c r="L429" s="157"/>
      <c r="M429" s="360">
        <f t="shared" si="41"/>
        <v>637025</v>
      </c>
      <c r="N429" s="237">
        <f t="shared" si="42"/>
        <v>-4.8136599999999996</v>
      </c>
      <c r="O429" s="361"/>
      <c r="P429" s="361"/>
      <c r="Q429" s="361" t="s">
        <v>698</v>
      </c>
      <c r="R429" s="362">
        <f>IF(Q429="ekrk",INDEX(indexy_SDcast!$A:$C,MATCH($M429,indexy_SDcast!$A:$A,0),2),"")</f>
        <v>9</v>
      </c>
      <c r="S429" s="236"/>
      <c r="T429" s="364">
        <f t="shared" si="43"/>
        <v>637025</v>
      </c>
      <c r="U429" s="365">
        <f t="shared" si="45"/>
        <v>-4.8136599999999996</v>
      </c>
      <c r="V429" s="365">
        <f>IF($Q429="ekrk",IF($R429="data",IFERROR(INDEX(data!$A:$ALL,MATCH($M429,data!$A:$A,0),MATCH(V$2,data!$1:$1,0)),"#data"),IFERROR(U429*INDEX(indexy_SDcast!$A:$ALI,MATCH($R429,indexy_SDcast!$K:$K,0),MATCH(V$2,indexy_SDcast!$2:$2,0)),"#ekrk")),"#popis")</f>
        <v>-4.8136599999999996</v>
      </c>
      <c r="W429" s="365">
        <f>IF($Q429="ekrk",IF($R429="data",IFERROR(INDEX(data!$A:$ALL,MATCH($M429,data!$A:$A,0),MATCH(W$2,data!$1:$1,0)),"#data"),IFERROR(V429*INDEX(indexy_SDcast!$A:$ALI,MATCH($R429,indexy_SDcast!$K:$K,0),MATCH(W$2,indexy_SDcast!$2:$2,0)),"#ekrk")),"#popis")</f>
        <v>-4.8136599999999996</v>
      </c>
      <c r="X429" s="365">
        <f>IF($Q429="ekrk",IF($R429="data",IFERROR(INDEX(data!$A:$ALL,MATCH($M429,data!$A:$A,0),MATCH(X$2,data!$1:$1,0)),"#data"),IFERROR(W429*INDEX(indexy_SDcast!$A:$ALI,MATCH($R429,indexy_SDcast!$K:$K,0),MATCH(X$2,indexy_SDcast!$2:$2,0)),"#ekrk")),"#popis")</f>
        <v>-4.8136599999999996</v>
      </c>
      <c r="Y429" s="362">
        <f>IF($Q429="ekrk",IF($R429="data",IFERROR(INDEX(data!$A:$ALL,MATCH($M429,data!$A:$A,0),MATCH(Y$2,data!$1:$1,0)),"#data"),IFERROR(X429*INDEX(indexy_SDcast!$A:$ALI,MATCH($R429,indexy_SDcast!$K:$K,0),MATCH(Y$2,indexy_SDcast!$2:$2,0)),"#ekrk")),"#popis")</f>
        <v>-4.8136599999999996</v>
      </c>
    </row>
    <row r="430" spans="1:25" x14ac:dyDescent="0.25">
      <c r="A430" s="330">
        <v>637028</v>
      </c>
      <c r="B430" s="329">
        <v>0</v>
      </c>
      <c r="C430" s="157"/>
      <c r="D430" s="330">
        <v>637028</v>
      </c>
      <c r="E430" s="329">
        <v>0</v>
      </c>
      <c r="F430" s="157"/>
      <c r="G430" s="330">
        <v>637028</v>
      </c>
      <c r="H430" s="329">
        <v>0</v>
      </c>
      <c r="I430" s="157"/>
      <c r="J430" s="330">
        <v>637028</v>
      </c>
      <c r="K430" s="329">
        <v>0</v>
      </c>
      <c r="L430" s="157"/>
      <c r="M430" s="360">
        <f t="shared" si="41"/>
        <v>637028</v>
      </c>
      <c r="N430" s="237">
        <f t="shared" si="42"/>
        <v>0</v>
      </c>
      <c r="O430" s="361"/>
      <c r="P430" s="361"/>
      <c r="Q430" s="361" t="s">
        <v>698</v>
      </c>
      <c r="R430" s="362">
        <f>IF(Q430="ekrk",INDEX(indexy_SDcast!$A:$C,MATCH($M430,indexy_SDcast!$A:$A,0),2),"")</f>
        <v>9</v>
      </c>
      <c r="S430" s="236"/>
      <c r="T430" s="364">
        <f t="shared" si="43"/>
        <v>637028</v>
      </c>
      <c r="U430" s="365">
        <f t="shared" si="45"/>
        <v>0</v>
      </c>
      <c r="V430" s="365">
        <f>IF($Q430="ekrk",IF($R430="data",IFERROR(INDEX(data!$A:$ALL,MATCH($M430,data!$A:$A,0),MATCH(V$2,data!$1:$1,0)),"#data"),IFERROR(U430*INDEX(indexy_SDcast!$A:$ALI,MATCH($R430,indexy_SDcast!$K:$K,0),MATCH(V$2,indexy_SDcast!$2:$2,0)),"#ekrk")),"#popis")</f>
        <v>0</v>
      </c>
      <c r="W430" s="365">
        <f>IF($Q430="ekrk",IF($R430="data",IFERROR(INDEX(data!$A:$ALL,MATCH($M430,data!$A:$A,0),MATCH(W$2,data!$1:$1,0)),"#data"),IFERROR(V430*INDEX(indexy_SDcast!$A:$ALI,MATCH($R430,indexy_SDcast!$K:$K,0),MATCH(W$2,indexy_SDcast!$2:$2,0)),"#ekrk")),"#popis")</f>
        <v>0</v>
      </c>
      <c r="X430" s="365">
        <f>IF($Q430="ekrk",IF($R430="data",IFERROR(INDEX(data!$A:$ALL,MATCH($M430,data!$A:$A,0),MATCH(X$2,data!$1:$1,0)),"#data"),IFERROR(W430*INDEX(indexy_SDcast!$A:$ALI,MATCH($R430,indexy_SDcast!$K:$K,0),MATCH(X$2,indexy_SDcast!$2:$2,0)),"#ekrk")),"#popis")</f>
        <v>0</v>
      </c>
      <c r="Y430" s="362">
        <f>IF($Q430="ekrk",IF($R430="data",IFERROR(INDEX(data!$A:$ALL,MATCH($M430,data!$A:$A,0),MATCH(Y$2,data!$1:$1,0)),"#data"),IFERROR(X430*INDEX(indexy_SDcast!$A:$ALI,MATCH($R430,indexy_SDcast!$K:$K,0),MATCH(Y$2,indexy_SDcast!$2:$2,0)),"#ekrk")),"#popis")</f>
        <v>0</v>
      </c>
    </row>
    <row r="431" spans="1:25" x14ac:dyDescent="0.25">
      <c r="A431" s="330">
        <v>637029</v>
      </c>
      <c r="B431" s="329">
        <v>-44.627010000000006</v>
      </c>
      <c r="C431" s="157"/>
      <c r="D431" s="330">
        <v>637029</v>
      </c>
      <c r="E431" s="329">
        <v>-44.627010000000006</v>
      </c>
      <c r="F431" s="157"/>
      <c r="G431" s="330">
        <v>637029</v>
      </c>
      <c r="H431" s="329">
        <v>-44.627010000000006</v>
      </c>
      <c r="I431" s="157"/>
      <c r="J431" s="330">
        <v>637029</v>
      </c>
      <c r="K431" s="329">
        <v>-44.627010000000006</v>
      </c>
      <c r="L431" s="157"/>
      <c r="M431" s="360">
        <f t="shared" si="41"/>
        <v>637029</v>
      </c>
      <c r="N431" s="237">
        <f t="shared" si="42"/>
        <v>-44.627010000000006</v>
      </c>
      <c r="O431" s="361"/>
      <c r="P431" s="361"/>
      <c r="Q431" s="361" t="s">
        <v>698</v>
      </c>
      <c r="R431" s="362">
        <f>IF(Q431="ekrk",INDEX(indexy_SDcast!$A:$C,MATCH($M431,indexy_SDcast!$A:$A,0),2),"")</f>
        <v>9</v>
      </c>
      <c r="S431" s="236"/>
      <c r="T431" s="364">
        <f t="shared" si="43"/>
        <v>637029</v>
      </c>
      <c r="U431" s="365">
        <f t="shared" si="45"/>
        <v>-44.627010000000006</v>
      </c>
      <c r="V431" s="365">
        <f>IF($Q431="ekrk",IF($R431="data",IFERROR(INDEX(data!$A:$ALL,MATCH($M431,data!$A:$A,0),MATCH(V$2,data!$1:$1,0)),"#data"),IFERROR(U431*INDEX(indexy_SDcast!$A:$ALI,MATCH($R431,indexy_SDcast!$K:$K,0),MATCH(V$2,indexy_SDcast!$2:$2,0)),"#ekrk")),"#popis")</f>
        <v>-44.627010000000006</v>
      </c>
      <c r="W431" s="365">
        <f>IF($Q431="ekrk",IF($R431="data",IFERROR(INDEX(data!$A:$ALL,MATCH($M431,data!$A:$A,0),MATCH(W$2,data!$1:$1,0)),"#data"),IFERROR(V431*INDEX(indexy_SDcast!$A:$ALI,MATCH($R431,indexy_SDcast!$K:$K,0),MATCH(W$2,indexy_SDcast!$2:$2,0)),"#ekrk")),"#popis")</f>
        <v>-44.627010000000006</v>
      </c>
      <c r="X431" s="365">
        <f>IF($Q431="ekrk",IF($R431="data",IFERROR(INDEX(data!$A:$ALL,MATCH($M431,data!$A:$A,0),MATCH(X$2,data!$1:$1,0)),"#data"),IFERROR(W431*INDEX(indexy_SDcast!$A:$ALI,MATCH($R431,indexy_SDcast!$K:$K,0),MATCH(X$2,indexy_SDcast!$2:$2,0)),"#ekrk")),"#popis")</f>
        <v>-44.627010000000006</v>
      </c>
      <c r="Y431" s="362">
        <f>IF($Q431="ekrk",IF($R431="data",IFERROR(INDEX(data!$A:$ALL,MATCH($M431,data!$A:$A,0),MATCH(Y$2,data!$1:$1,0)),"#data"),IFERROR(X431*INDEX(indexy_SDcast!$A:$ALI,MATCH($R431,indexy_SDcast!$K:$K,0),MATCH(Y$2,indexy_SDcast!$2:$2,0)),"#ekrk")),"#popis")</f>
        <v>-44.627010000000006</v>
      </c>
    </row>
    <row r="432" spans="1:25" x14ac:dyDescent="0.25">
      <c r="A432" s="330">
        <v>637030</v>
      </c>
      <c r="B432" s="329">
        <v>-205.76905000000036</v>
      </c>
      <c r="C432" s="157"/>
      <c r="D432" s="330">
        <v>637030</v>
      </c>
      <c r="E432" s="329">
        <v>-205.76905000000036</v>
      </c>
      <c r="F432" s="157"/>
      <c r="G432" s="330">
        <v>637030</v>
      </c>
      <c r="H432" s="329">
        <v>-205.76905000000036</v>
      </c>
      <c r="I432" s="157"/>
      <c r="J432" s="330">
        <v>637030</v>
      </c>
      <c r="K432" s="329">
        <v>-205.76905000000036</v>
      </c>
      <c r="L432" s="157"/>
      <c r="M432" s="360">
        <f t="shared" ref="M432:M481" si="46">J432</f>
        <v>637030</v>
      </c>
      <c r="N432" s="237">
        <f t="shared" ref="N432:N481" si="47">K432</f>
        <v>-205.76905000000036</v>
      </c>
      <c r="O432" s="361"/>
      <c r="P432" s="361"/>
      <c r="Q432" s="361" t="s">
        <v>698</v>
      </c>
      <c r="R432" s="362">
        <f>IF(Q432="ekrk",INDEX(indexy_SDcast!$A:$C,MATCH($M432,indexy_SDcast!$A:$A,0),2),"")</f>
        <v>9</v>
      </c>
      <c r="S432" s="236"/>
      <c r="T432" s="364">
        <f t="shared" si="43"/>
        <v>637030</v>
      </c>
      <c r="U432" s="365">
        <f t="shared" si="45"/>
        <v>-205.76905000000036</v>
      </c>
      <c r="V432" s="365">
        <f>IF($Q432="ekrk",IF($R432="data",IFERROR(INDEX(data!$A:$ALL,MATCH($M432,data!$A:$A,0),MATCH(V$2,data!$1:$1,0)),"#data"),IFERROR(U432*INDEX(indexy_SDcast!$A:$ALI,MATCH($R432,indexy_SDcast!$K:$K,0),MATCH(V$2,indexy_SDcast!$2:$2,0)),"#ekrk")),"#popis")</f>
        <v>-205.76905000000036</v>
      </c>
      <c r="W432" s="365">
        <f>IF($Q432="ekrk",IF($R432="data",IFERROR(INDEX(data!$A:$ALL,MATCH($M432,data!$A:$A,0),MATCH(W$2,data!$1:$1,0)),"#data"),IFERROR(V432*INDEX(indexy_SDcast!$A:$ALI,MATCH($R432,indexy_SDcast!$K:$K,0),MATCH(W$2,indexy_SDcast!$2:$2,0)),"#ekrk")),"#popis")</f>
        <v>-205.76905000000036</v>
      </c>
      <c r="X432" s="365">
        <f>IF($Q432="ekrk",IF($R432="data",IFERROR(INDEX(data!$A:$ALL,MATCH($M432,data!$A:$A,0),MATCH(X$2,data!$1:$1,0)),"#data"),IFERROR(W432*INDEX(indexy_SDcast!$A:$ALI,MATCH($R432,indexy_SDcast!$K:$K,0),MATCH(X$2,indexy_SDcast!$2:$2,0)),"#ekrk")),"#popis")</f>
        <v>-205.76905000000036</v>
      </c>
      <c r="Y432" s="362">
        <f>IF($Q432="ekrk",IF($R432="data",IFERROR(INDEX(data!$A:$ALL,MATCH($M432,data!$A:$A,0),MATCH(Y$2,data!$1:$1,0)),"#data"),IFERROR(X432*INDEX(indexy_SDcast!$A:$ALI,MATCH($R432,indexy_SDcast!$K:$K,0),MATCH(Y$2,indexy_SDcast!$2:$2,0)),"#ekrk")),"#popis")</f>
        <v>-205.76905000000036</v>
      </c>
    </row>
    <row r="433" spans="1:44" x14ac:dyDescent="0.25">
      <c r="A433" s="330">
        <v>637032</v>
      </c>
      <c r="B433" s="329">
        <v>-1103.1076999999989</v>
      </c>
      <c r="C433" s="157"/>
      <c r="D433" s="330">
        <v>637032</v>
      </c>
      <c r="E433" s="329">
        <v>-1103.1076999999989</v>
      </c>
      <c r="F433" s="157"/>
      <c r="G433" s="330">
        <v>637032</v>
      </c>
      <c r="H433" s="329">
        <v>-1103.1076999999989</v>
      </c>
      <c r="I433" s="157"/>
      <c r="J433" s="330">
        <v>637032</v>
      </c>
      <c r="K433" s="329">
        <v>-1103.1076999999989</v>
      </c>
      <c r="L433" s="157"/>
      <c r="M433" s="360">
        <f t="shared" si="46"/>
        <v>637032</v>
      </c>
      <c r="N433" s="237">
        <f t="shared" si="47"/>
        <v>-1103.1076999999989</v>
      </c>
      <c r="O433" s="361"/>
      <c r="P433" s="361"/>
      <c r="Q433" s="361" t="s">
        <v>698</v>
      </c>
      <c r="R433" s="362">
        <f>IF(Q433="ekrk",INDEX(indexy_SDcast!$A:$C,MATCH($M433,indexy_SDcast!$A:$A,0),2),"")</f>
        <v>9</v>
      </c>
      <c r="S433" s="236"/>
      <c r="T433" s="364">
        <f t="shared" si="43"/>
        <v>637032</v>
      </c>
      <c r="U433" s="365">
        <f t="shared" si="45"/>
        <v>-1103.1076999999989</v>
      </c>
      <c r="V433" s="365">
        <f>IF($Q433="ekrk",IF($R433="data",IFERROR(INDEX(data!$A:$ALL,MATCH($M433,data!$A:$A,0),MATCH(V$2,data!$1:$1,0)),"#data"),IFERROR(U433*INDEX(indexy_SDcast!$A:$ALI,MATCH($R433,indexy_SDcast!$K:$K,0),MATCH(V$2,indexy_SDcast!$2:$2,0)),"#ekrk")),"#popis")</f>
        <v>-1103.1076999999989</v>
      </c>
      <c r="W433" s="365">
        <f>IF($Q433="ekrk",IF($R433="data",IFERROR(INDEX(data!$A:$ALL,MATCH($M433,data!$A:$A,0),MATCH(W$2,data!$1:$1,0)),"#data"),IFERROR(V433*INDEX(indexy_SDcast!$A:$ALI,MATCH($R433,indexy_SDcast!$K:$K,0),MATCH(W$2,indexy_SDcast!$2:$2,0)),"#ekrk")),"#popis")</f>
        <v>-1103.1076999999989</v>
      </c>
      <c r="X433" s="365">
        <f>IF($Q433="ekrk",IF($R433="data",IFERROR(INDEX(data!$A:$ALL,MATCH($M433,data!$A:$A,0),MATCH(X$2,data!$1:$1,0)),"#data"),IFERROR(W433*INDEX(indexy_SDcast!$A:$ALI,MATCH($R433,indexy_SDcast!$K:$K,0),MATCH(X$2,indexy_SDcast!$2:$2,0)),"#ekrk")),"#popis")</f>
        <v>-1103.1076999999989</v>
      </c>
      <c r="Y433" s="362">
        <f>IF($Q433="ekrk",IF($R433="data",IFERROR(INDEX(data!$A:$ALL,MATCH($M433,data!$A:$A,0),MATCH(Y$2,data!$1:$1,0)),"#data"),IFERROR(X433*INDEX(indexy_SDcast!$A:$ALI,MATCH($R433,indexy_SDcast!$K:$K,0),MATCH(Y$2,indexy_SDcast!$2:$2,0)),"#ekrk")),"#popis")</f>
        <v>-1103.1076999999989</v>
      </c>
    </row>
    <row r="434" spans="1:44" x14ac:dyDescent="0.25">
      <c r="A434" s="330">
        <v>637036</v>
      </c>
      <c r="B434" s="329">
        <v>-302.39861999999988</v>
      </c>
      <c r="C434" s="157"/>
      <c r="D434" s="330">
        <v>637036</v>
      </c>
      <c r="E434" s="329">
        <v>-302.39861999999988</v>
      </c>
      <c r="F434" s="157"/>
      <c r="G434" s="330">
        <v>637036</v>
      </c>
      <c r="H434" s="329">
        <v>-302.39861999999988</v>
      </c>
      <c r="I434" s="157"/>
      <c r="J434" s="330">
        <v>637036</v>
      </c>
      <c r="K434" s="329">
        <v>-302.39861999999988</v>
      </c>
      <c r="L434" s="157"/>
      <c r="M434" s="360">
        <f t="shared" si="46"/>
        <v>637036</v>
      </c>
      <c r="N434" s="237">
        <f t="shared" si="47"/>
        <v>-302.39861999999988</v>
      </c>
      <c r="O434" s="361"/>
      <c r="P434" s="361"/>
      <c r="Q434" s="361" t="s">
        <v>698</v>
      </c>
      <c r="R434" s="362">
        <f>IF(Q434="ekrk",INDEX(indexy_SDcast!$A:$C,MATCH($M434,indexy_SDcast!$A:$A,0),2),"")</f>
        <v>25</v>
      </c>
      <c r="S434" s="236"/>
      <c r="T434" s="364">
        <f t="shared" si="43"/>
        <v>637036</v>
      </c>
      <c r="U434" s="365">
        <f t="shared" si="45"/>
        <v>-302.39861999999988</v>
      </c>
      <c r="V434" s="365">
        <f>IF($Q434="ekrk",IF($R434="data",IFERROR(INDEX(data!$A:$ALL,MATCH($M434,data!$A:$A,0),MATCH(V$2,data!$1:$1,0)),"#data"),IFERROR(U434*INDEX(indexy_SDcast!$A:$ALI,MATCH($R434,indexy_SDcast!$K:$K,0),MATCH(V$2,indexy_SDcast!$2:$2,0)),"#ekrk")),"#popis")</f>
        <v>-304.6809719219761</v>
      </c>
      <c r="W434" s="365">
        <f>IF($Q434="ekrk",IF($R434="data",IFERROR(INDEX(data!$A:$ALL,MATCH($M434,data!$A:$A,0),MATCH(W$2,data!$1:$1,0)),"#data"),IFERROR(V434*INDEX(indexy_SDcast!$A:$ALI,MATCH($R434,indexy_SDcast!$K:$K,0),MATCH(W$2,indexy_SDcast!$2:$2,0)),"#ekrk")),"#popis")</f>
        <v>-311.00298947749445</v>
      </c>
      <c r="X434" s="365">
        <f>IF($Q434="ekrk",IF($R434="data",IFERROR(INDEX(data!$A:$ALL,MATCH($M434,data!$A:$A,0),MATCH(X$2,data!$1:$1,0)),"#data"),IFERROR(W434*INDEX(indexy_SDcast!$A:$ALI,MATCH($R434,indexy_SDcast!$K:$K,0),MATCH(X$2,indexy_SDcast!$2:$2,0)),"#ekrk")),"#popis")</f>
        <v>-318.07756459512984</v>
      </c>
      <c r="Y434" s="362">
        <f>IF($Q434="ekrk",IF($R434="data",IFERROR(INDEX(data!$A:$ALL,MATCH($M434,data!$A:$A,0),MATCH(Y$2,data!$1:$1,0)),"#data"),IFERROR(X434*INDEX(indexy_SDcast!$A:$ALI,MATCH($R434,indexy_SDcast!$K:$K,0),MATCH(Y$2,indexy_SDcast!$2:$2,0)),"#ekrk")),"#popis")</f>
        <v>-325.56935745045246</v>
      </c>
    </row>
    <row r="435" spans="1:44" x14ac:dyDescent="0.25">
      <c r="A435" s="330">
        <v>637037</v>
      </c>
      <c r="B435" s="329">
        <v>-722.19182000000046</v>
      </c>
      <c r="C435" s="157"/>
      <c r="D435" s="330">
        <v>637037</v>
      </c>
      <c r="E435" s="329">
        <v>-722.19182000000046</v>
      </c>
      <c r="F435" s="157"/>
      <c r="G435" s="330">
        <v>637037</v>
      </c>
      <c r="H435" s="329">
        <v>-722.19182000000046</v>
      </c>
      <c r="I435" s="157"/>
      <c r="J435" s="330">
        <v>637037</v>
      </c>
      <c r="K435" s="329">
        <v>-722.19182000000046</v>
      </c>
      <c r="L435" s="157"/>
      <c r="M435" s="360">
        <f t="shared" si="46"/>
        <v>637037</v>
      </c>
      <c r="N435" s="237">
        <f t="shared" si="47"/>
        <v>-722.19182000000046</v>
      </c>
      <c r="O435" s="361"/>
      <c r="P435" s="361"/>
      <c r="Q435" s="361" t="s">
        <v>698</v>
      </c>
      <c r="R435" s="362">
        <f>IF(Q435="ekrk",INDEX(indexy_SDcast!$A:$C,MATCH($M435,indexy_SDcast!$A:$A,0),2),"")</f>
        <v>9</v>
      </c>
      <c r="S435" s="236"/>
      <c r="T435" s="364">
        <f t="shared" si="43"/>
        <v>637037</v>
      </c>
      <c r="U435" s="365">
        <f t="shared" si="45"/>
        <v>-722.19182000000046</v>
      </c>
      <c r="V435" s="365">
        <f>IF($Q435="ekrk",IF($R435="data",IFERROR(INDEX(data!$A:$ALL,MATCH($M435,data!$A:$A,0),MATCH(V$2,data!$1:$1,0)),"#data"),IFERROR(U435*INDEX(indexy_SDcast!$A:$ALI,MATCH($R435,indexy_SDcast!$K:$K,0),MATCH(V$2,indexy_SDcast!$2:$2,0)),"#ekrk")),"#popis")</f>
        <v>-722.19182000000046</v>
      </c>
      <c r="W435" s="365">
        <f>IF($Q435="ekrk",IF($R435="data",IFERROR(INDEX(data!$A:$ALL,MATCH($M435,data!$A:$A,0),MATCH(W$2,data!$1:$1,0)),"#data"),IFERROR(V435*INDEX(indexy_SDcast!$A:$ALI,MATCH($R435,indexy_SDcast!$K:$K,0),MATCH(W$2,indexy_SDcast!$2:$2,0)),"#ekrk")),"#popis")</f>
        <v>-722.19182000000046</v>
      </c>
      <c r="X435" s="365">
        <f>IF($Q435="ekrk",IF($R435="data",IFERROR(INDEX(data!$A:$ALL,MATCH($M435,data!$A:$A,0),MATCH(X$2,data!$1:$1,0)),"#data"),IFERROR(W435*INDEX(indexy_SDcast!$A:$ALI,MATCH($R435,indexy_SDcast!$K:$K,0),MATCH(X$2,indexy_SDcast!$2:$2,0)),"#ekrk")),"#popis")</f>
        <v>-722.19182000000046</v>
      </c>
      <c r="Y435" s="362">
        <f>IF($Q435="ekrk",IF($R435="data",IFERROR(INDEX(data!$A:$ALL,MATCH($M435,data!$A:$A,0),MATCH(Y$2,data!$1:$1,0)),"#data"),IFERROR(X435*INDEX(indexy_SDcast!$A:$ALI,MATCH($R435,indexy_SDcast!$K:$K,0),MATCH(Y$2,indexy_SDcast!$2:$2,0)),"#ekrk")),"#popis")</f>
        <v>-722.19182000000046</v>
      </c>
    </row>
    <row r="436" spans="1:44" x14ac:dyDescent="0.25">
      <c r="A436" s="330">
        <v>637200</v>
      </c>
      <c r="B436" s="329">
        <v>-15376.537220000006</v>
      </c>
      <c r="C436" s="157"/>
      <c r="D436" s="330">
        <v>637200</v>
      </c>
      <c r="E436" s="329">
        <v>-15376.537220000006</v>
      </c>
      <c r="F436" s="157"/>
      <c r="G436" s="330">
        <v>637200</v>
      </c>
      <c r="H436" s="329">
        <v>-15376.537220000006</v>
      </c>
      <c r="I436" s="157"/>
      <c r="J436" s="330">
        <v>637200</v>
      </c>
      <c r="K436" s="329">
        <v>-15376.537220000006</v>
      </c>
      <c r="L436" s="157"/>
      <c r="M436" s="360">
        <f t="shared" si="46"/>
        <v>637200</v>
      </c>
      <c r="N436" s="237">
        <f t="shared" si="47"/>
        <v>-15376.537220000006</v>
      </c>
      <c r="O436" s="361"/>
      <c r="P436" s="361"/>
      <c r="Q436" s="361" t="s">
        <v>698</v>
      </c>
      <c r="R436" s="362">
        <f>IF(Q436="ekrk",INDEX(indexy_SDcast!$A:$C,MATCH($M436,indexy_SDcast!$A:$A,0),2),"")</f>
        <v>9</v>
      </c>
      <c r="S436" s="236"/>
      <c r="T436" s="364">
        <f t="shared" ref="T436:T471" si="48">M436</f>
        <v>637200</v>
      </c>
      <c r="U436" s="365">
        <f t="shared" si="45"/>
        <v>-15376.537220000006</v>
      </c>
      <c r="V436" s="365">
        <f>IF($Q436="ekrk",IF($R436="data",IFERROR(INDEX(data!$A:$ALL,MATCH($M436,data!$A:$A,0),MATCH(V$2,data!$1:$1,0)),"#data"),IFERROR(U436*INDEX(indexy_SDcast!$A:$ALI,MATCH($R436,indexy_SDcast!$K:$K,0),MATCH(V$2,indexy_SDcast!$2:$2,0)),"#ekrk")),"#popis")</f>
        <v>-15376.537220000006</v>
      </c>
      <c r="W436" s="365">
        <f>IF($Q436="ekrk",IF($R436="data",IFERROR(INDEX(data!$A:$ALL,MATCH($M436,data!$A:$A,0),MATCH(W$2,data!$1:$1,0)),"#data"),IFERROR(V436*INDEX(indexy_SDcast!$A:$ALI,MATCH($R436,indexy_SDcast!$K:$K,0),MATCH(W$2,indexy_SDcast!$2:$2,0)),"#ekrk")),"#popis")</f>
        <v>-15376.537220000006</v>
      </c>
      <c r="X436" s="365">
        <f>IF($Q436="ekrk",IF($R436="data",IFERROR(INDEX(data!$A:$ALL,MATCH($M436,data!$A:$A,0),MATCH(X$2,data!$1:$1,0)),"#data"),IFERROR(W436*INDEX(indexy_SDcast!$A:$ALI,MATCH($R436,indexy_SDcast!$K:$K,0),MATCH(X$2,indexy_SDcast!$2:$2,0)),"#ekrk")),"#popis")</f>
        <v>-15376.537220000006</v>
      </c>
      <c r="Y436" s="362">
        <f>IF($Q436="ekrk",IF($R436="data",IFERROR(INDEX(data!$A:$ALL,MATCH($M436,data!$A:$A,0),MATCH(Y$2,data!$1:$1,0)),"#data"),IFERROR(X436*INDEX(indexy_SDcast!$A:$ALI,MATCH($R436,indexy_SDcast!$K:$K,0),MATCH(Y$2,indexy_SDcast!$2:$2,0)),"#ekrk")),"#popis")</f>
        <v>-15376.537220000006</v>
      </c>
    </row>
    <row r="437" spans="1:44" x14ac:dyDescent="0.25">
      <c r="A437" s="330">
        <v>653001</v>
      </c>
      <c r="B437" s="329">
        <v>-1.6424999999999996</v>
      </c>
      <c r="C437" s="157"/>
      <c r="D437" s="330">
        <v>653001</v>
      </c>
      <c r="E437" s="329">
        <v>-1.6424999999999996</v>
      </c>
      <c r="F437" s="157"/>
      <c r="G437" s="330">
        <v>653001</v>
      </c>
      <c r="H437" s="329">
        <v>-1.6424999999999996</v>
      </c>
      <c r="I437" s="157"/>
      <c r="J437" s="330">
        <v>653001</v>
      </c>
      <c r="K437" s="329">
        <v>-1.6424999999999996</v>
      </c>
      <c r="L437" s="157"/>
      <c r="M437" s="360">
        <f t="shared" si="46"/>
        <v>653001</v>
      </c>
      <c r="N437" s="237">
        <f t="shared" si="47"/>
        <v>-1.6424999999999996</v>
      </c>
      <c r="O437" s="361"/>
      <c r="P437" s="361"/>
      <c r="Q437" s="361" t="s">
        <v>698</v>
      </c>
      <c r="R437" s="362">
        <f>IF(Q437="ekrk",INDEX(indexy_SDcast!$A:$C,MATCH($M437,indexy_SDcast!$A:$A,0),2),"")</f>
        <v>9</v>
      </c>
      <c r="S437" s="236"/>
      <c r="T437" s="364">
        <f t="shared" si="48"/>
        <v>653001</v>
      </c>
      <c r="U437" s="365">
        <f t="shared" si="45"/>
        <v>-1.6424999999999996</v>
      </c>
      <c r="V437" s="365">
        <f>IF($Q437="ekrk",IF($R437="data",IFERROR(INDEX(data!$A:$ALL,MATCH($M437,data!$A:$A,0),MATCH(V$2,data!$1:$1,0)),"#data"),IFERROR(U437*INDEX(indexy_SDcast!$A:$ALI,MATCH($R437,indexy_SDcast!$K:$K,0),MATCH(V$2,indexy_SDcast!$2:$2,0)),"#ekrk")),"#popis")</f>
        <v>-1.6424999999999996</v>
      </c>
      <c r="W437" s="365">
        <f>IF($Q437="ekrk",IF($R437="data",IFERROR(INDEX(data!$A:$ALL,MATCH($M437,data!$A:$A,0),MATCH(W$2,data!$1:$1,0)),"#data"),IFERROR(V437*INDEX(indexy_SDcast!$A:$ALI,MATCH($R437,indexy_SDcast!$K:$K,0),MATCH(W$2,indexy_SDcast!$2:$2,0)),"#ekrk")),"#popis")</f>
        <v>-1.6424999999999996</v>
      </c>
      <c r="X437" s="365">
        <f>IF($Q437="ekrk",IF($R437="data",IFERROR(INDEX(data!$A:$ALL,MATCH($M437,data!$A:$A,0),MATCH(X$2,data!$1:$1,0)),"#data"),IFERROR(W437*INDEX(indexy_SDcast!$A:$ALI,MATCH($R437,indexy_SDcast!$K:$K,0),MATCH(X$2,indexy_SDcast!$2:$2,0)),"#ekrk")),"#popis")</f>
        <v>-1.6424999999999996</v>
      </c>
      <c r="Y437" s="362">
        <f>IF($Q437="ekrk",IF($R437="data",IFERROR(INDEX(data!$A:$ALL,MATCH($M437,data!$A:$A,0),MATCH(Y$2,data!$1:$1,0)),"#data"),IFERROR(X437*INDEX(indexy_SDcast!$A:$ALI,MATCH($R437,indexy_SDcast!$K:$K,0),MATCH(Y$2,indexy_SDcast!$2:$2,0)),"#ekrk")),"#popis")</f>
        <v>-1.6424999999999996</v>
      </c>
    </row>
    <row r="438" spans="1:44" s="18" customFormat="1" x14ac:dyDescent="0.25">
      <c r="A438" s="333" t="s">
        <v>754</v>
      </c>
      <c r="B438" s="334">
        <v>-60612.357990000011</v>
      </c>
      <c r="C438" s="164"/>
      <c r="D438" s="333" t="s">
        <v>754</v>
      </c>
      <c r="E438" s="334">
        <v>-60612.357990000011</v>
      </c>
      <c r="F438" s="164"/>
      <c r="G438" s="333" t="s">
        <v>754</v>
      </c>
      <c r="H438" s="334">
        <v>-60612.357990000011</v>
      </c>
      <c r="I438" s="164"/>
      <c r="J438" s="333" t="s">
        <v>754</v>
      </c>
      <c r="K438" s="334">
        <v>-60612.357990000011</v>
      </c>
      <c r="L438" s="164"/>
      <c r="M438" s="358" t="str">
        <f t="shared" si="46"/>
        <v>P5111</v>
      </c>
      <c r="N438" s="239">
        <f t="shared" si="47"/>
        <v>-60612.357990000011</v>
      </c>
      <c r="O438" s="243"/>
      <c r="P438" s="243">
        <f>MATCH(Q438,Q439:Q$1550,0)</f>
        <v>26</v>
      </c>
      <c r="Q438" s="243" t="s">
        <v>697</v>
      </c>
      <c r="R438" s="359" t="str">
        <f>IF(Q438="ekrk",INDEX(indexy_SDcast!$A:$C,MATCH($M438,indexy_SDcast!$A:$A,0),2),"")</f>
        <v/>
      </c>
      <c r="S438" s="240"/>
      <c r="T438" s="363" t="str">
        <f t="shared" si="48"/>
        <v>P5111</v>
      </c>
      <c r="U438" s="244">
        <f>SUM(U439:U463)</f>
        <v>-60612.357990000011</v>
      </c>
      <c r="V438" s="244">
        <f>SUM(V439:V463)</f>
        <v>-62574.605861196447</v>
      </c>
      <c r="W438" s="244">
        <f>SUM(W439:W463)</f>
        <v>-65334.494536789112</v>
      </c>
      <c r="X438" s="244">
        <f>SUM(X439:X463)</f>
        <v>-68620.823691492304</v>
      </c>
      <c r="Y438" s="359">
        <f>SUM(Y439:Y463)</f>
        <v>-72390.912644816883</v>
      </c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8"/>
      <c r="AN438" s="58"/>
      <c r="AO438" s="58"/>
      <c r="AP438" s="58"/>
      <c r="AQ438" s="58"/>
      <c r="AR438" s="58"/>
    </row>
    <row r="439" spans="1:44" x14ac:dyDescent="0.25">
      <c r="A439" s="330">
        <v>713001</v>
      </c>
      <c r="B439" s="329">
        <v>-623.26238999999987</v>
      </c>
      <c r="C439" s="157"/>
      <c r="D439" s="330">
        <v>713001</v>
      </c>
      <c r="E439" s="329">
        <v>-623.26238999999987</v>
      </c>
      <c r="F439" s="157"/>
      <c r="G439" s="330">
        <v>713001</v>
      </c>
      <c r="H439" s="329">
        <v>-623.26238999999987</v>
      </c>
      <c r="I439" s="157"/>
      <c r="J439" s="330">
        <v>713001</v>
      </c>
      <c r="K439" s="329">
        <v>-623.26238999999987</v>
      </c>
      <c r="L439" s="157"/>
      <c r="M439" s="360">
        <f t="shared" si="46"/>
        <v>713001</v>
      </c>
      <c r="N439" s="237">
        <f t="shared" si="47"/>
        <v>-623.26238999999987</v>
      </c>
      <c r="O439" s="361"/>
      <c r="P439" s="361"/>
      <c r="Q439" s="361" t="s">
        <v>698</v>
      </c>
      <c r="R439" s="362">
        <f>IF(Q439="ekrk",INDEX(indexy_SDcast!$A:$C,MATCH($M439,indexy_SDcast!$A:$A,0),2),"")</f>
        <v>37</v>
      </c>
      <c r="S439" s="236"/>
      <c r="T439" s="364">
        <f t="shared" si="48"/>
        <v>713001</v>
      </c>
      <c r="U439" s="365">
        <f t="shared" ref="U439:U463" si="49">N439</f>
        <v>-623.26238999999987</v>
      </c>
      <c r="V439" s="365">
        <f>IF($Q439="ekrk",IF($R439="data",IFERROR(INDEX(data!$A:$ALL,MATCH($M439,data!$A:$A,0),MATCH(V$2,data!$1:$1,0)),"#data"),IFERROR(U439*INDEX(indexy_SDcast!$A:$ALI,MATCH($R439,indexy_SDcast!$K:$K,0),MATCH(V$2,indexy_SDcast!$2:$2,0)),"#ekrk")),"#popis")</f>
        <v>-643.49741714651168</v>
      </c>
      <c r="W439" s="365">
        <f>IF($Q439="ekrk",IF($R439="data",IFERROR(INDEX(data!$A:$ALL,MATCH($M439,data!$A:$A,0),MATCH(W$2,data!$1:$1,0)),"#data"),IFERROR(V439*INDEX(indexy_SDcast!$A:$ALI,MATCH($R439,indexy_SDcast!$K:$K,0),MATCH(W$2,indexy_SDcast!$2:$2,0)),"#ekrk")),"#popis")</f>
        <v>-671.95784923143322</v>
      </c>
      <c r="X439" s="365">
        <f>IF($Q439="ekrk",IF($R439="data",IFERROR(INDEX(data!$A:$ALL,MATCH($M439,data!$A:$A,0),MATCH(X$2,data!$1:$1,0)),"#data"),IFERROR(W439*INDEX(indexy_SDcast!$A:$ALI,MATCH($R439,indexy_SDcast!$K:$K,0),MATCH(X$2,indexy_SDcast!$2:$2,0)),"#ekrk")),"#popis")</f>
        <v>-705.84702329242771</v>
      </c>
      <c r="Y439" s="362">
        <f>IF($Q439="ekrk",IF($R439="data",IFERROR(INDEX(data!$A:$ALL,MATCH($M439,data!$A:$A,0),MATCH(Y$2,data!$1:$1,0)),"#data"),IFERROR(X439*INDEX(indexy_SDcast!$A:$ALI,MATCH($R439,indexy_SDcast!$K:$K,0),MATCH(Y$2,indexy_SDcast!$2:$2,0)),"#ekrk")),"#popis")</f>
        <v>-744.72480903759595</v>
      </c>
    </row>
    <row r="440" spans="1:44" x14ac:dyDescent="0.25">
      <c r="A440" s="330">
        <v>713002</v>
      </c>
      <c r="B440" s="329">
        <v>-3440.8940499999994</v>
      </c>
      <c r="C440" s="157"/>
      <c r="D440" s="330">
        <v>713002</v>
      </c>
      <c r="E440" s="329">
        <v>-3440.8940499999994</v>
      </c>
      <c r="F440" s="157"/>
      <c r="G440" s="330">
        <v>713002</v>
      </c>
      <c r="H440" s="329">
        <v>-3440.8940499999994</v>
      </c>
      <c r="I440" s="157"/>
      <c r="J440" s="330">
        <v>713002</v>
      </c>
      <c r="K440" s="329">
        <v>-3440.8940499999994</v>
      </c>
      <c r="L440" s="157"/>
      <c r="M440" s="360">
        <f t="shared" si="46"/>
        <v>713002</v>
      </c>
      <c r="N440" s="237">
        <f t="shared" si="47"/>
        <v>-3440.8940499999994</v>
      </c>
      <c r="O440" s="361"/>
      <c r="P440" s="361"/>
      <c r="Q440" s="361" t="s">
        <v>698</v>
      </c>
      <c r="R440" s="362">
        <f>IF(Q440="ekrk",INDEX(indexy_SDcast!$A:$C,MATCH($M440,indexy_SDcast!$A:$A,0),2),"")</f>
        <v>37</v>
      </c>
      <c r="S440" s="236"/>
      <c r="T440" s="364">
        <f t="shared" si="48"/>
        <v>713002</v>
      </c>
      <c r="U440" s="365">
        <f t="shared" si="49"/>
        <v>-3440.8940499999994</v>
      </c>
      <c r="V440" s="365">
        <f>IF($Q440="ekrk",IF($R440="data",IFERROR(INDEX(data!$A:$ALL,MATCH($M440,data!$A:$A,0),MATCH(V$2,data!$1:$1,0)),"#data"),IFERROR(U440*INDEX(indexy_SDcast!$A:$ALI,MATCH($R440,indexy_SDcast!$K:$K,0),MATCH(V$2,indexy_SDcast!$2:$2,0)),"#ekrk")),"#popis")</f>
        <v>-3552.6071673437573</v>
      </c>
      <c r="W440" s="365">
        <f>IF($Q440="ekrk",IF($R440="data",IFERROR(INDEX(data!$A:$ALL,MATCH($M440,data!$A:$A,0),MATCH(W$2,data!$1:$1,0)),"#data"),IFERROR(V440*INDEX(indexy_SDcast!$A:$ALI,MATCH($R440,indexy_SDcast!$K:$K,0),MATCH(W$2,indexy_SDcast!$2:$2,0)),"#ekrk")),"#popis")</f>
        <v>-3709.7309293301582</v>
      </c>
      <c r="X440" s="365">
        <f>IF($Q440="ekrk",IF($R440="data",IFERROR(INDEX(data!$A:$ALL,MATCH($M440,data!$A:$A,0),MATCH(X$2,data!$1:$1,0)),"#data"),IFERROR(W440*INDEX(indexy_SDcast!$A:$ALI,MATCH($R440,indexy_SDcast!$K:$K,0),MATCH(X$2,indexy_SDcast!$2:$2,0)),"#ekrk")),"#popis")</f>
        <v>-3896.8255771973113</v>
      </c>
      <c r="Y440" s="362">
        <f>IF($Q440="ekrk",IF($R440="data",IFERROR(INDEX(data!$A:$ALL,MATCH($M440,data!$A:$A,0),MATCH(Y$2,data!$1:$1,0)),"#data"),IFERROR(X440*INDEX(indexy_SDcast!$A:$ALI,MATCH($R440,indexy_SDcast!$K:$K,0),MATCH(Y$2,indexy_SDcast!$2:$2,0)),"#ekrk")),"#popis")</f>
        <v>-4111.461248776538</v>
      </c>
    </row>
    <row r="441" spans="1:44" x14ac:dyDescent="0.25">
      <c r="A441" s="330">
        <v>713003</v>
      </c>
      <c r="B441" s="329">
        <v>-186.34619999999998</v>
      </c>
      <c r="C441" s="157"/>
      <c r="D441" s="330">
        <v>713003</v>
      </c>
      <c r="E441" s="329">
        <v>-186.34619999999998</v>
      </c>
      <c r="F441" s="157"/>
      <c r="G441" s="330">
        <v>713003</v>
      </c>
      <c r="H441" s="329">
        <v>-186.34619999999998</v>
      </c>
      <c r="I441" s="157"/>
      <c r="J441" s="330">
        <v>713003</v>
      </c>
      <c r="K441" s="329">
        <v>-186.34619999999998</v>
      </c>
      <c r="L441" s="157"/>
      <c r="M441" s="360">
        <f t="shared" si="46"/>
        <v>713003</v>
      </c>
      <c r="N441" s="237">
        <f t="shared" si="47"/>
        <v>-186.34619999999998</v>
      </c>
      <c r="O441" s="361"/>
      <c r="P441" s="361"/>
      <c r="Q441" s="361" t="s">
        <v>698</v>
      </c>
      <c r="R441" s="362">
        <f>IF(Q441="ekrk",INDEX(indexy_SDcast!$A:$C,MATCH($M441,indexy_SDcast!$A:$A,0),2),"")</f>
        <v>37</v>
      </c>
      <c r="S441" s="236"/>
      <c r="T441" s="364">
        <f t="shared" si="48"/>
        <v>713003</v>
      </c>
      <c r="U441" s="365">
        <f t="shared" si="49"/>
        <v>-186.34619999999998</v>
      </c>
      <c r="V441" s="365">
        <f>IF($Q441="ekrk",IF($R441="data",IFERROR(INDEX(data!$A:$ALL,MATCH($M441,data!$A:$A,0),MATCH(V$2,data!$1:$1,0)),"#data"),IFERROR(U441*INDEX(indexy_SDcast!$A:$ALI,MATCH($R441,indexy_SDcast!$K:$K,0),MATCH(V$2,indexy_SDcast!$2:$2,0)),"#ekrk")),"#popis")</f>
        <v>-192.39617265381167</v>
      </c>
      <c r="W441" s="365">
        <f>IF($Q441="ekrk",IF($R441="data",IFERROR(INDEX(data!$A:$ALL,MATCH($M441,data!$A:$A,0),MATCH(W$2,data!$1:$1,0)),"#data"),IFERROR(V441*INDEX(indexy_SDcast!$A:$ALI,MATCH($R441,indexy_SDcast!$K:$K,0),MATCH(W$2,indexy_SDcast!$2:$2,0)),"#ekrk")),"#popis")</f>
        <v>-200.90541924798399</v>
      </c>
      <c r="X441" s="365">
        <f>IF($Q441="ekrk",IF($R441="data",IFERROR(INDEX(data!$A:$ALL,MATCH($M441,data!$A:$A,0),MATCH(X$2,data!$1:$1,0)),"#data"),IFERROR(W441*INDEX(indexy_SDcast!$A:$ALI,MATCH($R441,indexy_SDcast!$K:$K,0),MATCH(X$2,indexy_SDcast!$2:$2,0)),"#ekrk")),"#popis")</f>
        <v>-211.03777908346979</v>
      </c>
      <c r="Y441" s="362">
        <f>IF($Q441="ekrk",IF($R441="data",IFERROR(INDEX(data!$A:$ALL,MATCH($M441,data!$A:$A,0),MATCH(Y$2,data!$1:$1,0)),"#data"),IFERROR(X441*INDEX(indexy_SDcast!$A:$ALI,MATCH($R441,indexy_SDcast!$K:$K,0),MATCH(Y$2,indexy_SDcast!$2:$2,0)),"#ekrk")),"#popis")</f>
        <v>-222.66165973833535</v>
      </c>
    </row>
    <row r="442" spans="1:44" x14ac:dyDescent="0.25">
      <c r="A442" s="330">
        <v>713004</v>
      </c>
      <c r="B442" s="329">
        <v>-5016.0808799999995</v>
      </c>
      <c r="C442" s="157"/>
      <c r="D442" s="330">
        <v>713004</v>
      </c>
      <c r="E442" s="329">
        <v>-5016.0808799999995</v>
      </c>
      <c r="F442" s="157"/>
      <c r="G442" s="330">
        <v>713004</v>
      </c>
      <c r="H442" s="329">
        <v>-5016.0808799999995</v>
      </c>
      <c r="I442" s="157"/>
      <c r="J442" s="330">
        <v>713004</v>
      </c>
      <c r="K442" s="329">
        <v>-5016.0808799999995</v>
      </c>
      <c r="L442" s="157"/>
      <c r="M442" s="360">
        <f t="shared" si="46"/>
        <v>713004</v>
      </c>
      <c r="N442" s="237">
        <f t="shared" si="47"/>
        <v>-5016.0808799999995</v>
      </c>
      <c r="O442" s="361"/>
      <c r="P442" s="361"/>
      <c r="Q442" s="361" t="s">
        <v>698</v>
      </c>
      <c r="R442" s="362">
        <f>IF(Q442="ekrk",INDEX(indexy_SDcast!$A:$C,MATCH($M442,indexy_SDcast!$A:$A,0),2),"")</f>
        <v>37</v>
      </c>
      <c r="S442" s="236"/>
      <c r="T442" s="364">
        <f t="shared" si="48"/>
        <v>713004</v>
      </c>
      <c r="U442" s="365">
        <f t="shared" si="49"/>
        <v>-5016.0808799999995</v>
      </c>
      <c r="V442" s="365">
        <f>IF($Q442="ekrk",IF($R442="data",IFERROR(INDEX(data!$A:$ALL,MATCH($M442,data!$A:$A,0),MATCH(V$2,data!$1:$1,0)),"#data"),IFERROR(U442*INDEX(indexy_SDcast!$A:$ALI,MATCH($R442,indexy_SDcast!$K:$K,0),MATCH(V$2,indexy_SDcast!$2:$2,0)),"#ekrk")),"#popis")</f>
        <v>-5178.9344941510135</v>
      </c>
      <c r="W442" s="365">
        <f>IF($Q442="ekrk",IF($R442="data",IFERROR(INDEX(data!$A:$ALL,MATCH($M442,data!$A:$A,0),MATCH(W$2,data!$1:$1,0)),"#data"),IFERROR(V442*INDEX(indexy_SDcast!$A:$ALI,MATCH($R442,indexy_SDcast!$K:$K,0),MATCH(W$2,indexy_SDcast!$2:$2,0)),"#ekrk")),"#popis")</f>
        <v>-5407.9870272546286</v>
      </c>
      <c r="X442" s="365">
        <f>IF($Q442="ekrk",IF($R442="data",IFERROR(INDEX(data!$A:$ALL,MATCH($M442,data!$A:$A,0),MATCH(X$2,data!$1:$1,0)),"#data"),IFERROR(W442*INDEX(indexy_SDcast!$A:$ALI,MATCH($R442,indexy_SDcast!$K:$K,0),MATCH(X$2,indexy_SDcast!$2:$2,0)),"#ekrk")),"#popis")</f>
        <v>-5680.7306433844997</v>
      </c>
      <c r="Y442" s="362">
        <f>IF($Q442="ekrk",IF($R442="data",IFERROR(INDEX(data!$A:$ALL,MATCH($M442,data!$A:$A,0),MATCH(Y$2,data!$1:$1,0)),"#data"),IFERROR(X442*INDEX(indexy_SDcast!$A:$ALI,MATCH($R442,indexy_SDcast!$K:$K,0),MATCH(Y$2,indexy_SDcast!$2:$2,0)),"#ekrk")),"#popis")</f>
        <v>-5993.6231279335434</v>
      </c>
    </row>
    <row r="443" spans="1:44" x14ac:dyDescent="0.25">
      <c r="A443" s="330">
        <v>713005</v>
      </c>
      <c r="B443" s="329">
        <v>-401.01120999999989</v>
      </c>
      <c r="C443" s="157"/>
      <c r="D443" s="330">
        <v>713005</v>
      </c>
      <c r="E443" s="329">
        <v>-401.01120999999989</v>
      </c>
      <c r="F443" s="157"/>
      <c r="G443" s="330">
        <v>713005</v>
      </c>
      <c r="H443" s="329">
        <v>-401.01120999999989</v>
      </c>
      <c r="I443" s="157"/>
      <c r="J443" s="330">
        <v>713005</v>
      </c>
      <c r="K443" s="329">
        <v>-401.01120999999989</v>
      </c>
      <c r="L443" s="157"/>
      <c r="M443" s="360">
        <f t="shared" si="46"/>
        <v>713005</v>
      </c>
      <c r="N443" s="237">
        <f t="shared" si="47"/>
        <v>-401.01120999999989</v>
      </c>
      <c r="O443" s="361"/>
      <c r="P443" s="361"/>
      <c r="Q443" s="361" t="s">
        <v>698</v>
      </c>
      <c r="R443" s="362">
        <f>IF(Q443="ekrk",INDEX(indexy_SDcast!$A:$C,MATCH($M443,indexy_SDcast!$A:$A,0),2),"")</f>
        <v>37</v>
      </c>
      <c r="S443" s="236"/>
      <c r="T443" s="364">
        <f t="shared" si="48"/>
        <v>713005</v>
      </c>
      <c r="U443" s="365">
        <f t="shared" si="49"/>
        <v>-401.01120999999989</v>
      </c>
      <c r="V443" s="365">
        <f>IF($Q443="ekrk",IF($R443="data",IFERROR(INDEX(data!$A:$ALL,MATCH($M443,data!$A:$A,0),MATCH(V$2,data!$1:$1,0)),"#data"),IFERROR(U443*INDEX(indexy_SDcast!$A:$ALI,MATCH($R443,indexy_SDcast!$K:$K,0),MATCH(V$2,indexy_SDcast!$2:$2,0)),"#ekrk")),"#popis")</f>
        <v>-414.03056244384874</v>
      </c>
      <c r="W443" s="365">
        <f>IF($Q443="ekrk",IF($R443="data",IFERROR(INDEX(data!$A:$ALL,MATCH($M443,data!$A:$A,0),MATCH(W$2,data!$1:$1,0)),"#data"),IFERROR(V443*INDEX(indexy_SDcast!$A:$ALI,MATCH($R443,indexy_SDcast!$K:$K,0),MATCH(W$2,indexy_SDcast!$2:$2,0)),"#ekrk")),"#popis")</f>
        <v>-432.34219569914143</v>
      </c>
      <c r="X443" s="365">
        <f>IF($Q443="ekrk",IF($R443="data",IFERROR(INDEX(data!$A:$ALL,MATCH($M443,data!$A:$A,0),MATCH(X$2,data!$1:$1,0)),"#data"),IFERROR(W443*INDEX(indexy_SDcast!$A:$ALI,MATCH($R443,indexy_SDcast!$K:$K,0),MATCH(X$2,indexy_SDcast!$2:$2,0)),"#ekrk")),"#popis")</f>
        <v>-454.14671802255646</v>
      </c>
      <c r="Y443" s="362">
        <f>IF($Q443="ekrk",IF($R443="data",IFERROR(INDEX(data!$A:$ALL,MATCH($M443,data!$A:$A,0),MATCH(Y$2,data!$1:$1,0)),"#data"),IFERROR(X443*INDEX(indexy_SDcast!$A:$ALI,MATCH($R443,indexy_SDcast!$K:$K,0),MATCH(Y$2,indexy_SDcast!$2:$2,0)),"#ekrk")),"#popis")</f>
        <v>-479.16094662664511</v>
      </c>
    </row>
    <row r="444" spans="1:44" x14ac:dyDescent="0.25">
      <c r="A444" s="330">
        <v>713006</v>
      </c>
      <c r="B444" s="329">
        <v>-44.030959999999993</v>
      </c>
      <c r="C444" s="157"/>
      <c r="D444" s="330">
        <v>713006</v>
      </c>
      <c r="E444" s="329">
        <v>-44.030959999999993</v>
      </c>
      <c r="F444" s="157"/>
      <c r="G444" s="330">
        <v>713006</v>
      </c>
      <c r="H444" s="329">
        <v>-44.030959999999993</v>
      </c>
      <c r="I444" s="157"/>
      <c r="J444" s="330">
        <v>713006</v>
      </c>
      <c r="K444" s="329">
        <v>-44.030959999999993</v>
      </c>
      <c r="L444" s="157"/>
      <c r="M444" s="360">
        <f t="shared" si="46"/>
        <v>713006</v>
      </c>
      <c r="N444" s="237">
        <f t="shared" si="47"/>
        <v>-44.030959999999993</v>
      </c>
      <c r="O444" s="361"/>
      <c r="P444" s="361"/>
      <c r="Q444" s="361" t="s">
        <v>698</v>
      </c>
      <c r="R444" s="362">
        <f>IF(Q444="ekrk",INDEX(indexy_SDcast!$A:$C,MATCH($M444,indexy_SDcast!$A:$A,0),2),"")</f>
        <v>37</v>
      </c>
      <c r="S444" s="236"/>
      <c r="T444" s="364">
        <f t="shared" si="48"/>
        <v>713006</v>
      </c>
      <c r="U444" s="365">
        <f t="shared" si="49"/>
        <v>-44.030959999999993</v>
      </c>
      <c r="V444" s="365">
        <f>IF($Q444="ekrk",IF($R444="data",IFERROR(INDEX(data!$A:$ALL,MATCH($M444,data!$A:$A,0),MATCH(V$2,data!$1:$1,0)),"#data"),IFERROR(U444*INDEX(indexy_SDcast!$A:$ALI,MATCH($R444,indexy_SDcast!$K:$K,0),MATCH(V$2,indexy_SDcast!$2:$2,0)),"#ekrk")),"#popis")</f>
        <v>-45.460482597837121</v>
      </c>
      <c r="W444" s="365">
        <f>IF($Q444="ekrk",IF($R444="data",IFERROR(INDEX(data!$A:$ALL,MATCH($M444,data!$A:$A,0),MATCH(W$2,data!$1:$1,0)),"#data"),IFERROR(V444*INDEX(indexy_SDcast!$A:$ALI,MATCH($R444,indexy_SDcast!$K:$K,0),MATCH(W$2,indexy_SDcast!$2:$2,0)),"#ekrk")),"#popis")</f>
        <v>-47.471096693633747</v>
      </c>
      <c r="X444" s="365">
        <f>IF($Q444="ekrk",IF($R444="data",IFERROR(INDEX(data!$A:$ALL,MATCH($M444,data!$A:$A,0),MATCH(X$2,data!$1:$1,0)),"#data"),IFERROR(W444*INDEX(indexy_SDcast!$A:$ALI,MATCH($R444,indexy_SDcast!$K:$K,0),MATCH(X$2,indexy_SDcast!$2:$2,0)),"#ekrk")),"#popis")</f>
        <v>-49.865229391922639</v>
      </c>
      <c r="Y444" s="362">
        <f>IF($Q444="ekrk",IF($R444="data",IFERROR(INDEX(data!$A:$ALL,MATCH($M444,data!$A:$A,0),MATCH(Y$2,data!$1:$1,0)),"#data"),IFERROR(X444*INDEX(indexy_SDcast!$A:$ALI,MATCH($R444,indexy_SDcast!$K:$K,0),MATCH(Y$2,indexy_SDcast!$2:$2,0)),"#ekrk")),"#popis")</f>
        <v>-52.611787272679848</v>
      </c>
    </row>
    <row r="445" spans="1:44" x14ac:dyDescent="0.25">
      <c r="A445" s="330">
        <v>714001</v>
      </c>
      <c r="B445" s="329">
        <v>-995.30091000000027</v>
      </c>
      <c r="C445" s="157"/>
      <c r="D445" s="330">
        <v>714001</v>
      </c>
      <c r="E445" s="329">
        <v>-995.30091000000027</v>
      </c>
      <c r="F445" s="157"/>
      <c r="G445" s="330">
        <v>714001</v>
      </c>
      <c r="H445" s="329">
        <v>-995.30091000000027</v>
      </c>
      <c r="I445" s="157"/>
      <c r="J445" s="330">
        <v>714001</v>
      </c>
      <c r="K445" s="329">
        <v>-995.30091000000027</v>
      </c>
      <c r="L445" s="157"/>
      <c r="M445" s="360">
        <f t="shared" si="46"/>
        <v>714001</v>
      </c>
      <c r="N445" s="237">
        <f t="shared" si="47"/>
        <v>-995.30091000000027</v>
      </c>
      <c r="O445" s="361"/>
      <c r="P445" s="361"/>
      <c r="Q445" s="361" t="s">
        <v>698</v>
      </c>
      <c r="R445" s="362">
        <f>IF(Q445="ekrk",INDEX(indexy_SDcast!$A:$C,MATCH($M445,indexy_SDcast!$A:$A,0),2),"")</f>
        <v>37</v>
      </c>
      <c r="S445" s="236"/>
      <c r="T445" s="364">
        <f t="shared" si="48"/>
        <v>714001</v>
      </c>
      <c r="U445" s="365">
        <f t="shared" si="49"/>
        <v>-995.30091000000027</v>
      </c>
      <c r="V445" s="365">
        <f>IF($Q445="ekrk",IF($R445="data",IFERROR(INDEX(data!$A:$ALL,MATCH($M445,data!$A:$A,0),MATCH(V$2,data!$1:$1,0)),"#data"),IFERROR(U445*INDEX(indexy_SDcast!$A:$ALI,MATCH($R445,indexy_SDcast!$K:$K,0),MATCH(V$2,indexy_SDcast!$2:$2,0)),"#ekrk")),"#popis")</f>
        <v>-1027.6146533863098</v>
      </c>
      <c r="W445" s="365">
        <f>IF($Q445="ekrk",IF($R445="data",IFERROR(INDEX(data!$A:$ALL,MATCH($M445,data!$A:$A,0),MATCH(W$2,data!$1:$1,0)),"#data"),IFERROR(V445*INDEX(indexy_SDcast!$A:$ALI,MATCH($R445,indexy_SDcast!$K:$K,0),MATCH(W$2,indexy_SDcast!$2:$2,0)),"#ekrk")),"#popis")</f>
        <v>-1073.0637201158386</v>
      </c>
      <c r="X445" s="365">
        <f>IF($Q445="ekrk",IF($R445="data",IFERROR(INDEX(data!$A:$ALL,MATCH($M445,data!$A:$A,0),MATCH(X$2,data!$1:$1,0)),"#data"),IFERROR(W445*INDEX(indexy_SDcast!$A:$ALI,MATCH($R445,indexy_SDcast!$K:$K,0),MATCH(X$2,indexy_SDcast!$2:$2,0)),"#ekrk")),"#popis")</f>
        <v>-1127.1820598764909</v>
      </c>
      <c r="Y445" s="362">
        <f>IF($Q445="ekrk",IF($R445="data",IFERROR(INDEX(data!$A:$ALL,MATCH($M445,data!$A:$A,0),MATCH(Y$2,data!$1:$1,0)),"#data"),IFERROR(X445*INDEX(indexy_SDcast!$A:$ALI,MATCH($R445,indexy_SDcast!$K:$K,0),MATCH(Y$2,indexy_SDcast!$2:$2,0)),"#ekrk")),"#popis")</f>
        <v>-1189.2668192840833</v>
      </c>
    </row>
    <row r="446" spans="1:44" x14ac:dyDescent="0.25">
      <c r="A446" s="330">
        <v>714002</v>
      </c>
      <c r="B446" s="329">
        <v>-25.155999999999999</v>
      </c>
      <c r="C446" s="157"/>
      <c r="D446" s="330">
        <v>714002</v>
      </c>
      <c r="E446" s="329">
        <v>-25.155999999999999</v>
      </c>
      <c r="F446" s="157"/>
      <c r="G446" s="330">
        <v>714002</v>
      </c>
      <c r="H446" s="329">
        <v>-25.155999999999999</v>
      </c>
      <c r="I446" s="157"/>
      <c r="J446" s="330">
        <v>714002</v>
      </c>
      <c r="K446" s="329">
        <v>-25.155999999999999</v>
      </c>
      <c r="L446" s="157"/>
      <c r="M446" s="360">
        <f t="shared" si="46"/>
        <v>714002</v>
      </c>
      <c r="N446" s="237">
        <f t="shared" si="47"/>
        <v>-25.155999999999999</v>
      </c>
      <c r="O446" s="361"/>
      <c r="P446" s="361"/>
      <c r="Q446" s="361" t="s">
        <v>698</v>
      </c>
      <c r="R446" s="362">
        <f>IF(Q446="ekrk",INDEX(indexy_SDcast!$A:$C,MATCH($M446,indexy_SDcast!$A:$A,0),2),"")</f>
        <v>37</v>
      </c>
      <c r="S446" s="236"/>
      <c r="T446" s="364">
        <f t="shared" si="48"/>
        <v>714002</v>
      </c>
      <c r="U446" s="365">
        <f t="shared" si="49"/>
        <v>-25.155999999999999</v>
      </c>
      <c r="V446" s="365">
        <f>IF($Q446="ekrk",IF($R446="data",IFERROR(INDEX(data!$A:$ALL,MATCH($M446,data!$A:$A,0),MATCH(V$2,data!$1:$1,0)),"#data"),IFERROR(U446*INDEX(indexy_SDcast!$A:$ALI,MATCH($R446,indexy_SDcast!$K:$K,0),MATCH(V$2,indexy_SDcast!$2:$2,0)),"#ekrk")),"#popis")</f>
        <v>-25.972722380597443</v>
      </c>
      <c r="W446" s="365">
        <f>IF($Q446="ekrk",IF($R446="data",IFERROR(INDEX(data!$A:$ALL,MATCH($M446,data!$A:$A,0),MATCH(W$2,data!$1:$1,0)),"#data"),IFERROR(V446*INDEX(indexy_SDcast!$A:$ALI,MATCH($R446,indexy_SDcast!$K:$K,0),MATCH(W$2,indexy_SDcast!$2:$2,0)),"#ekrk")),"#popis")</f>
        <v>-27.121437016704853</v>
      </c>
      <c r="X446" s="365">
        <f>IF($Q446="ekrk",IF($R446="data",IFERROR(INDEX(data!$A:$ALL,MATCH($M446,data!$A:$A,0),MATCH(X$2,data!$1:$1,0)),"#data"),IFERROR(W446*INDEX(indexy_SDcast!$A:$ALI,MATCH($R446,indexy_SDcast!$K:$K,0),MATCH(X$2,indexy_SDcast!$2:$2,0)),"#ekrk")),"#popis")</f>
        <v>-28.48926552096993</v>
      </c>
      <c r="Y446" s="362">
        <f>IF($Q446="ekrk",IF($R446="data",IFERROR(INDEX(data!$A:$ALL,MATCH($M446,data!$A:$A,0),MATCH(Y$2,data!$1:$1,0)),"#data"),IFERROR(X446*INDEX(indexy_SDcast!$A:$ALI,MATCH($R446,indexy_SDcast!$K:$K,0),MATCH(Y$2,indexy_SDcast!$2:$2,0)),"#ekrk")),"#popis")</f>
        <v>-30.058443436880196</v>
      </c>
    </row>
    <row r="447" spans="1:44" x14ac:dyDescent="0.25">
      <c r="A447" s="330">
        <v>714003</v>
      </c>
      <c r="B447" s="329">
        <v>-15.379999999999999</v>
      </c>
      <c r="C447" s="157"/>
      <c r="D447" s="330">
        <v>714003</v>
      </c>
      <c r="E447" s="329">
        <v>-15.379999999999999</v>
      </c>
      <c r="F447" s="157"/>
      <c r="G447" s="330">
        <v>714003</v>
      </c>
      <c r="H447" s="329">
        <v>-15.379999999999999</v>
      </c>
      <c r="I447" s="157"/>
      <c r="J447" s="330">
        <v>714003</v>
      </c>
      <c r="K447" s="329">
        <v>-15.379999999999999</v>
      </c>
      <c r="L447" s="157"/>
      <c r="M447" s="360">
        <f t="shared" si="46"/>
        <v>714003</v>
      </c>
      <c r="N447" s="237">
        <f t="shared" si="47"/>
        <v>-15.379999999999999</v>
      </c>
      <c r="O447" s="361"/>
      <c r="P447" s="361"/>
      <c r="Q447" s="361" t="s">
        <v>698</v>
      </c>
      <c r="R447" s="362">
        <f>IF(Q447="ekrk",INDEX(indexy_SDcast!$A:$C,MATCH($M447,indexy_SDcast!$A:$A,0),2),"")</f>
        <v>37</v>
      </c>
      <c r="S447" s="236"/>
      <c r="T447" s="364">
        <f t="shared" si="48"/>
        <v>714003</v>
      </c>
      <c r="U447" s="365">
        <f t="shared" si="49"/>
        <v>-15.379999999999999</v>
      </c>
      <c r="V447" s="365">
        <f>IF($Q447="ekrk",IF($R447="data",IFERROR(INDEX(data!$A:$ALL,MATCH($M447,data!$A:$A,0),MATCH(V$2,data!$1:$1,0)),"#data"),IFERROR(U447*INDEX(indexy_SDcast!$A:$ALI,MATCH($R447,indexy_SDcast!$K:$K,0),MATCH(V$2,indexy_SDcast!$2:$2,0)),"#ekrk")),"#popis")</f>
        <v>-15.879331778247282</v>
      </c>
      <c r="W447" s="365">
        <f>IF($Q447="ekrk",IF($R447="data",IFERROR(INDEX(data!$A:$ALL,MATCH($M447,data!$A:$A,0),MATCH(W$2,data!$1:$1,0)),"#data"),IFERROR(V447*INDEX(indexy_SDcast!$A:$ALI,MATCH($R447,indexy_SDcast!$K:$K,0),MATCH(W$2,indexy_SDcast!$2:$2,0)),"#ekrk")),"#popis")</f>
        <v>-16.581638627640348</v>
      </c>
      <c r="X447" s="365">
        <f>IF($Q447="ekrk",IF($R447="data",IFERROR(INDEX(data!$A:$ALL,MATCH($M447,data!$A:$A,0),MATCH(X$2,data!$1:$1,0)),"#data"),IFERROR(W447*INDEX(indexy_SDcast!$A:$ALI,MATCH($R447,indexy_SDcast!$K:$K,0),MATCH(X$2,indexy_SDcast!$2:$2,0)),"#ekrk")),"#popis")</f>
        <v>-17.417908400084173</v>
      </c>
      <c r="Y447" s="362">
        <f>IF($Q447="ekrk",IF($R447="data",IFERROR(INDEX(data!$A:$ALL,MATCH($M447,data!$A:$A,0),MATCH(Y$2,data!$1:$1,0)),"#data"),IFERROR(X447*INDEX(indexy_SDcast!$A:$ALI,MATCH($R447,indexy_SDcast!$K:$K,0),MATCH(Y$2,indexy_SDcast!$2:$2,0)),"#ekrk")),"#popis")</f>
        <v>-18.377280174082419</v>
      </c>
    </row>
    <row r="448" spans="1:44" x14ac:dyDescent="0.25">
      <c r="A448" s="330">
        <v>714004</v>
      </c>
      <c r="B448" s="329">
        <v>-63.242930000000001</v>
      </c>
      <c r="C448" s="157"/>
      <c r="D448" s="330">
        <v>714004</v>
      </c>
      <c r="E448" s="329">
        <v>-63.242930000000001</v>
      </c>
      <c r="F448" s="157"/>
      <c r="G448" s="330">
        <v>714004</v>
      </c>
      <c r="H448" s="329">
        <v>-63.242930000000001</v>
      </c>
      <c r="I448" s="157"/>
      <c r="J448" s="330">
        <v>714004</v>
      </c>
      <c r="K448" s="329">
        <v>-63.242930000000001</v>
      </c>
      <c r="L448" s="157"/>
      <c r="M448" s="360">
        <f t="shared" si="46"/>
        <v>714004</v>
      </c>
      <c r="N448" s="237">
        <f t="shared" si="47"/>
        <v>-63.242930000000001</v>
      </c>
      <c r="O448" s="361"/>
      <c r="P448" s="361"/>
      <c r="Q448" s="361" t="s">
        <v>698</v>
      </c>
      <c r="R448" s="362">
        <f>IF(Q448="ekrk",INDEX(indexy_SDcast!$A:$C,MATCH($M448,indexy_SDcast!$A:$A,0),2),"")</f>
        <v>37</v>
      </c>
      <c r="S448" s="236"/>
      <c r="T448" s="364">
        <f t="shared" si="48"/>
        <v>714004</v>
      </c>
      <c r="U448" s="365">
        <f t="shared" si="49"/>
        <v>-63.242930000000001</v>
      </c>
      <c r="V448" s="365">
        <f>IF($Q448="ekrk",IF($R448="data",IFERROR(INDEX(data!$A:$ALL,MATCH($M448,data!$A:$A,0),MATCH(V$2,data!$1:$1,0)),"#data"),IFERROR(U448*INDEX(indexy_SDcast!$A:$ALI,MATCH($R448,indexy_SDcast!$K:$K,0),MATCH(V$2,indexy_SDcast!$2:$2,0)),"#ekrk")),"#popis")</f>
        <v>-65.296194284685853</v>
      </c>
      <c r="W448" s="365">
        <f>IF($Q448="ekrk",IF($R448="data",IFERROR(INDEX(data!$A:$ALL,MATCH($M448,data!$A:$A,0),MATCH(W$2,data!$1:$1,0)),"#data"),IFERROR(V448*INDEX(indexy_SDcast!$A:$ALI,MATCH($R448,indexy_SDcast!$K:$K,0),MATCH(W$2,indexy_SDcast!$2:$2,0)),"#ekrk")),"#popis")</f>
        <v>-68.184096944938531</v>
      </c>
      <c r="X448" s="365">
        <f>IF($Q448="ekrk",IF($R448="data",IFERROR(INDEX(data!$A:$ALL,MATCH($M448,data!$A:$A,0),MATCH(X$2,data!$1:$1,0)),"#data"),IFERROR(W448*INDEX(indexy_SDcast!$A:$ALI,MATCH($R448,indexy_SDcast!$K:$K,0),MATCH(X$2,indexy_SDcast!$2:$2,0)),"#ekrk")),"#popis")</f>
        <v>-71.622858367551061</v>
      </c>
      <c r="Y448" s="362">
        <f>IF($Q448="ekrk",IF($R448="data",IFERROR(INDEX(data!$A:$ALL,MATCH($M448,data!$A:$A,0),MATCH(Y$2,data!$1:$1,0)),"#data"),IFERROR(X448*INDEX(indexy_SDcast!$A:$ALI,MATCH($R448,indexy_SDcast!$K:$K,0),MATCH(Y$2,indexy_SDcast!$2:$2,0)),"#ekrk")),"#popis")</f>
        <v>-75.567818182046963</v>
      </c>
    </row>
    <row r="449" spans="1:44" x14ac:dyDescent="0.25">
      <c r="A449" s="330">
        <v>714005</v>
      </c>
      <c r="B449" s="329">
        <v>-35.84196</v>
      </c>
      <c r="C449" s="157"/>
      <c r="D449" s="330">
        <v>714005</v>
      </c>
      <c r="E449" s="329">
        <v>-35.84196</v>
      </c>
      <c r="F449" s="157"/>
      <c r="G449" s="330">
        <v>714005</v>
      </c>
      <c r="H449" s="329">
        <v>-35.84196</v>
      </c>
      <c r="I449" s="157"/>
      <c r="J449" s="330">
        <v>714005</v>
      </c>
      <c r="K449" s="329">
        <v>-35.84196</v>
      </c>
      <c r="L449" s="157"/>
      <c r="M449" s="360">
        <f t="shared" si="46"/>
        <v>714005</v>
      </c>
      <c r="N449" s="237">
        <f t="shared" si="47"/>
        <v>-35.84196</v>
      </c>
      <c r="O449" s="361"/>
      <c r="P449" s="361"/>
      <c r="Q449" s="361" t="s">
        <v>698</v>
      </c>
      <c r="R449" s="362">
        <f>IF(Q449="ekrk",INDEX(indexy_SDcast!$A:$C,MATCH($M449,indexy_SDcast!$A:$A,0),2),"")</f>
        <v>37</v>
      </c>
      <c r="S449" s="236"/>
      <c r="T449" s="364">
        <f t="shared" si="48"/>
        <v>714005</v>
      </c>
      <c r="U449" s="365">
        <f t="shared" si="49"/>
        <v>-35.84196</v>
      </c>
      <c r="V449" s="365">
        <f>IF($Q449="ekrk",IF($R449="data",IFERROR(INDEX(data!$A:$ALL,MATCH($M449,data!$A:$A,0),MATCH(V$2,data!$1:$1,0)),"#data"),IFERROR(U449*INDEX(indexy_SDcast!$A:$ALI,MATCH($R449,indexy_SDcast!$K:$K,0),MATCH(V$2,indexy_SDcast!$2:$2,0)),"#ekrk")),"#popis")</f>
        <v>-37.005616022280108</v>
      </c>
      <c r="W449" s="365">
        <f>IF($Q449="ekrk",IF($R449="data",IFERROR(INDEX(data!$A:$ALL,MATCH($M449,data!$A:$A,0),MATCH(W$2,data!$1:$1,0)),"#data"),IFERROR(V449*INDEX(indexy_SDcast!$A:$ALI,MATCH($R449,indexy_SDcast!$K:$K,0),MATCH(W$2,indexy_SDcast!$2:$2,0)),"#ekrk")),"#popis")</f>
        <v>-38.642290534872586</v>
      </c>
      <c r="X449" s="365">
        <f>IF($Q449="ekrk",IF($R449="data",IFERROR(INDEX(data!$A:$ALL,MATCH($M449,data!$A:$A,0),MATCH(X$2,data!$1:$1,0)),"#data"),IFERROR(W449*INDEX(indexy_SDcast!$A:$ALI,MATCH($R449,indexy_SDcast!$K:$K,0),MATCH(X$2,indexy_SDcast!$2:$2,0)),"#ekrk")),"#popis")</f>
        <v>-40.591155797105401</v>
      </c>
      <c r="Y449" s="362">
        <f>IF($Q449="ekrk",IF($R449="data",IFERROR(INDEX(data!$A:$ALL,MATCH($M449,data!$A:$A,0),MATCH(Y$2,data!$1:$1,0)),"#data"),IFERROR(X449*INDEX(indexy_SDcast!$A:$ALI,MATCH($R449,indexy_SDcast!$K:$K,0),MATCH(Y$2,indexy_SDcast!$2:$2,0)),"#ekrk")),"#popis")</f>
        <v>-42.826901229405415</v>
      </c>
    </row>
    <row r="450" spans="1:44" x14ac:dyDescent="0.25">
      <c r="A450" s="330">
        <v>714006</v>
      </c>
      <c r="B450" s="329">
        <v>-0.308</v>
      </c>
      <c r="C450" s="157"/>
      <c r="D450" s="330">
        <v>714006</v>
      </c>
      <c r="E450" s="329">
        <v>-0.308</v>
      </c>
      <c r="F450" s="157"/>
      <c r="G450" s="330">
        <v>714006</v>
      </c>
      <c r="H450" s="329">
        <v>-0.308</v>
      </c>
      <c r="I450" s="157"/>
      <c r="J450" s="330">
        <v>714006</v>
      </c>
      <c r="K450" s="329">
        <v>-0.308</v>
      </c>
      <c r="L450" s="157"/>
      <c r="M450" s="360">
        <f t="shared" si="46"/>
        <v>714006</v>
      </c>
      <c r="N450" s="237">
        <f t="shared" si="47"/>
        <v>-0.308</v>
      </c>
      <c r="O450" s="361"/>
      <c r="P450" s="361"/>
      <c r="Q450" s="361" t="s">
        <v>698</v>
      </c>
      <c r="R450" s="362">
        <f>IF(Q450="ekrk",INDEX(indexy_SDcast!$A:$C,MATCH($M450,indexy_SDcast!$A:$A,0),2),"")</f>
        <v>37</v>
      </c>
      <c r="S450" s="236"/>
      <c r="T450" s="364">
        <f t="shared" si="48"/>
        <v>714006</v>
      </c>
      <c r="U450" s="365">
        <f t="shared" si="49"/>
        <v>-0.308</v>
      </c>
      <c r="V450" s="365">
        <f>IF($Q450="ekrk",IF($R450="data",IFERROR(INDEX(data!$A:$ALL,MATCH($M450,data!$A:$A,0),MATCH(V$2,data!$1:$1,0)),"#data"),IFERROR(U450*INDEX(indexy_SDcast!$A:$ALI,MATCH($R450,indexy_SDcast!$K:$K,0),MATCH(V$2,indexy_SDcast!$2:$2,0)),"#ekrk")),"#popis")</f>
        <v>-0.31799962208713678</v>
      </c>
      <c r="W450" s="365">
        <f>IF($Q450="ekrk",IF($R450="data",IFERROR(INDEX(data!$A:$ALL,MATCH($M450,data!$A:$A,0),MATCH(W$2,data!$1:$1,0)),"#data"),IFERROR(V450*INDEX(indexy_SDcast!$A:$ALI,MATCH($R450,indexy_SDcast!$K:$K,0),MATCH(W$2,indexy_SDcast!$2:$2,0)),"#ekrk")),"#popis")</f>
        <v>-0.33206402453271966</v>
      </c>
      <c r="X450" s="365">
        <f>IF($Q450="ekrk",IF($R450="data",IFERROR(INDEX(data!$A:$ALL,MATCH($M450,data!$A:$A,0),MATCH(X$2,data!$1:$1,0)),"#data"),IFERROR(W450*INDEX(indexy_SDcast!$A:$ALI,MATCH($R450,indexy_SDcast!$K:$K,0),MATCH(X$2,indexy_SDcast!$2:$2,0)),"#ekrk")),"#popis")</f>
        <v>-0.34881116952054142</v>
      </c>
      <c r="Y450" s="362">
        <f>IF($Q450="ekrk",IF($R450="data",IFERROR(INDEX(data!$A:$ALL,MATCH($M450,data!$A:$A,0),MATCH(Y$2,data!$1:$1,0)),"#data"),IFERROR(X450*INDEX(indexy_SDcast!$A:$ALI,MATCH($R450,indexy_SDcast!$K:$K,0),MATCH(Y$2,indexy_SDcast!$2:$2,0)),"#ekrk")),"#popis")</f>
        <v>-0.36802355615197574</v>
      </c>
    </row>
    <row r="451" spans="1:44" x14ac:dyDescent="0.25">
      <c r="A451" s="330">
        <v>716000</v>
      </c>
      <c r="B451" s="329">
        <v>-1482.3692399999993</v>
      </c>
      <c r="C451" s="157"/>
      <c r="D451" s="330">
        <v>716000</v>
      </c>
      <c r="E451" s="329">
        <v>-1482.3692399999993</v>
      </c>
      <c r="F451" s="157"/>
      <c r="G451" s="330">
        <v>716000</v>
      </c>
      <c r="H451" s="329">
        <v>-1482.3692399999993</v>
      </c>
      <c r="I451" s="157"/>
      <c r="J451" s="330">
        <v>716000</v>
      </c>
      <c r="K451" s="329">
        <v>-1482.3692399999993</v>
      </c>
      <c r="L451" s="157"/>
      <c r="M451" s="360">
        <f t="shared" si="46"/>
        <v>716000</v>
      </c>
      <c r="N451" s="237">
        <f t="shared" si="47"/>
        <v>-1482.3692399999993</v>
      </c>
      <c r="O451" s="361"/>
      <c r="P451" s="361"/>
      <c r="Q451" s="361" t="s">
        <v>698</v>
      </c>
      <c r="R451" s="362">
        <f>IF(Q451="ekrk",INDEX(indexy_SDcast!$A:$C,MATCH($M451,indexy_SDcast!$A:$A,0),2),"")</f>
        <v>37</v>
      </c>
      <c r="S451" s="236"/>
      <c r="T451" s="364">
        <f t="shared" si="48"/>
        <v>716000</v>
      </c>
      <c r="U451" s="365">
        <f t="shared" si="49"/>
        <v>-1482.3692399999993</v>
      </c>
      <c r="V451" s="365">
        <f>IF($Q451="ekrk",IF($R451="data",IFERROR(INDEX(data!$A:$ALL,MATCH($M451,data!$A:$A,0),MATCH(V$2,data!$1:$1,0)),"#data"),IFERROR(U451*INDEX(indexy_SDcast!$A:$ALI,MATCH($R451,indexy_SDcast!$K:$K,0),MATCH(V$2,indexy_SDcast!$2:$2,0)),"#ekrk")),"#popis")</f>
        <v>-1530.4962925766101</v>
      </c>
      <c r="W451" s="365">
        <f>IF($Q451="ekrk",IF($R451="data",IFERROR(INDEX(data!$A:$ALL,MATCH($M451,data!$A:$A,0),MATCH(W$2,data!$1:$1,0)),"#data"),IFERROR(V451*INDEX(indexy_SDcast!$A:$ALI,MATCH($R451,indexy_SDcast!$K:$K,0),MATCH(W$2,indexy_SDcast!$2:$2,0)),"#ekrk")),"#popis")</f>
        <v>-1598.1866742789246</v>
      </c>
      <c r="X451" s="365">
        <f>IF($Q451="ekrk",IF($R451="data",IFERROR(INDEX(data!$A:$ALL,MATCH($M451,data!$A:$A,0),MATCH(X$2,data!$1:$1,0)),"#data"),IFERROR(W451*INDEX(indexy_SDcast!$A:$ALI,MATCH($R451,indexy_SDcast!$K:$K,0),MATCH(X$2,indexy_SDcast!$2:$2,0)),"#ekrk")),"#popis")</f>
        <v>-1678.7887930703762</v>
      </c>
      <c r="Y451" s="362">
        <f>IF($Q451="ekrk",IF($R451="data",IFERROR(INDEX(data!$A:$ALL,MATCH($M451,data!$A:$A,0),MATCH(Y$2,data!$1:$1,0)),"#data"),IFERROR(X451*INDEX(indexy_SDcast!$A:$ALI,MATCH($R451,indexy_SDcast!$K:$K,0),MATCH(Y$2,indexy_SDcast!$2:$2,0)),"#ekrk")),"#popis")</f>
        <v>-1771.2558416724069</v>
      </c>
    </row>
    <row r="452" spans="1:44" x14ac:dyDescent="0.25">
      <c r="A452" s="330">
        <v>717001</v>
      </c>
      <c r="B452" s="329">
        <v>-5999.9125299999978</v>
      </c>
      <c r="C452" s="157"/>
      <c r="D452" s="330">
        <v>717001</v>
      </c>
      <c r="E452" s="329">
        <v>-5999.9125299999978</v>
      </c>
      <c r="F452" s="157"/>
      <c r="G452" s="330">
        <v>717001</v>
      </c>
      <c r="H452" s="329">
        <v>-5999.9125299999978</v>
      </c>
      <c r="I452" s="157"/>
      <c r="J452" s="330">
        <v>717001</v>
      </c>
      <c r="K452" s="329">
        <v>-5999.9125299999978</v>
      </c>
      <c r="L452" s="157"/>
      <c r="M452" s="360">
        <f t="shared" si="46"/>
        <v>717001</v>
      </c>
      <c r="N452" s="237">
        <f t="shared" si="47"/>
        <v>-5999.9125299999978</v>
      </c>
      <c r="O452" s="361"/>
      <c r="P452" s="361"/>
      <c r="Q452" s="361" t="s">
        <v>698</v>
      </c>
      <c r="R452" s="362">
        <f>IF(Q452="ekrk",INDEX(indexy_SDcast!$A:$C,MATCH($M452,indexy_SDcast!$A:$A,0),2),"")</f>
        <v>37</v>
      </c>
      <c r="S452" s="236"/>
      <c r="T452" s="364">
        <f t="shared" si="48"/>
        <v>717001</v>
      </c>
      <c r="U452" s="365">
        <f t="shared" si="49"/>
        <v>-5999.9125299999978</v>
      </c>
      <c r="V452" s="365">
        <f>IF($Q452="ekrk",IF($R452="data",IFERROR(INDEX(data!$A:$ALL,MATCH($M452,data!$A:$A,0),MATCH(V$2,data!$1:$1,0)),"#data"),IFERROR(U452*INDEX(indexy_SDcast!$A:$ALI,MATCH($R452,indexy_SDcast!$K:$K,0),MATCH(V$2,indexy_SDcast!$2:$2,0)),"#ekrk")),"#popis")</f>
        <v>-6194.7075230385581</v>
      </c>
      <c r="W452" s="365">
        <f>IF($Q452="ekrk",IF($R452="data",IFERROR(INDEX(data!$A:$ALL,MATCH($M452,data!$A:$A,0),MATCH(W$2,data!$1:$1,0)),"#data"),IFERROR(V452*INDEX(indexy_SDcast!$A:$ALI,MATCH($R452,indexy_SDcast!$K:$K,0),MATCH(W$2,indexy_SDcast!$2:$2,0)),"#ekrk")),"#popis")</f>
        <v>-6468.6853946626334</v>
      </c>
      <c r="X452" s="365">
        <f>IF($Q452="ekrk",IF($R452="data",IFERROR(INDEX(data!$A:$ALL,MATCH($M452,data!$A:$A,0),MATCH(X$2,data!$1:$1,0)),"#data"),IFERROR(W452*INDEX(indexy_SDcast!$A:$ALI,MATCH($R452,indexy_SDcast!$K:$K,0),MATCH(X$2,indexy_SDcast!$2:$2,0)),"#ekrk")),"#popis")</f>
        <v>-6794.9237227605499</v>
      </c>
      <c r="Y452" s="362">
        <f>IF($Q452="ekrk",IF($R452="data",IFERROR(INDEX(data!$A:$ALL,MATCH($M452,data!$A:$A,0),MATCH(Y$2,data!$1:$1,0)),"#data"),IFERROR(X452*INDEX(indexy_SDcast!$A:$ALI,MATCH($R452,indexy_SDcast!$K:$K,0),MATCH(Y$2,indexy_SDcast!$2:$2,0)),"#ekrk")),"#popis")</f>
        <v>-7169.1855386084308</v>
      </c>
    </row>
    <row r="453" spans="1:44" x14ac:dyDescent="0.25">
      <c r="A453" s="330">
        <v>717002</v>
      </c>
      <c r="B453" s="329">
        <v>-37350.715470000017</v>
      </c>
      <c r="C453" s="157"/>
      <c r="D453" s="330">
        <v>717002</v>
      </c>
      <c r="E453" s="329">
        <v>-37350.715470000017</v>
      </c>
      <c r="F453" s="157"/>
      <c r="G453" s="330">
        <v>717002</v>
      </c>
      <c r="H453" s="329">
        <v>-37350.715470000017</v>
      </c>
      <c r="I453" s="157"/>
      <c r="J453" s="330">
        <v>717002</v>
      </c>
      <c r="K453" s="329">
        <v>-37350.715470000017</v>
      </c>
      <c r="L453" s="157"/>
      <c r="M453" s="360">
        <f t="shared" si="46"/>
        <v>717002</v>
      </c>
      <c r="N453" s="237">
        <f t="shared" si="47"/>
        <v>-37350.715470000017</v>
      </c>
      <c r="O453" s="361"/>
      <c r="P453" s="361"/>
      <c r="Q453" s="361" t="s">
        <v>698</v>
      </c>
      <c r="R453" s="362">
        <f>IF(Q453="ekrk",INDEX(indexy_SDcast!$A:$C,MATCH($M453,indexy_SDcast!$A:$A,0),2),"")</f>
        <v>37</v>
      </c>
      <c r="S453" s="236"/>
      <c r="T453" s="364">
        <f t="shared" si="48"/>
        <v>717002</v>
      </c>
      <c r="U453" s="365">
        <f t="shared" si="49"/>
        <v>-37350.715470000017</v>
      </c>
      <c r="V453" s="365">
        <f>IF($Q453="ekrk",IF($R453="data",IFERROR(INDEX(data!$A:$ALL,MATCH($M453,data!$A:$A,0),MATCH(V$2,data!$1:$1,0)),"#data"),IFERROR(U453*INDEX(indexy_SDcast!$A:$ALI,MATCH($R453,indexy_SDcast!$K:$K,0),MATCH(V$2,indexy_SDcast!$2:$2,0)),"#ekrk")),"#popis")</f>
        <v>-38563.35520826032</v>
      </c>
      <c r="W453" s="365">
        <f>IF($Q453="ekrk",IF($R453="data",IFERROR(INDEX(data!$A:$ALL,MATCH($M453,data!$A:$A,0),MATCH(W$2,data!$1:$1,0)),"#data"),IFERROR(V453*INDEX(indexy_SDcast!$A:$ALI,MATCH($R453,indexy_SDcast!$K:$K,0),MATCH(W$2,indexy_SDcast!$2:$2,0)),"#ekrk")),"#popis")</f>
        <v>-40268.924993976354</v>
      </c>
      <c r="X453" s="365">
        <f>IF($Q453="ekrk",IF($R453="data",IFERROR(INDEX(data!$A:$ALL,MATCH($M453,data!$A:$A,0),MATCH(X$2,data!$1:$1,0)),"#data"),IFERROR(W453*INDEX(indexy_SDcast!$A:$ALI,MATCH($R453,indexy_SDcast!$K:$K,0),MATCH(X$2,indexy_SDcast!$2:$2,0)),"#ekrk")),"#popis")</f>
        <v>-42299.827095843131</v>
      </c>
      <c r="Y453" s="362">
        <f>IF($Q453="ekrk",IF($R453="data",IFERROR(INDEX(data!$A:$ALL,MATCH($M453,data!$A:$A,0),MATCH(Y$2,data!$1:$1,0)),"#data"),IFERROR(X453*INDEX(indexy_SDcast!$A:$ALI,MATCH($R453,indexy_SDcast!$K:$K,0),MATCH(Y$2,indexy_SDcast!$2:$2,0)),"#ekrk")),"#popis")</f>
        <v>-44629.685493798766</v>
      </c>
    </row>
    <row r="454" spans="1:44" x14ac:dyDescent="0.25">
      <c r="A454" s="330">
        <v>717003</v>
      </c>
      <c r="B454" s="329">
        <v>-4407.1561699999975</v>
      </c>
      <c r="C454" s="157"/>
      <c r="D454" s="330">
        <v>717003</v>
      </c>
      <c r="E454" s="329">
        <v>-4407.1561699999975</v>
      </c>
      <c r="F454" s="157"/>
      <c r="G454" s="330">
        <v>717003</v>
      </c>
      <c r="H454" s="329">
        <v>-4407.1561699999975</v>
      </c>
      <c r="I454" s="157"/>
      <c r="J454" s="330">
        <v>717003</v>
      </c>
      <c r="K454" s="329">
        <v>-4407.1561699999975</v>
      </c>
      <c r="L454" s="157"/>
      <c r="M454" s="360">
        <f t="shared" si="46"/>
        <v>717003</v>
      </c>
      <c r="N454" s="237">
        <f t="shared" si="47"/>
        <v>-4407.1561699999975</v>
      </c>
      <c r="O454" s="361"/>
      <c r="P454" s="361"/>
      <c r="Q454" s="361" t="s">
        <v>698</v>
      </c>
      <c r="R454" s="362">
        <f>IF(Q454="ekrk",INDEX(indexy_SDcast!$A:$C,MATCH($M454,indexy_SDcast!$A:$A,0),2),"")</f>
        <v>37</v>
      </c>
      <c r="S454" s="236"/>
      <c r="T454" s="364">
        <f t="shared" si="48"/>
        <v>717003</v>
      </c>
      <c r="U454" s="365">
        <f t="shared" si="49"/>
        <v>-4407.1561699999975</v>
      </c>
      <c r="V454" s="365">
        <f>IF($Q454="ekrk",IF($R454="data",IFERROR(INDEX(data!$A:$ALL,MATCH($M454,data!$A:$A,0),MATCH(V$2,data!$1:$1,0)),"#data"),IFERROR(U454*INDEX(indexy_SDcast!$A:$ALI,MATCH($R454,indexy_SDcast!$K:$K,0),MATCH(V$2,indexy_SDcast!$2:$2,0)),"#ekrk")),"#popis")</f>
        <v>-4550.2402485032217</v>
      </c>
      <c r="W454" s="365">
        <f>IF($Q454="ekrk",IF($R454="data",IFERROR(INDEX(data!$A:$ALL,MATCH($M454,data!$A:$A,0),MATCH(W$2,data!$1:$1,0)),"#data"),IFERROR(V454*INDEX(indexy_SDcast!$A:$ALI,MATCH($R454,indexy_SDcast!$K:$K,0),MATCH(W$2,indexy_SDcast!$2:$2,0)),"#ekrk")),"#popis")</f>
        <v>-4751.4870602415776</v>
      </c>
      <c r="X454" s="365">
        <f>IF($Q454="ekrk",IF($R454="data",IFERROR(INDEX(data!$A:$ALL,MATCH($M454,data!$A:$A,0),MATCH(X$2,data!$1:$1,0)),"#data"),IFERROR(W454*INDEX(indexy_SDcast!$A:$ALI,MATCH($R454,indexy_SDcast!$K:$K,0),MATCH(X$2,indexy_SDcast!$2:$2,0)),"#ekrk")),"#popis")</f>
        <v>-4991.1210971343153</v>
      </c>
      <c r="Y454" s="362">
        <f>IF($Q454="ekrk",IF($R454="data",IFERROR(INDEX(data!$A:$ALL,MATCH($M454,data!$A:$A,0),MATCH(Y$2,data!$1:$1,0)),"#data"),IFERROR(X454*INDEX(indexy_SDcast!$A:$ALI,MATCH($R454,indexy_SDcast!$K:$K,0),MATCH(Y$2,indexy_SDcast!$2:$2,0)),"#ekrk")),"#popis")</f>
        <v>-5266.0301500016894</v>
      </c>
    </row>
    <row r="455" spans="1:44" x14ac:dyDescent="0.25">
      <c r="A455" s="330">
        <v>718002</v>
      </c>
      <c r="B455" s="329">
        <v>-25.694299999999998</v>
      </c>
      <c r="C455" s="157"/>
      <c r="D455" s="330">
        <v>718002</v>
      </c>
      <c r="E455" s="329">
        <v>-25.694299999999998</v>
      </c>
      <c r="F455" s="157"/>
      <c r="G455" s="330">
        <v>718002</v>
      </c>
      <c r="H455" s="329">
        <v>-25.694299999999998</v>
      </c>
      <c r="I455" s="157"/>
      <c r="J455" s="330">
        <v>718002</v>
      </c>
      <c r="K455" s="329">
        <v>-25.694299999999998</v>
      </c>
      <c r="L455" s="157"/>
      <c r="M455" s="360">
        <f t="shared" si="46"/>
        <v>718002</v>
      </c>
      <c r="N455" s="237">
        <f t="shared" si="47"/>
        <v>-25.694299999999998</v>
      </c>
      <c r="O455" s="361"/>
      <c r="P455" s="361"/>
      <c r="Q455" s="361" t="s">
        <v>698</v>
      </c>
      <c r="R455" s="362">
        <f>IF(Q455="ekrk",INDEX(indexy_SDcast!$A:$C,MATCH($M455,indexy_SDcast!$A:$A,0),2),"")</f>
        <v>37</v>
      </c>
      <c r="S455" s="236"/>
      <c r="T455" s="364">
        <f t="shared" si="48"/>
        <v>718002</v>
      </c>
      <c r="U455" s="365">
        <f t="shared" si="49"/>
        <v>-25.694299999999998</v>
      </c>
      <c r="V455" s="365">
        <f>IF($Q455="ekrk",IF($R455="data",IFERROR(INDEX(data!$A:$ALL,MATCH($M455,data!$A:$A,0),MATCH(V$2,data!$1:$1,0)),"#data"),IFERROR(U455*INDEX(indexy_SDcast!$A:$ALI,MATCH($R455,indexy_SDcast!$K:$K,0),MATCH(V$2,indexy_SDcast!$2:$2,0)),"#ekrk")),"#popis")</f>
        <v>-26.528498992836095</v>
      </c>
      <c r="W455" s="365">
        <f>IF($Q455="ekrk",IF($R455="data",IFERROR(INDEX(data!$A:$ALL,MATCH($M455,data!$A:$A,0),MATCH(W$2,data!$1:$1,0)),"#data"),IFERROR(V455*INDEX(indexy_SDcast!$A:$ALI,MATCH($R455,indexy_SDcast!$K:$K,0),MATCH(W$2,indexy_SDcast!$2:$2,0)),"#ekrk")),"#popis")</f>
        <v>-27.701794368672264</v>
      </c>
      <c r="X455" s="365">
        <f>IF($Q455="ekrk",IF($R455="data",IFERROR(INDEX(data!$A:$ALL,MATCH($M455,data!$A:$A,0),MATCH(X$2,data!$1:$1,0)),"#data"),IFERROR(W455*INDEX(indexy_SDcast!$A:$ALI,MATCH($R455,indexy_SDcast!$K:$K,0),MATCH(X$2,indexy_SDcast!$2:$2,0)),"#ekrk")),"#popis")</f>
        <v>-29.098892314972876</v>
      </c>
      <c r="Y455" s="362">
        <f>IF($Q455="ekrk",IF($R455="data",IFERROR(INDEX(data!$A:$ALL,MATCH($M455,data!$A:$A,0),MATCH(Y$2,data!$1:$1,0)),"#data"),IFERROR(X455*INDEX(indexy_SDcast!$A:$ALI,MATCH($R455,indexy_SDcast!$K:$K,0),MATCH(Y$2,indexy_SDcast!$2:$2,0)),"#ekrk")),"#popis")</f>
        <v>-30.701648242973082</v>
      </c>
    </row>
    <row r="456" spans="1:44" x14ac:dyDescent="0.25">
      <c r="A456" s="330">
        <v>718003</v>
      </c>
      <c r="B456" s="329">
        <v>-0.11899999999999999</v>
      </c>
      <c r="C456" s="157"/>
      <c r="D456" s="330">
        <v>718003</v>
      </c>
      <c r="E456" s="329">
        <v>-0.11899999999999999</v>
      </c>
      <c r="F456" s="157"/>
      <c r="G456" s="330">
        <v>718003</v>
      </c>
      <c r="H456" s="329">
        <v>-0.11899999999999999</v>
      </c>
      <c r="I456" s="157"/>
      <c r="J456" s="330">
        <v>718003</v>
      </c>
      <c r="K456" s="329">
        <v>-0.11899999999999999</v>
      </c>
      <c r="L456" s="157"/>
      <c r="M456" s="360">
        <f t="shared" si="46"/>
        <v>718003</v>
      </c>
      <c r="N456" s="237">
        <f t="shared" si="47"/>
        <v>-0.11899999999999999</v>
      </c>
      <c r="O456" s="361"/>
      <c r="P456" s="361"/>
      <c r="Q456" s="361" t="s">
        <v>698</v>
      </c>
      <c r="R456" s="362">
        <f>IF(Q456="ekrk",INDEX(indexy_SDcast!$A:$C,MATCH($M456,indexy_SDcast!$A:$A,0),2),"")</f>
        <v>37</v>
      </c>
      <c r="S456" s="236"/>
      <c r="T456" s="364">
        <f t="shared" si="48"/>
        <v>718003</v>
      </c>
      <c r="U456" s="365">
        <f t="shared" si="49"/>
        <v>-0.11899999999999999</v>
      </c>
      <c r="V456" s="365">
        <f>IF($Q456="ekrk",IF($R456="data",IFERROR(INDEX(data!$A:$ALL,MATCH($M456,data!$A:$A,0),MATCH(V$2,data!$1:$1,0)),"#data"),IFERROR(U456*INDEX(indexy_SDcast!$A:$ALI,MATCH($R456,indexy_SDcast!$K:$K,0),MATCH(V$2,indexy_SDcast!$2:$2,0)),"#ekrk")),"#popis")</f>
        <v>-0.12286349035184829</v>
      </c>
      <c r="W456" s="365">
        <f>IF($Q456="ekrk",IF($R456="data",IFERROR(INDEX(data!$A:$ALL,MATCH($M456,data!$A:$A,0),MATCH(W$2,data!$1:$1,0)),"#data"),IFERROR(V456*INDEX(indexy_SDcast!$A:$ALI,MATCH($R456,indexy_SDcast!$K:$K,0),MATCH(W$2,indexy_SDcast!$2:$2,0)),"#ekrk")),"#popis")</f>
        <v>-0.12829746402400533</v>
      </c>
      <c r="X456" s="365">
        <f>IF($Q456="ekrk",IF($R456="data",IFERROR(INDEX(data!$A:$ALL,MATCH($M456,data!$A:$A,0),MATCH(X$2,data!$1:$1,0)),"#data"),IFERROR(W456*INDEX(indexy_SDcast!$A:$ALI,MATCH($R456,indexy_SDcast!$K:$K,0),MATCH(X$2,indexy_SDcast!$2:$2,0)),"#ekrk")),"#popis")</f>
        <v>-0.13476795186020918</v>
      </c>
      <c r="Y456" s="362">
        <f>IF($Q456="ekrk",IF($R456="data",IFERROR(INDEX(data!$A:$ALL,MATCH($M456,data!$A:$A,0),MATCH(Y$2,data!$1:$1,0)),"#data"),IFERROR(X456*INDEX(indexy_SDcast!$A:$ALI,MATCH($R456,indexy_SDcast!$K:$K,0),MATCH(Y$2,indexy_SDcast!$2:$2,0)),"#ekrk")),"#popis")</f>
        <v>-0.14219091942235426</v>
      </c>
    </row>
    <row r="457" spans="1:44" x14ac:dyDescent="0.25">
      <c r="A457" s="330">
        <v>718004</v>
      </c>
      <c r="B457" s="329">
        <v>-298.03244999999987</v>
      </c>
      <c r="C457" s="157"/>
      <c r="D457" s="330">
        <v>718004</v>
      </c>
      <c r="E457" s="329">
        <v>-298.03244999999987</v>
      </c>
      <c r="F457" s="157"/>
      <c r="G457" s="330">
        <v>718004</v>
      </c>
      <c r="H457" s="329">
        <v>-298.03244999999987</v>
      </c>
      <c r="I457" s="157"/>
      <c r="J457" s="330">
        <v>718004</v>
      </c>
      <c r="K457" s="329">
        <v>-298.03244999999987</v>
      </c>
      <c r="L457" s="157"/>
      <c r="M457" s="360">
        <f t="shared" si="46"/>
        <v>718004</v>
      </c>
      <c r="N457" s="237">
        <f t="shared" si="47"/>
        <v>-298.03244999999987</v>
      </c>
      <c r="O457" s="361"/>
      <c r="P457" s="361"/>
      <c r="Q457" s="361" t="s">
        <v>698</v>
      </c>
      <c r="R457" s="362">
        <f>IF(Q457="ekrk",INDEX(indexy_SDcast!$A:$C,MATCH($M457,indexy_SDcast!$A:$A,0),2),"")</f>
        <v>37</v>
      </c>
      <c r="S457" s="236"/>
      <c r="T457" s="364">
        <f t="shared" si="48"/>
        <v>718004</v>
      </c>
      <c r="U457" s="365">
        <f t="shared" si="49"/>
        <v>-298.03244999999987</v>
      </c>
      <c r="V457" s="365">
        <f>IF($Q457="ekrk",IF($R457="data",IFERROR(INDEX(data!$A:$ALL,MATCH($M457,data!$A:$A,0),MATCH(V$2,data!$1:$1,0)),"#data"),IFERROR(U457*INDEX(indexy_SDcast!$A:$ALI,MATCH($R457,indexy_SDcast!$K:$K,0),MATCH(V$2,indexy_SDcast!$2:$2,0)),"#ekrk")),"#popis")</f>
        <v>-307.7084625639722</v>
      </c>
      <c r="W457" s="365">
        <f>IF($Q457="ekrk",IF($R457="data",IFERROR(INDEX(data!$A:$ALL,MATCH($M457,data!$A:$A,0),MATCH(W$2,data!$1:$1,0)),"#data"),IFERROR(V457*INDEX(indexy_SDcast!$A:$ALI,MATCH($R457,indexy_SDcast!$K:$K,0),MATCH(W$2,indexy_SDcast!$2:$2,0)),"#ekrk")),"#popis")</f>
        <v>-321.31771035177434</v>
      </c>
      <c r="X457" s="365">
        <f>IF($Q457="ekrk",IF($R457="data",IFERROR(INDEX(data!$A:$ALL,MATCH($M457,data!$A:$A,0),MATCH(X$2,data!$1:$1,0)),"#data"),IFERROR(W457*INDEX(indexy_SDcast!$A:$ALI,MATCH($R457,indexy_SDcast!$K:$K,0),MATCH(X$2,indexy_SDcast!$2:$2,0)),"#ekrk")),"#popis")</f>
        <v>-337.52288129731244</v>
      </c>
      <c r="Y457" s="362">
        <f>IF($Q457="ekrk",IF($R457="data",IFERROR(INDEX(data!$A:$ALL,MATCH($M457,data!$A:$A,0),MATCH(Y$2,data!$1:$1,0)),"#data"),IFERROR(X457*INDEX(indexy_SDcast!$A:$ALI,MATCH($R457,indexy_SDcast!$K:$K,0),MATCH(Y$2,indexy_SDcast!$2:$2,0)),"#ekrk")),"#popis")</f>
        <v>-356.11351330417483</v>
      </c>
    </row>
    <row r="458" spans="1:44" x14ac:dyDescent="0.25">
      <c r="A458" s="330">
        <v>718005</v>
      </c>
      <c r="B458" s="329">
        <v>-3.1819999999999999</v>
      </c>
      <c r="C458" s="157"/>
      <c r="D458" s="330">
        <v>718005</v>
      </c>
      <c r="E458" s="329">
        <v>-3.1819999999999999</v>
      </c>
      <c r="F458" s="157"/>
      <c r="G458" s="330">
        <v>718005</v>
      </c>
      <c r="H458" s="329">
        <v>-3.1819999999999999</v>
      </c>
      <c r="I458" s="157"/>
      <c r="J458" s="330">
        <v>718005</v>
      </c>
      <c r="K458" s="329">
        <v>-3.1819999999999999</v>
      </c>
      <c r="L458" s="157"/>
      <c r="M458" s="360">
        <f t="shared" si="46"/>
        <v>718005</v>
      </c>
      <c r="N458" s="237">
        <f t="shared" si="47"/>
        <v>-3.1819999999999999</v>
      </c>
      <c r="O458" s="361"/>
      <c r="P458" s="361"/>
      <c r="Q458" s="361" t="s">
        <v>698</v>
      </c>
      <c r="R458" s="362">
        <f>IF(Q458="ekrk",INDEX(indexy_SDcast!$A:$C,MATCH($M458,indexy_SDcast!$A:$A,0),2),"")</f>
        <v>37</v>
      </c>
      <c r="S458" s="236"/>
      <c r="T458" s="364">
        <f t="shared" si="48"/>
        <v>718005</v>
      </c>
      <c r="U458" s="365">
        <f t="shared" si="49"/>
        <v>-3.1819999999999999</v>
      </c>
      <c r="V458" s="365">
        <f>IF($Q458="ekrk",IF($R458="data",IFERROR(INDEX(data!$A:$ALL,MATCH($M458,data!$A:$A,0),MATCH(V$2,data!$1:$1,0)),"#data"),IFERROR(U458*INDEX(indexy_SDcast!$A:$ALI,MATCH($R458,indexy_SDcast!$K:$K,0),MATCH(V$2,indexy_SDcast!$2:$2,0)),"#ekrk")),"#popis")</f>
        <v>-3.2853077840300946</v>
      </c>
      <c r="W458" s="365">
        <f>IF($Q458="ekrk",IF($R458="data",IFERROR(INDEX(data!$A:$ALL,MATCH($M458,data!$A:$A,0),MATCH(W$2,data!$1:$1,0)),"#data"),IFERROR(V458*INDEX(indexy_SDcast!$A:$ALI,MATCH($R458,indexy_SDcast!$K:$K,0),MATCH(W$2,indexy_SDcast!$2:$2,0)),"#ekrk")),"#popis")</f>
        <v>-3.4306095002049153</v>
      </c>
      <c r="X458" s="365">
        <f>IF($Q458="ekrk",IF($R458="data",IFERROR(INDEX(data!$A:$ALL,MATCH($M458,data!$A:$A,0),MATCH(X$2,data!$1:$1,0)),"#data"),IFERROR(W458*INDEX(indexy_SDcast!$A:$ALI,MATCH($R458,indexy_SDcast!$K:$K,0),MATCH(X$2,indexy_SDcast!$2:$2,0)),"#ekrk")),"#popis")</f>
        <v>-3.6036270825141643</v>
      </c>
      <c r="Y458" s="362">
        <f>IF($Q458="ekrk",IF($R458="data",IFERROR(INDEX(data!$A:$ALL,MATCH($M458,data!$A:$A,0),MATCH(Y$2,data!$1:$1,0)),"#data"),IFERROR(X458*INDEX(indexy_SDcast!$A:$ALI,MATCH($R458,indexy_SDcast!$K:$K,0),MATCH(Y$2,indexy_SDcast!$2:$2,0)),"#ekrk")),"#popis")</f>
        <v>-3.8021134924532034</v>
      </c>
    </row>
    <row r="459" spans="1:44" x14ac:dyDescent="0.25">
      <c r="A459" s="330">
        <v>718007</v>
      </c>
      <c r="B459" s="329">
        <v>-5.98834</v>
      </c>
      <c r="C459" s="157"/>
      <c r="D459" s="330">
        <v>718007</v>
      </c>
      <c r="E459" s="329">
        <v>-5.98834</v>
      </c>
      <c r="F459" s="157"/>
      <c r="G459" s="330">
        <v>718007</v>
      </c>
      <c r="H459" s="329">
        <v>-5.98834</v>
      </c>
      <c r="I459" s="157"/>
      <c r="J459" s="330">
        <v>718007</v>
      </c>
      <c r="K459" s="329">
        <v>-5.98834</v>
      </c>
      <c r="L459" s="157"/>
      <c r="M459" s="360">
        <f t="shared" si="46"/>
        <v>718007</v>
      </c>
      <c r="N459" s="237">
        <f t="shared" si="47"/>
        <v>-5.98834</v>
      </c>
      <c r="O459" s="361"/>
      <c r="P459" s="361"/>
      <c r="Q459" s="361" t="s">
        <v>698</v>
      </c>
      <c r="R459" s="362">
        <f>IF(Q459="ekrk",INDEX(indexy_SDcast!$A:$C,MATCH($M459,indexy_SDcast!$A:$A,0),2),"")</f>
        <v>37</v>
      </c>
      <c r="S459" s="236"/>
      <c r="T459" s="364">
        <f t="shared" si="48"/>
        <v>718007</v>
      </c>
      <c r="U459" s="365">
        <f t="shared" si="49"/>
        <v>-5.98834</v>
      </c>
      <c r="V459" s="365">
        <f>IF($Q459="ekrk",IF($R459="data",IFERROR(INDEX(data!$A:$ALL,MATCH($M459,data!$A:$A,0),MATCH(V$2,data!$1:$1,0)),"#data"),IFERROR(U459*INDEX(indexy_SDcast!$A:$ALI,MATCH($R459,indexy_SDcast!$K:$K,0),MATCH(V$2,indexy_SDcast!$2:$2,0)),"#ekrk")),"#popis")</f>
        <v>-6.1827592757444307</v>
      </c>
      <c r="W459" s="365">
        <f>IF($Q459="ekrk",IF($R459="data",IFERROR(INDEX(data!$A:$ALL,MATCH($M459,data!$A:$A,0),MATCH(W$2,data!$1:$1,0)),"#data"),IFERROR(V459*INDEX(indexy_SDcast!$A:$ALI,MATCH($R459,indexy_SDcast!$K:$K,0),MATCH(W$2,indexy_SDcast!$2:$2,0)),"#ekrk")),"#popis")</f>
        <v>-6.456208703474891</v>
      </c>
      <c r="X459" s="365">
        <f>IF($Q459="ekrk",IF($R459="data",IFERROR(INDEX(data!$A:$ALL,MATCH($M459,data!$A:$A,0),MATCH(X$2,data!$1:$1,0)),"#data"),IFERROR(W459*INDEX(indexy_SDcast!$A:$ALI,MATCH($R459,indexy_SDcast!$K:$K,0),MATCH(X$2,indexy_SDcast!$2:$2,0)),"#ekrk")),"#popis")</f>
        <v>-6.7818177885929831</v>
      </c>
      <c r="Y459" s="362">
        <f>IF($Q459="ekrk",IF($R459="data",IFERROR(INDEX(data!$A:$ALL,MATCH($M459,data!$A:$A,0),MATCH(Y$2,data!$1:$1,0)),"#data"),IFERROR(X459*INDEX(indexy_SDcast!$A:$ALI,MATCH($R459,indexy_SDcast!$K:$K,0),MATCH(Y$2,indexy_SDcast!$2:$2,0)),"#ekrk")),"#popis")</f>
        <v>-7.1553577345685788</v>
      </c>
    </row>
    <row r="460" spans="1:44" x14ac:dyDescent="0.25">
      <c r="A460" s="330">
        <v>719001</v>
      </c>
      <c r="B460" s="329">
        <v>-2</v>
      </c>
      <c r="C460" s="157"/>
      <c r="D460" s="330">
        <v>719001</v>
      </c>
      <c r="E460" s="329">
        <v>-2</v>
      </c>
      <c r="F460" s="157"/>
      <c r="G460" s="330">
        <v>719001</v>
      </c>
      <c r="H460" s="329">
        <v>-2</v>
      </c>
      <c r="I460" s="157"/>
      <c r="J460" s="330">
        <v>719001</v>
      </c>
      <c r="K460" s="329">
        <v>-2</v>
      </c>
      <c r="L460" s="157"/>
      <c r="M460" s="360">
        <f t="shared" si="46"/>
        <v>719001</v>
      </c>
      <c r="N460" s="237">
        <f t="shared" si="47"/>
        <v>-2</v>
      </c>
      <c r="O460" s="361"/>
      <c r="P460" s="361"/>
      <c r="Q460" s="361" t="s">
        <v>698</v>
      </c>
      <c r="R460" s="362">
        <f>IF(Q460="ekrk",INDEX(indexy_SDcast!$A:$C,MATCH($M460,indexy_SDcast!$A:$A,0),2),"")</f>
        <v>37</v>
      </c>
      <c r="S460" s="236"/>
      <c r="T460" s="364">
        <f t="shared" si="48"/>
        <v>719001</v>
      </c>
      <c r="U460" s="365">
        <f t="shared" si="49"/>
        <v>-2</v>
      </c>
      <c r="V460" s="365">
        <f>IF($Q460="ekrk",IF($R460="data",IFERROR(INDEX(data!$A:$ALL,MATCH($M460,data!$A:$A,0),MATCH(V$2,data!$1:$1,0)),"#data"),IFERROR(U460*INDEX(indexy_SDcast!$A:$ALI,MATCH($R460,indexy_SDcast!$K:$K,0),MATCH(V$2,indexy_SDcast!$2:$2,0)),"#ekrk")),"#popis")</f>
        <v>-2.0649326109554336</v>
      </c>
      <c r="W460" s="365">
        <f>IF($Q460="ekrk",IF($R460="data",IFERROR(INDEX(data!$A:$ALL,MATCH($M460,data!$A:$A,0),MATCH(W$2,data!$1:$1,0)),"#data"),IFERROR(V460*INDEX(indexy_SDcast!$A:$ALI,MATCH($R460,indexy_SDcast!$K:$K,0),MATCH(W$2,indexy_SDcast!$2:$2,0)),"#ekrk")),"#popis")</f>
        <v>-2.1562598995631146</v>
      </c>
      <c r="X460" s="365">
        <f>IF($Q460="ekrk",IF($R460="data",IFERROR(INDEX(data!$A:$ALL,MATCH($M460,data!$A:$A,0),MATCH(X$2,data!$1:$1,0)),"#data"),IFERROR(W460*INDEX(indexy_SDcast!$A:$ALI,MATCH($R460,indexy_SDcast!$K:$K,0),MATCH(X$2,indexy_SDcast!$2:$2,0)),"#ekrk")),"#popis")</f>
        <v>-2.2650075942892296</v>
      </c>
      <c r="Y460" s="362">
        <f>IF($Q460="ekrk",IF($R460="data",IFERROR(INDEX(data!$A:$ALL,MATCH($M460,data!$A:$A,0),MATCH(Y$2,data!$1:$1,0)),"#data"),IFERROR(X460*INDEX(indexy_SDcast!$A:$ALI,MATCH($R460,indexy_SDcast!$K:$K,0),MATCH(Y$2,indexy_SDcast!$2:$2,0)),"#ekrk")),"#popis")</f>
        <v>-2.3897633516362058</v>
      </c>
    </row>
    <row r="461" spans="1:44" x14ac:dyDescent="0.25">
      <c r="A461" s="330">
        <v>719013</v>
      </c>
      <c r="B461" s="329">
        <v>-0.96</v>
      </c>
      <c r="C461" s="157"/>
      <c r="D461" s="330">
        <v>719013</v>
      </c>
      <c r="E461" s="329">
        <v>-0.96</v>
      </c>
      <c r="F461" s="157"/>
      <c r="G461" s="330">
        <v>719013</v>
      </c>
      <c r="H461" s="329">
        <v>-0.96</v>
      </c>
      <c r="I461" s="157"/>
      <c r="J461" s="330">
        <v>719013</v>
      </c>
      <c r="K461" s="329">
        <v>-0.96</v>
      </c>
      <c r="L461" s="157"/>
      <c r="M461" s="360">
        <f t="shared" si="46"/>
        <v>719013</v>
      </c>
      <c r="N461" s="237">
        <f t="shared" si="47"/>
        <v>-0.96</v>
      </c>
      <c r="O461" s="361"/>
      <c r="P461" s="361"/>
      <c r="Q461" s="361" t="s">
        <v>698</v>
      </c>
      <c r="R461" s="362">
        <f>IF(Q461="ekrk",INDEX(indexy_SDcast!$A:$C,MATCH($M461,indexy_SDcast!$A:$A,0),2),"")</f>
        <v>37</v>
      </c>
      <c r="S461" s="236"/>
      <c r="T461" s="364">
        <f t="shared" si="48"/>
        <v>719013</v>
      </c>
      <c r="U461" s="365">
        <f t="shared" si="49"/>
        <v>-0.96</v>
      </c>
      <c r="V461" s="365">
        <f>IF($Q461="ekrk",IF($R461="data",IFERROR(INDEX(data!$A:$ALL,MATCH($M461,data!$A:$A,0),MATCH(V$2,data!$1:$1,0)),"#data"),IFERROR(U461*INDEX(indexy_SDcast!$A:$ALI,MATCH($R461,indexy_SDcast!$K:$K,0),MATCH(V$2,indexy_SDcast!$2:$2,0)),"#ekrk")),"#popis")</f>
        <v>-0.99116765325860812</v>
      </c>
      <c r="W461" s="365">
        <f>IF($Q461="ekrk",IF($R461="data",IFERROR(INDEX(data!$A:$ALL,MATCH($M461,data!$A:$A,0),MATCH(W$2,data!$1:$1,0)),"#data"),IFERROR(V461*INDEX(indexy_SDcast!$A:$ALI,MATCH($R461,indexy_SDcast!$K:$K,0),MATCH(W$2,indexy_SDcast!$2:$2,0)),"#ekrk")),"#popis")</f>
        <v>-1.0350047517902949</v>
      </c>
      <c r="X461" s="365">
        <f>IF($Q461="ekrk",IF($R461="data",IFERROR(INDEX(data!$A:$ALL,MATCH($M461,data!$A:$A,0),MATCH(X$2,data!$1:$1,0)),"#data"),IFERROR(W461*INDEX(indexy_SDcast!$A:$ALI,MATCH($R461,indexy_SDcast!$K:$K,0),MATCH(X$2,indexy_SDcast!$2:$2,0)),"#ekrk")),"#popis")</f>
        <v>-1.0872036452588303</v>
      </c>
      <c r="Y461" s="362">
        <f>IF($Q461="ekrk",IF($R461="data",IFERROR(INDEX(data!$A:$ALL,MATCH($M461,data!$A:$A,0),MATCH(Y$2,data!$1:$1,0)),"#data"),IFERROR(X461*INDEX(indexy_SDcast!$A:$ALI,MATCH($R461,indexy_SDcast!$K:$K,0),MATCH(Y$2,indexy_SDcast!$2:$2,0)),"#ekrk")),"#popis")</f>
        <v>-1.1470864087853789</v>
      </c>
    </row>
    <row r="462" spans="1:44" x14ac:dyDescent="0.25">
      <c r="A462" s="330">
        <v>719014</v>
      </c>
      <c r="B462" s="329">
        <v>-172.83947000000001</v>
      </c>
      <c r="C462" s="157"/>
      <c r="D462" s="330">
        <v>719014</v>
      </c>
      <c r="E462" s="329">
        <v>-172.83947000000001</v>
      </c>
      <c r="F462" s="157"/>
      <c r="G462" s="330">
        <v>719014</v>
      </c>
      <c r="H462" s="329">
        <v>-172.83947000000001</v>
      </c>
      <c r="I462" s="157"/>
      <c r="J462" s="330">
        <v>719014</v>
      </c>
      <c r="K462" s="329">
        <v>-172.83947000000001</v>
      </c>
      <c r="L462" s="157"/>
      <c r="M462" s="360">
        <f t="shared" si="46"/>
        <v>719014</v>
      </c>
      <c r="N462" s="237">
        <f t="shared" si="47"/>
        <v>-172.83947000000001</v>
      </c>
      <c r="O462" s="361"/>
      <c r="P462" s="361"/>
      <c r="Q462" s="361" t="s">
        <v>698</v>
      </c>
      <c r="R462" s="362">
        <f>IF(Q462="ekrk",INDEX(indexy_SDcast!$A:$C,MATCH($M462,indexy_SDcast!$A:$A,0),2),"")</f>
        <v>9</v>
      </c>
      <c r="S462" s="236"/>
      <c r="T462" s="364">
        <f t="shared" si="48"/>
        <v>719014</v>
      </c>
      <c r="U462" s="365">
        <f t="shared" si="49"/>
        <v>-172.83947000000001</v>
      </c>
      <c r="V462" s="365">
        <f>IF($Q462="ekrk",IF($R462="data",IFERROR(INDEX(data!$A:$ALL,MATCH($M462,data!$A:$A,0),MATCH(V$2,data!$1:$1,0)),"#data"),IFERROR(U462*INDEX(indexy_SDcast!$A:$ALI,MATCH($R462,indexy_SDcast!$K:$K,0),MATCH(V$2,indexy_SDcast!$2:$2,0)),"#ekrk")),"#popis")</f>
        <v>-172.83947000000001</v>
      </c>
      <c r="W462" s="365">
        <f>IF($Q462="ekrk",IF($R462="data",IFERROR(INDEX(data!$A:$ALL,MATCH($M462,data!$A:$A,0),MATCH(W$2,data!$1:$1,0)),"#data"),IFERROR(V462*INDEX(indexy_SDcast!$A:$ALI,MATCH($R462,indexy_SDcast!$K:$K,0),MATCH(W$2,indexy_SDcast!$2:$2,0)),"#ekrk")),"#popis")</f>
        <v>-172.83947000000001</v>
      </c>
      <c r="X462" s="365">
        <f>IF($Q462="ekrk",IF($R462="data",IFERROR(INDEX(data!$A:$ALL,MATCH($M462,data!$A:$A,0),MATCH(X$2,data!$1:$1,0)),"#data"),IFERROR(W462*INDEX(indexy_SDcast!$A:$ALI,MATCH($R462,indexy_SDcast!$K:$K,0),MATCH(X$2,indexy_SDcast!$2:$2,0)),"#ekrk")),"#popis")</f>
        <v>-172.83947000000001</v>
      </c>
      <c r="Y462" s="362">
        <f>IF($Q462="ekrk",IF($R462="data",IFERROR(INDEX(data!$A:$ALL,MATCH($M462,data!$A:$A,0),MATCH(Y$2,data!$1:$1,0)),"#data"),IFERROR(X462*INDEX(indexy_SDcast!$A:$ALI,MATCH($R462,indexy_SDcast!$K:$K,0),MATCH(Y$2,indexy_SDcast!$2:$2,0)),"#ekrk")),"#popis")</f>
        <v>-172.83947000000001</v>
      </c>
    </row>
    <row r="463" spans="1:44" x14ac:dyDescent="0.25">
      <c r="A463" s="330">
        <v>719200</v>
      </c>
      <c r="B463" s="329">
        <v>-16.533529999999999</v>
      </c>
      <c r="C463" s="157"/>
      <c r="D463" s="330">
        <v>719200</v>
      </c>
      <c r="E463" s="329">
        <v>-16.533529999999999</v>
      </c>
      <c r="F463" s="157"/>
      <c r="G463" s="330">
        <v>719200</v>
      </c>
      <c r="H463" s="329">
        <v>-16.533529999999999</v>
      </c>
      <c r="I463" s="157"/>
      <c r="J463" s="330">
        <v>719200</v>
      </c>
      <c r="K463" s="329">
        <v>-16.533529999999999</v>
      </c>
      <c r="L463" s="157"/>
      <c r="M463" s="360">
        <f t="shared" si="46"/>
        <v>719200</v>
      </c>
      <c r="N463" s="237">
        <f t="shared" si="47"/>
        <v>-16.533529999999999</v>
      </c>
      <c r="O463" s="361"/>
      <c r="P463" s="361"/>
      <c r="Q463" s="361" t="s">
        <v>698</v>
      </c>
      <c r="R463" s="362">
        <f>IF(Q463="ekrk",INDEX(indexy_SDcast!$A:$C,MATCH($M463,indexy_SDcast!$A:$A,0),2),"")</f>
        <v>37</v>
      </c>
      <c r="S463" s="236"/>
      <c r="T463" s="364">
        <f t="shared" si="48"/>
        <v>719200</v>
      </c>
      <c r="U463" s="365">
        <f t="shared" si="49"/>
        <v>-16.533529999999999</v>
      </c>
      <c r="V463" s="365">
        <f>IF($Q463="ekrk",IF($R463="data",IFERROR(INDEX(data!$A:$ALL,MATCH($M463,data!$A:$A,0),MATCH(V$2,data!$1:$1,0)),"#data"),IFERROR(U463*INDEX(indexy_SDcast!$A:$ALI,MATCH($R463,indexy_SDcast!$K:$K,0),MATCH(V$2,indexy_SDcast!$2:$2,0)),"#ekrk")),"#popis")</f>
        <v>-17.070312635604992</v>
      </c>
      <c r="W463" s="365">
        <f>IF($Q463="ekrk",IF($R463="data",IFERROR(INDEX(data!$A:$ALL,MATCH($M463,data!$A:$A,0),MATCH(W$2,data!$1:$1,0)),"#data"),IFERROR(V463*INDEX(indexy_SDcast!$A:$ALI,MATCH($R463,indexy_SDcast!$K:$K,0),MATCH(W$2,indexy_SDcast!$2:$2,0)),"#ekrk")),"#popis")</f>
        <v>-17.825293868611869</v>
      </c>
      <c r="X463" s="365">
        <f>IF($Q463="ekrk",IF($R463="data",IFERROR(INDEX(data!$A:$ALL,MATCH($M463,data!$A:$A,0),MATCH(X$2,data!$1:$1,0)),"#data"),IFERROR(W463*INDEX(indexy_SDcast!$A:$ALI,MATCH($R463,indexy_SDcast!$K:$K,0),MATCH(X$2,indexy_SDcast!$2:$2,0)),"#ekrk")),"#popis")</f>
        <v>-18.724285505204403</v>
      </c>
      <c r="Y463" s="362">
        <f>IF($Q463="ekrk",IF($R463="data",IFERROR(INDEX(data!$A:$ALL,MATCH($M463,data!$A:$A,0),MATCH(Y$2,data!$1:$1,0)),"#data"),IFERROR(X463*INDEX(indexy_SDcast!$A:$ALI,MATCH($R463,indexy_SDcast!$K:$K,0),MATCH(Y$2,indexy_SDcast!$2:$2,0)),"#ekrk")),"#popis")</f>
        <v>-19.755612033588879</v>
      </c>
    </row>
    <row r="464" spans="1:44" s="18" customFormat="1" x14ac:dyDescent="0.25">
      <c r="A464" s="333" t="s">
        <v>755</v>
      </c>
      <c r="B464" s="334">
        <v>-1639.6065800000006</v>
      </c>
      <c r="C464" s="164"/>
      <c r="D464" s="333" t="s">
        <v>755</v>
      </c>
      <c r="E464" s="334">
        <v>-1639.6065800000006</v>
      </c>
      <c r="F464" s="164"/>
      <c r="G464" s="333" t="s">
        <v>755</v>
      </c>
      <c r="H464" s="334">
        <v>-1639.6065800000006</v>
      </c>
      <c r="I464" s="164"/>
      <c r="J464" s="333" t="s">
        <v>755</v>
      </c>
      <c r="K464" s="334">
        <v>-1639.6065800000006</v>
      </c>
      <c r="L464" s="164"/>
      <c r="M464" s="358" t="str">
        <f t="shared" si="46"/>
        <v>P5112</v>
      </c>
      <c r="N464" s="239">
        <f t="shared" si="47"/>
        <v>-1639.6065800000006</v>
      </c>
      <c r="O464" s="243"/>
      <c r="P464" s="243">
        <f>MATCH(Q464,Q465:Q$1550,0)</f>
        <v>2</v>
      </c>
      <c r="Q464" s="243" t="s">
        <v>697</v>
      </c>
      <c r="R464" s="359" t="str">
        <f>IF(Q464="ekrk",INDEX(indexy_SDcast!$A:$C,MATCH($M464,indexy_SDcast!$A:$A,0),2),"")</f>
        <v/>
      </c>
      <c r="S464" s="240"/>
      <c r="T464" s="363" t="str">
        <f t="shared" si="48"/>
        <v>P5112</v>
      </c>
      <c r="U464" s="244">
        <f>SUM(U465:U465)</f>
        <v>-1639.6065800000006</v>
      </c>
      <c r="V464" s="244">
        <f>SUM(V465:V465)</f>
        <v>-1692.8385480895552</v>
      </c>
      <c r="W464" s="244">
        <f>SUM(W465:W465)</f>
        <v>-1767.7089597569116</v>
      </c>
      <c r="X464" s="244">
        <f>SUM(X465:X465)</f>
        <v>-1856.8606776732965</v>
      </c>
      <c r="Y464" s="359">
        <f>SUM(Y465:Y465)</f>
        <v>-1959.1358579927894</v>
      </c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8"/>
      <c r="AN464" s="58"/>
      <c r="AO464" s="58"/>
      <c r="AP464" s="58"/>
      <c r="AQ464" s="58"/>
      <c r="AR464" s="58"/>
    </row>
    <row r="465" spans="1:44" x14ac:dyDescent="0.25">
      <c r="A465" s="330">
        <v>712001</v>
      </c>
      <c r="B465" s="329">
        <v>-1639.6065800000006</v>
      </c>
      <c r="C465" s="157"/>
      <c r="D465" s="330">
        <v>712001</v>
      </c>
      <c r="E465" s="329">
        <v>-1639.6065800000006</v>
      </c>
      <c r="F465" s="157"/>
      <c r="G465" s="330">
        <v>712001</v>
      </c>
      <c r="H465" s="329">
        <v>-1639.6065800000006</v>
      </c>
      <c r="I465" s="157"/>
      <c r="J465" s="330">
        <v>712001</v>
      </c>
      <c r="K465" s="329">
        <v>-1639.6065800000006</v>
      </c>
      <c r="L465" s="157"/>
      <c r="M465" s="360">
        <f t="shared" si="46"/>
        <v>712001</v>
      </c>
      <c r="N465" s="237">
        <f t="shared" si="47"/>
        <v>-1639.6065800000006</v>
      </c>
      <c r="O465" s="361"/>
      <c r="P465" s="361"/>
      <c r="Q465" s="361" t="s">
        <v>698</v>
      </c>
      <c r="R465" s="362">
        <f>IF(Q465="ekrk",INDEX(indexy_SDcast!$A:$C,MATCH($M465,indexy_SDcast!$A:$A,0),2),"")</f>
        <v>37</v>
      </c>
      <c r="S465" s="236"/>
      <c r="T465" s="364">
        <f t="shared" si="48"/>
        <v>712001</v>
      </c>
      <c r="U465" s="365">
        <f>N465</f>
        <v>-1639.6065800000006</v>
      </c>
      <c r="V465" s="365">
        <f>IF($Q465="ekrk",IF($R465="data",IFERROR(INDEX(data!$A:$ALL,MATCH($M465,data!$A:$A,0),MATCH(V$2,data!$1:$1,0)),"#data"),IFERROR(U465*INDEX(indexy_SDcast!$A:$ALI,MATCH($R465,indexy_SDcast!$K:$K,0),MATCH(V$2,indexy_SDcast!$2:$2,0)),"#ekrk")),"#popis")</f>
        <v>-1692.8385480895552</v>
      </c>
      <c r="W465" s="365">
        <f>IF($Q465="ekrk",IF($R465="data",IFERROR(INDEX(data!$A:$ALL,MATCH($M465,data!$A:$A,0),MATCH(W$2,data!$1:$1,0)),"#data"),IFERROR(V465*INDEX(indexy_SDcast!$A:$ALI,MATCH($R465,indexy_SDcast!$K:$K,0),MATCH(W$2,indexy_SDcast!$2:$2,0)),"#ekrk")),"#popis")</f>
        <v>-1767.7089597569116</v>
      </c>
      <c r="X465" s="365">
        <f>IF($Q465="ekrk",IF($R465="data",IFERROR(INDEX(data!$A:$ALL,MATCH($M465,data!$A:$A,0),MATCH(X$2,data!$1:$1,0)),"#data"),IFERROR(W465*INDEX(indexy_SDcast!$A:$ALI,MATCH($R465,indexy_SDcast!$K:$K,0),MATCH(X$2,indexy_SDcast!$2:$2,0)),"#ekrk")),"#popis")</f>
        <v>-1856.8606776732965</v>
      </c>
      <c r="Y465" s="362">
        <f>IF($Q465="ekrk",IF($R465="data",IFERROR(INDEX(data!$A:$ALL,MATCH($M465,data!$A:$A,0),MATCH(Y$2,data!$1:$1,0)),"#data"),IFERROR(X465*INDEX(indexy_SDcast!$A:$ALI,MATCH($R465,indexy_SDcast!$K:$K,0),MATCH(Y$2,indexy_SDcast!$2:$2,0)),"#ekrk")),"#popis")</f>
        <v>-1959.1358579927894</v>
      </c>
    </row>
    <row r="466" spans="1:44" s="18" customFormat="1" x14ac:dyDescent="0.25">
      <c r="A466" s="333" t="s">
        <v>757</v>
      </c>
      <c r="B466" s="334">
        <v>-1167.3267099999998</v>
      </c>
      <c r="C466" s="164"/>
      <c r="D466" s="333" t="s">
        <v>757</v>
      </c>
      <c r="E466" s="334">
        <v>-1167.3267099999998</v>
      </c>
      <c r="F466" s="164"/>
      <c r="G466" s="333" t="s">
        <v>757</v>
      </c>
      <c r="H466" s="334">
        <v>-1167.3267099999998</v>
      </c>
      <c r="I466" s="164"/>
      <c r="J466" s="333" t="s">
        <v>757</v>
      </c>
      <c r="K466" s="334">
        <v>-1167.3267099999998</v>
      </c>
      <c r="L466" s="164"/>
      <c r="M466" s="358" t="str">
        <f t="shared" si="46"/>
        <v>P5121</v>
      </c>
      <c r="N466" s="239">
        <f t="shared" si="47"/>
        <v>-1167.3267099999998</v>
      </c>
      <c r="O466" s="243"/>
      <c r="P466" s="243">
        <f>MATCH(Q466,Q467:Q$1550,0)</f>
        <v>4</v>
      </c>
      <c r="Q466" s="243" t="s">
        <v>697</v>
      </c>
      <c r="R466" s="359" t="str">
        <f>IF(Q466="ekrk",INDEX(indexy_SDcast!$A:$C,MATCH($M466,indexy_SDcast!$A:$A,0),2),"")</f>
        <v/>
      </c>
      <c r="S466" s="240"/>
      <c r="T466" s="363" t="str">
        <f t="shared" si="48"/>
        <v>P5121</v>
      </c>
      <c r="U466" s="244">
        <f>SUM(U467:U469)</f>
        <v>-1167.3267099999998</v>
      </c>
      <c r="V466" s="244">
        <f>SUM(V467:V469)</f>
        <v>-1205.2254955591577</v>
      </c>
      <c r="W466" s="244">
        <f>SUM(W467:W469)</f>
        <v>-1258.52988723097</v>
      </c>
      <c r="X466" s="244">
        <f>SUM(X467:X469)</f>
        <v>-1322.0019315833301</v>
      </c>
      <c r="Y466" s="359">
        <f>SUM(Y467:Y469)</f>
        <v>-1394.8172954720324</v>
      </c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8"/>
      <c r="AN466" s="58"/>
      <c r="AO466" s="58"/>
      <c r="AP466" s="58"/>
      <c r="AQ466" s="58"/>
      <c r="AR466" s="58"/>
    </row>
    <row r="467" spans="1:44" x14ac:dyDescent="0.25">
      <c r="A467" s="330">
        <v>711003</v>
      </c>
      <c r="B467" s="329">
        <v>-1136.5947899999996</v>
      </c>
      <c r="C467" s="157"/>
      <c r="D467" s="330">
        <v>711003</v>
      </c>
      <c r="E467" s="329">
        <v>-1136.5947899999996</v>
      </c>
      <c r="F467" s="157"/>
      <c r="G467" s="330">
        <v>711003</v>
      </c>
      <c r="H467" s="329">
        <v>-1136.5947899999996</v>
      </c>
      <c r="I467" s="157"/>
      <c r="J467" s="330">
        <v>711003</v>
      </c>
      <c r="K467" s="329">
        <v>-1136.5947899999996</v>
      </c>
      <c r="L467" s="157"/>
      <c r="M467" s="360">
        <f t="shared" si="46"/>
        <v>711003</v>
      </c>
      <c r="N467" s="237">
        <f t="shared" si="47"/>
        <v>-1136.5947899999996</v>
      </c>
      <c r="O467" s="361"/>
      <c r="P467" s="361"/>
      <c r="Q467" s="361" t="s">
        <v>698</v>
      </c>
      <c r="R467" s="362">
        <f>IF(Q467="ekrk",INDEX(indexy_SDcast!$A:$C,MATCH($M467,indexy_SDcast!$A:$A,0),2),"")</f>
        <v>37</v>
      </c>
      <c r="S467" s="236"/>
      <c r="T467" s="364">
        <f t="shared" si="48"/>
        <v>711003</v>
      </c>
      <c r="U467" s="365">
        <f>N467</f>
        <v>-1136.5947899999996</v>
      </c>
      <c r="V467" s="365">
        <f>IF($Q467="ekrk",IF($R467="data",IFERROR(INDEX(data!$A:$ALL,MATCH($M467,data!$A:$A,0),MATCH(V$2,data!$1:$1,0)),"#data"),IFERROR(U467*INDEX(indexy_SDcast!$A:$ALI,MATCH($R467,indexy_SDcast!$K:$K,0),MATCH(V$2,indexy_SDcast!$2:$2,0)),"#ekrk")),"#popis")</f>
        <v>-1173.495823656521</v>
      </c>
      <c r="W467" s="365">
        <f>IF($Q467="ekrk",IF($R467="data",IFERROR(INDEX(data!$A:$ALL,MATCH($M467,data!$A:$A,0),MATCH(W$2,data!$1:$1,0)),"#data"),IFERROR(V467*INDEX(indexy_SDcast!$A:$ALI,MATCH($R467,indexy_SDcast!$K:$K,0),MATCH(W$2,indexy_SDcast!$2:$2,0)),"#ekrk")),"#popis")</f>
        <v>-1225.3968838646792</v>
      </c>
      <c r="X467" s="365">
        <f>IF($Q467="ekrk",IF($R467="data",IFERROR(INDEX(data!$A:$ALL,MATCH($M467,data!$A:$A,0),MATCH(X$2,data!$1:$1,0)),"#data"),IFERROR(W467*INDEX(indexy_SDcast!$A:$ALI,MATCH($R467,indexy_SDcast!$K:$K,0),MATCH(X$2,indexy_SDcast!$2:$2,0)),"#ekrk")),"#popis")</f>
        <v>-1287.1979154897856</v>
      </c>
      <c r="Y467" s="362">
        <f>IF($Q467="ekrk",IF($R467="data",IFERROR(INDEX(data!$A:$ALL,MATCH($M467,data!$A:$A,0),MATCH(Y$2,data!$1:$1,0)),"#data"),IFERROR(X467*INDEX(indexy_SDcast!$A:$ALI,MATCH($R467,indexy_SDcast!$K:$K,0),MATCH(Y$2,indexy_SDcast!$2:$2,0)),"#ekrk")),"#popis")</f>
        <v>-1358.0962874013244</v>
      </c>
    </row>
    <row r="468" spans="1:44" x14ac:dyDescent="0.25">
      <c r="A468" s="330">
        <v>711005</v>
      </c>
      <c r="B468" s="329">
        <v>-6.9390000000000001</v>
      </c>
      <c r="C468" s="157"/>
      <c r="D468" s="330">
        <v>711005</v>
      </c>
      <c r="E468" s="329">
        <v>-6.9390000000000001</v>
      </c>
      <c r="F468" s="157"/>
      <c r="G468" s="330">
        <v>711005</v>
      </c>
      <c r="H468" s="329">
        <v>-6.9390000000000001</v>
      </c>
      <c r="I468" s="157"/>
      <c r="J468" s="330">
        <v>711005</v>
      </c>
      <c r="K468" s="329">
        <v>-6.9390000000000001</v>
      </c>
      <c r="L468" s="157"/>
      <c r="M468" s="360">
        <f t="shared" si="46"/>
        <v>711005</v>
      </c>
      <c r="N468" s="237">
        <f t="shared" si="47"/>
        <v>-6.9390000000000001</v>
      </c>
      <c r="O468" s="361"/>
      <c r="P468" s="361"/>
      <c r="Q468" s="361" t="s">
        <v>698</v>
      </c>
      <c r="R468" s="362">
        <f>IF(Q468="ekrk",INDEX(indexy_SDcast!$A:$C,MATCH($M468,indexy_SDcast!$A:$A,0),2),"")</f>
        <v>37</v>
      </c>
      <c r="S468" s="236"/>
      <c r="T468" s="364">
        <f t="shared" si="48"/>
        <v>711005</v>
      </c>
      <c r="U468" s="365">
        <f>N468</f>
        <v>-6.9390000000000001</v>
      </c>
      <c r="V468" s="365">
        <f>IF($Q468="ekrk",IF($R468="data",IFERROR(INDEX(data!$A:$ALL,MATCH($M468,data!$A:$A,0),MATCH(V$2,data!$1:$1,0)),"#data"),IFERROR(U468*INDEX(indexy_SDcast!$A:$ALI,MATCH($R468,indexy_SDcast!$K:$K,0),MATCH(V$2,indexy_SDcast!$2:$2,0)),"#ekrk")),"#popis")</f>
        <v>-7.1642836937098764</v>
      </c>
      <c r="W468" s="365">
        <f>IF($Q468="ekrk",IF($R468="data",IFERROR(INDEX(data!$A:$ALL,MATCH($M468,data!$A:$A,0),MATCH(W$2,data!$1:$1,0)),"#data"),IFERROR(V468*INDEX(indexy_SDcast!$A:$ALI,MATCH($R468,indexy_SDcast!$K:$K,0),MATCH(W$2,indexy_SDcast!$2:$2,0)),"#ekrk")),"#popis")</f>
        <v>-7.4811437215342256</v>
      </c>
      <c r="X468" s="365">
        <f>IF($Q468="ekrk",IF($R468="data",IFERROR(INDEX(data!$A:$ALL,MATCH($M468,data!$A:$A,0),MATCH(X$2,data!$1:$1,0)),"#data"),IFERROR(W468*INDEX(indexy_SDcast!$A:$ALI,MATCH($R468,indexy_SDcast!$K:$K,0),MATCH(X$2,indexy_SDcast!$2:$2,0)),"#ekrk")),"#popis")</f>
        <v>-7.8584438483864822</v>
      </c>
      <c r="Y468" s="362">
        <f>IF($Q468="ekrk",IF($R468="data",IFERROR(INDEX(data!$A:$ALL,MATCH($M468,data!$A:$A,0),MATCH(Y$2,data!$1:$1,0)),"#data"),IFERROR(X468*INDEX(indexy_SDcast!$A:$ALI,MATCH($R468,indexy_SDcast!$K:$K,0),MATCH(Y$2,indexy_SDcast!$2:$2,0)),"#ekrk")),"#popis")</f>
        <v>-8.2912839485018157</v>
      </c>
    </row>
    <row r="469" spans="1:44" x14ac:dyDescent="0.25">
      <c r="A469" s="330">
        <v>718006</v>
      </c>
      <c r="B469" s="329">
        <v>-23.792920000000002</v>
      </c>
      <c r="C469" s="157"/>
      <c r="D469" s="330">
        <v>718006</v>
      </c>
      <c r="E469" s="329">
        <v>-23.792920000000002</v>
      </c>
      <c r="F469" s="157"/>
      <c r="G469" s="330">
        <v>718006</v>
      </c>
      <c r="H469" s="329">
        <v>-23.792920000000002</v>
      </c>
      <c r="I469" s="157"/>
      <c r="J469" s="330">
        <v>718006</v>
      </c>
      <c r="K469" s="329">
        <v>-23.792920000000002</v>
      </c>
      <c r="L469" s="157"/>
      <c r="M469" s="360">
        <f t="shared" si="46"/>
        <v>718006</v>
      </c>
      <c r="N469" s="237">
        <f t="shared" si="47"/>
        <v>-23.792920000000002</v>
      </c>
      <c r="O469" s="361"/>
      <c r="P469" s="361"/>
      <c r="Q469" s="361" t="s">
        <v>698</v>
      </c>
      <c r="R469" s="362">
        <f>IF(Q469="ekrk",INDEX(indexy_SDcast!$A:$C,MATCH($M469,indexy_SDcast!$A:$A,0),2),"")</f>
        <v>37</v>
      </c>
      <c r="S469" s="236"/>
      <c r="T469" s="364">
        <f t="shared" si="48"/>
        <v>718006</v>
      </c>
      <c r="U469" s="365">
        <f>N469</f>
        <v>-23.792920000000002</v>
      </c>
      <c r="V469" s="365">
        <f>IF($Q469="ekrk",IF($R469="data",IFERROR(INDEX(data!$A:$ALL,MATCH($M469,data!$A:$A,0),MATCH(V$2,data!$1:$1,0)),"#data"),IFERROR(U469*INDEX(indexy_SDcast!$A:$ALI,MATCH($R469,indexy_SDcast!$K:$K,0),MATCH(V$2,indexy_SDcast!$2:$2,0)),"#ekrk")),"#popis")</f>
        <v>-24.56538820892688</v>
      </c>
      <c r="W469" s="365">
        <f>IF($Q469="ekrk",IF($R469="data",IFERROR(INDEX(data!$A:$ALL,MATCH($M469,data!$A:$A,0),MATCH(W$2,data!$1:$1,0)),"#data"),IFERROR(V469*INDEX(indexy_SDcast!$A:$ALI,MATCH($R469,indexy_SDcast!$K:$K,0),MATCH(W$2,indexy_SDcast!$2:$2,0)),"#ekrk")),"#popis")</f>
        <v>-25.651859644756613</v>
      </c>
      <c r="X469" s="365">
        <f>IF($Q469="ekrk",IF($R469="data",IFERROR(INDEX(data!$A:$ALL,MATCH($M469,data!$A:$A,0),MATCH(X$2,data!$1:$1,0)),"#data"),IFERROR(W469*INDEX(indexy_SDcast!$A:$ALI,MATCH($R469,indexy_SDcast!$K:$K,0),MATCH(X$2,indexy_SDcast!$2:$2,0)),"#ekrk")),"#popis")</f>
        <v>-26.945572245158054</v>
      </c>
      <c r="Y469" s="362">
        <f>IF($Q469="ekrk",IF($R469="data",IFERROR(INDEX(data!$A:$ALL,MATCH($M469,data!$A:$A,0),MATCH(Y$2,data!$1:$1,0)),"#data"),IFERROR(X469*INDEX(indexy_SDcast!$A:$ALI,MATCH($R469,indexy_SDcast!$K:$K,0),MATCH(Y$2,indexy_SDcast!$2:$2,0)),"#ekrk")),"#popis")</f>
        <v>-28.429724122206064</v>
      </c>
    </row>
    <row r="470" spans="1:44" s="18" customFormat="1" x14ac:dyDescent="0.25">
      <c r="A470" s="333" t="s">
        <v>761</v>
      </c>
      <c r="B470" s="334">
        <v>-47.738</v>
      </c>
      <c r="C470" s="164"/>
      <c r="D470" s="333" t="s">
        <v>761</v>
      </c>
      <c r="E470" s="334">
        <v>-47.738</v>
      </c>
      <c r="F470" s="164"/>
      <c r="G470" s="333" t="s">
        <v>761</v>
      </c>
      <c r="H470" s="334">
        <v>-47.738</v>
      </c>
      <c r="I470" s="164"/>
      <c r="J470" s="333" t="s">
        <v>761</v>
      </c>
      <c r="K470" s="334">
        <v>-47.738</v>
      </c>
      <c r="L470" s="164"/>
      <c r="M470" s="358" t="str">
        <f t="shared" si="46"/>
        <v>P53A</v>
      </c>
      <c r="N470" s="239">
        <f t="shared" si="47"/>
        <v>-47.738</v>
      </c>
      <c r="O470" s="243"/>
      <c r="P470" s="243">
        <f>MATCH(Q470,Q471:Q$1550,0)</f>
        <v>4</v>
      </c>
      <c r="Q470" s="243" t="s">
        <v>697</v>
      </c>
      <c r="R470" s="359" t="str">
        <f>IF(Q470="ekrk",INDEX(indexy_SDcast!$A:$C,MATCH($M470,indexy_SDcast!$A:$A,0),2),"")</f>
        <v/>
      </c>
      <c r="S470" s="240"/>
      <c r="T470" s="363" t="str">
        <f t="shared" si="48"/>
        <v>P53A</v>
      </c>
      <c r="U470" s="244">
        <f>SUM(U471:U471)</f>
        <v>-47.738</v>
      </c>
      <c r="V470" s="244">
        <f>SUM(V471:V471)</f>
        <v>-49.287876490895243</v>
      </c>
      <c r="W470" s="244">
        <f>SUM(W471:W471)</f>
        <v>-51.467767542671979</v>
      </c>
      <c r="X470" s="244">
        <f>SUM(X471:X471)</f>
        <v>-54.06346626808962</v>
      </c>
      <c r="Y470" s="359">
        <f>SUM(Y471:Y471)</f>
        <v>-57.041261440204593</v>
      </c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8"/>
      <c r="AN470" s="58"/>
      <c r="AO470" s="58"/>
      <c r="AP470" s="58"/>
      <c r="AQ470" s="58"/>
      <c r="AR470" s="58"/>
    </row>
    <row r="471" spans="1:44" x14ac:dyDescent="0.25">
      <c r="A471" s="369">
        <v>719002</v>
      </c>
      <c r="B471" s="370">
        <v>-47.738</v>
      </c>
      <c r="C471" s="157"/>
      <c r="D471" s="369">
        <v>719002</v>
      </c>
      <c r="E471" s="370">
        <v>-47.738</v>
      </c>
      <c r="F471" s="157"/>
      <c r="G471" s="369">
        <v>719002</v>
      </c>
      <c r="H471" s="370">
        <v>-47.738</v>
      </c>
      <c r="I471" s="157"/>
      <c r="J471" s="369">
        <v>719002</v>
      </c>
      <c r="K471" s="370">
        <v>-47.738</v>
      </c>
      <c r="L471" s="157"/>
      <c r="M471" s="371">
        <f t="shared" si="46"/>
        <v>719002</v>
      </c>
      <c r="N471" s="372">
        <f t="shared" si="47"/>
        <v>-47.738</v>
      </c>
      <c r="O471" s="373"/>
      <c r="P471" s="373"/>
      <c r="Q471" s="373" t="s">
        <v>698</v>
      </c>
      <c r="R471" s="368">
        <f>IF(Q471="ekrk",INDEX(indexy_SDcast!$A:$C,MATCH($M471,indexy_SDcast!$A:$A,0),2),"")</f>
        <v>37</v>
      </c>
      <c r="S471" s="236"/>
      <c r="T471" s="366">
        <f t="shared" si="48"/>
        <v>719002</v>
      </c>
      <c r="U471" s="367">
        <f>N471</f>
        <v>-47.738</v>
      </c>
      <c r="V471" s="367">
        <f>IF($Q471="ekrk",IF($R471="data",IFERROR(INDEX(data!$A:$ALL,MATCH($M471,data!$A:$A,0),MATCH(V$2,data!$1:$1,0)),"#data"),IFERROR(U471*INDEX(indexy_SDcast!$A:$ALI,MATCH($R471,indexy_SDcast!$K:$K,0),MATCH(V$2,indexy_SDcast!$2:$2,0)),"#ekrk")),"#popis")</f>
        <v>-49.287876490895243</v>
      </c>
      <c r="W471" s="367">
        <f>IF($Q471="ekrk",IF($R471="data",IFERROR(INDEX(data!$A:$ALL,MATCH($M471,data!$A:$A,0),MATCH(W$2,data!$1:$1,0)),"#data"),IFERROR(V471*INDEX(indexy_SDcast!$A:$ALI,MATCH($R471,indexy_SDcast!$K:$K,0),MATCH(W$2,indexy_SDcast!$2:$2,0)),"#ekrk")),"#popis")</f>
        <v>-51.467767542671979</v>
      </c>
      <c r="X471" s="367">
        <f>IF($Q471="ekrk",IF($R471="data",IFERROR(INDEX(data!$A:$ALL,MATCH($M471,data!$A:$A,0),MATCH(X$2,data!$1:$1,0)),"#data"),IFERROR(W471*INDEX(indexy_SDcast!$A:$ALI,MATCH($R471,indexy_SDcast!$K:$K,0),MATCH(X$2,indexy_SDcast!$2:$2,0)),"#ekrk")),"#popis")</f>
        <v>-54.06346626808962</v>
      </c>
      <c r="Y471" s="368">
        <f>IF($Q471="ekrk",IF($R471="data",IFERROR(INDEX(data!$A:$ALL,MATCH($M471,data!$A:$A,0),MATCH(Y$2,data!$1:$1,0)),"#data"),IFERROR(X471*INDEX(indexy_SDcast!$A:$ALI,MATCH($R471,indexy_SDcast!$K:$K,0),MATCH(Y$2,indexy_SDcast!$2:$2,0)),"#ekrk")),"#popis")</f>
        <v>-57.041261440204593</v>
      </c>
    </row>
    <row r="472" spans="1:44" x14ac:dyDescent="0.25">
      <c r="A472" s="157"/>
      <c r="B472" s="157"/>
      <c r="C472" s="157"/>
      <c r="D472" s="157"/>
      <c r="E472" s="157"/>
      <c r="F472" s="157"/>
      <c r="G472" s="157"/>
      <c r="H472" s="157"/>
      <c r="I472" s="157"/>
      <c r="J472" s="160"/>
      <c r="K472" s="160"/>
      <c r="L472" s="157"/>
      <c r="M472" s="160"/>
      <c r="N472" s="160"/>
      <c r="O472" s="236"/>
      <c r="P472" s="236"/>
      <c r="Q472" s="236"/>
      <c r="R472" s="238"/>
      <c r="S472" s="236"/>
      <c r="T472" s="236"/>
      <c r="U472" s="238"/>
      <c r="V472" s="238"/>
      <c r="W472" s="238"/>
      <c r="X472" s="238"/>
      <c r="Y472" s="238"/>
    </row>
    <row r="473" spans="1:44" x14ac:dyDescent="0.25">
      <c r="A473" s="331" t="s">
        <v>1104</v>
      </c>
      <c r="B473" s="341" t="s">
        <v>1201</v>
      </c>
      <c r="C473" s="157"/>
      <c r="D473" s="331" t="s">
        <v>1104</v>
      </c>
      <c r="E473" s="341" t="s">
        <v>1201</v>
      </c>
      <c r="F473" s="157"/>
      <c r="G473" s="331" t="s">
        <v>1104</v>
      </c>
      <c r="H473" s="341" t="s">
        <v>1201</v>
      </c>
      <c r="I473" s="157"/>
      <c r="J473" s="331" t="s">
        <v>1104</v>
      </c>
      <c r="K473" s="341" t="s">
        <v>1201</v>
      </c>
      <c r="L473" s="157"/>
      <c r="M473" s="331" t="str">
        <f t="shared" si="46"/>
        <v>Časť 4</v>
      </c>
      <c r="N473" s="459" t="str">
        <f t="shared" si="47"/>
        <v>Zdravotníctvo</v>
      </c>
      <c r="O473" s="459"/>
      <c r="P473" s="459"/>
      <c r="Q473" s="459"/>
      <c r="R473" s="460"/>
      <c r="S473" s="236"/>
      <c r="T473" s="331" t="str">
        <f t="shared" ref="T473:T477" si="50">M473</f>
        <v>Časť 4</v>
      </c>
      <c r="U473" s="459" t="str">
        <f>N473</f>
        <v>Zdravotníctvo</v>
      </c>
      <c r="V473" s="459"/>
      <c r="W473" s="459"/>
      <c r="X473" s="459"/>
      <c r="Y473" s="460"/>
    </row>
    <row r="474" spans="1:44" s="18" customFormat="1" x14ac:dyDescent="0.25">
      <c r="A474" s="345" t="s">
        <v>729</v>
      </c>
      <c r="B474" s="346">
        <v>-3664452.9737400003</v>
      </c>
      <c r="C474" s="194"/>
      <c r="D474" s="333" t="s">
        <v>729</v>
      </c>
      <c r="E474" s="347">
        <f>E475</f>
        <v>-3664452.9737399998</v>
      </c>
      <c r="F474" s="194"/>
      <c r="G474" s="333" t="s">
        <v>729</v>
      </c>
      <c r="H474" s="347">
        <f>H475</f>
        <v>-3664452.9737399998</v>
      </c>
      <c r="I474" s="194"/>
      <c r="J474" s="333" t="s">
        <v>729</v>
      </c>
      <c r="K474" s="347">
        <f>K475</f>
        <v>-3664452.9737399998</v>
      </c>
      <c r="L474" s="164"/>
      <c r="M474" s="358" t="str">
        <f t="shared" si="46"/>
        <v>D63121PAY</v>
      </c>
      <c r="N474" s="239">
        <f t="shared" si="47"/>
        <v>-3664452.9737399998</v>
      </c>
      <c r="O474" s="243"/>
      <c r="P474" s="243">
        <f>MATCH(Q474,Q475:Q$1550,0)</f>
        <v>2</v>
      </c>
      <c r="Q474" s="243" t="s">
        <v>697</v>
      </c>
      <c r="R474" s="359" t="str">
        <f>IF(Q474="ekrk",INDEX(indexy_SDcast!$A:$C,MATCH($M474,indexy_SDcast!$A:$A,0),2),"")</f>
        <v/>
      </c>
      <c r="S474" s="240"/>
      <c r="T474" s="363" t="str">
        <f t="shared" si="50"/>
        <v>D63121PAY</v>
      </c>
      <c r="U474" s="244">
        <f>SUM(U475:U475)</f>
        <v>-3664452.9737399998</v>
      </c>
      <c r="V474" s="244">
        <f>SUM(V475:V475)</f>
        <v>-3802025.7384712952</v>
      </c>
      <c r="W474" s="244">
        <f>SUM(W475:W475)</f>
        <v>-4004916.6728890534</v>
      </c>
      <c r="X474" s="244">
        <f>SUM(X475:X475)</f>
        <v>-4245945.6246929131</v>
      </c>
      <c r="Y474" s="359">
        <f>SUM(Y475:Y475)</f>
        <v>-4520163.7535000034</v>
      </c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8"/>
      <c r="AN474" s="58"/>
      <c r="AO474" s="58"/>
      <c r="AP474" s="58"/>
      <c r="AQ474" s="58"/>
      <c r="AR474" s="58"/>
    </row>
    <row r="475" spans="1:44" x14ac:dyDescent="0.25">
      <c r="A475" s="330">
        <v>223000</v>
      </c>
      <c r="B475" s="329">
        <v>-16746.28357</v>
      </c>
      <c r="C475" s="157"/>
      <c r="D475" s="348">
        <v>637034</v>
      </c>
      <c r="E475" s="349">
        <f>-3664452.97374</f>
        <v>-3664452.9737399998</v>
      </c>
      <c r="F475" s="157"/>
      <c r="G475" s="348">
        <v>637034</v>
      </c>
      <c r="H475" s="349">
        <f>-3664452.97374</f>
        <v>-3664452.9737399998</v>
      </c>
      <c r="I475" s="157"/>
      <c r="J475" s="330">
        <v>637034</v>
      </c>
      <c r="K475" s="329">
        <f>-3664452.97374</f>
        <v>-3664452.9737399998</v>
      </c>
      <c r="L475" s="157"/>
      <c r="M475" s="360">
        <f t="shared" si="46"/>
        <v>637034</v>
      </c>
      <c r="N475" s="237">
        <f t="shared" si="47"/>
        <v>-3664452.9737399998</v>
      </c>
      <c r="O475" s="361"/>
      <c r="P475" s="361"/>
      <c r="Q475" s="361" t="s">
        <v>698</v>
      </c>
      <c r="R475" s="362" t="str">
        <f>IF(Q475="ekrk",INDEX(indexy_SDcast!$A:$C,MATCH($M475,indexy_SDcast!$A:$A,0),2),"")</f>
        <v>data</v>
      </c>
      <c r="S475" s="236"/>
      <c r="T475" s="364">
        <f t="shared" si="50"/>
        <v>637034</v>
      </c>
      <c r="U475" s="365">
        <f>N475</f>
        <v>-3664452.9737399998</v>
      </c>
      <c r="V475" s="365">
        <v>-3802025.7384712952</v>
      </c>
      <c r="W475" s="365">
        <v>-4004916.6728890534</v>
      </c>
      <c r="X475" s="365">
        <v>-4245945.6246929131</v>
      </c>
      <c r="Y475" s="362">
        <v>-4520163.7535000034</v>
      </c>
      <c r="AA475" s="52"/>
    </row>
    <row r="476" spans="1:44" x14ac:dyDescent="0.25">
      <c r="A476" s="330">
        <v>637000</v>
      </c>
      <c r="B476" s="329">
        <v>-1102649.8536899998</v>
      </c>
      <c r="C476" s="157"/>
      <c r="D476" s="350" t="s">
        <v>743</v>
      </c>
      <c r="E476" s="351">
        <f>E477</f>
        <v>-18490</v>
      </c>
      <c r="F476" s="164"/>
      <c r="G476" s="350" t="s">
        <v>743</v>
      </c>
      <c r="H476" s="351">
        <f>H477</f>
        <v>-18490</v>
      </c>
      <c r="I476" s="164"/>
      <c r="J476" s="333" t="s">
        <v>743</v>
      </c>
      <c r="K476" s="334">
        <f>K477</f>
        <v>-112270</v>
      </c>
      <c r="L476" s="164"/>
      <c r="M476" s="358" t="str">
        <f t="shared" si="46"/>
        <v>D99PAY</v>
      </c>
      <c r="N476" s="239">
        <f t="shared" si="47"/>
        <v>-112270</v>
      </c>
      <c r="O476" s="361"/>
      <c r="P476" s="361">
        <f>MATCH(Q476,Q477:Q$1550,0)</f>
        <v>4</v>
      </c>
      <c r="Q476" s="361" t="s">
        <v>697</v>
      </c>
      <c r="R476" s="362" t="str">
        <f>IF(Q476="ekrk",INDEX(indexy_SDcast!$A:$C,MATCH($M476,indexy_SDcast!$A:$A,0),2),"")</f>
        <v/>
      </c>
      <c r="S476" s="236"/>
      <c r="T476" s="363" t="str">
        <f t="shared" si="50"/>
        <v>D99PAY</v>
      </c>
      <c r="U476" s="244">
        <f>SUM(U477:U477)</f>
        <v>-112270</v>
      </c>
      <c r="V476" s="244">
        <f>SUM(V477:V477)</f>
        <v>-116484.89766878325</v>
      </c>
      <c r="W476" s="244">
        <f>SUM(W477:W477)</f>
        <v>-122700.98650122734</v>
      </c>
      <c r="X476" s="244">
        <f>SUM(X477:X477)</f>
        <v>-130085.53219275003</v>
      </c>
      <c r="Y476" s="359">
        <f>SUM(Y477:Y477)</f>
        <v>-138486.91421123748</v>
      </c>
    </row>
    <row r="477" spans="1:44" x14ac:dyDescent="0.25">
      <c r="A477" s="369">
        <v>637034</v>
      </c>
      <c r="B477" s="370">
        <v>-2545056.8364800005</v>
      </c>
      <c r="C477" s="157"/>
      <c r="D477" s="376">
        <v>637034</v>
      </c>
      <c r="E477" s="377">
        <v>-18490</v>
      </c>
      <c r="F477" s="157"/>
      <c r="G477" s="376">
        <v>637034</v>
      </c>
      <c r="H477" s="377">
        <v>-18490</v>
      </c>
      <c r="I477" s="157"/>
      <c r="J477" s="374">
        <v>637034</v>
      </c>
      <c r="K477" s="375">
        <f>-18490-93780</f>
        <v>-112270</v>
      </c>
      <c r="L477" s="157"/>
      <c r="M477" s="371">
        <f t="shared" si="46"/>
        <v>637034</v>
      </c>
      <c r="N477" s="372">
        <f t="shared" si="47"/>
        <v>-112270</v>
      </c>
      <c r="O477" s="373"/>
      <c r="P477" s="373"/>
      <c r="Q477" s="373" t="s">
        <v>698</v>
      </c>
      <c r="R477" s="368" t="s">
        <v>662</v>
      </c>
      <c r="S477" s="236"/>
      <c r="T477" s="366">
        <f t="shared" si="50"/>
        <v>637034</v>
      </c>
      <c r="U477" s="367">
        <f>N477</f>
        <v>-112270</v>
      </c>
      <c r="V477" s="367">
        <v>-116484.89766878325</v>
      </c>
      <c r="W477" s="367">
        <v>-122700.98650122734</v>
      </c>
      <c r="X477" s="367">
        <v>-130085.53219275003</v>
      </c>
      <c r="Y477" s="368">
        <v>-138486.91421123748</v>
      </c>
      <c r="AA477" s="52"/>
    </row>
    <row r="478" spans="1:44" x14ac:dyDescent="0.25">
      <c r="A478" s="157"/>
      <c r="B478" s="157"/>
      <c r="C478" s="157"/>
      <c r="D478" s="157"/>
      <c r="E478" s="157"/>
      <c r="F478" s="157"/>
      <c r="G478" s="157"/>
      <c r="H478" s="157"/>
      <c r="I478" s="157"/>
      <c r="J478" s="160"/>
      <c r="K478" s="160"/>
      <c r="L478" s="157"/>
      <c r="M478" s="160"/>
      <c r="N478" s="160"/>
      <c r="O478" s="236"/>
      <c r="P478" s="236"/>
      <c r="Q478" s="236"/>
      <c r="R478" s="238"/>
      <c r="S478" s="236"/>
      <c r="T478" s="236"/>
      <c r="U478" s="238"/>
      <c r="V478" s="238"/>
      <c r="W478" s="238"/>
      <c r="X478" s="238"/>
      <c r="Y478" s="238"/>
    </row>
    <row r="479" spans="1:44" x14ac:dyDescent="0.25">
      <c r="A479" s="331" t="s">
        <v>1105</v>
      </c>
      <c r="B479" s="341" t="s">
        <v>976</v>
      </c>
      <c r="C479" s="157"/>
      <c r="D479" s="331" t="s">
        <v>1105</v>
      </c>
      <c r="E479" s="341" t="s">
        <v>976</v>
      </c>
      <c r="F479" s="157"/>
      <c r="G479" s="331" t="s">
        <v>1105</v>
      </c>
      <c r="H479" s="341" t="s">
        <v>976</v>
      </c>
      <c r="I479" s="157"/>
      <c r="J479" s="331" t="s">
        <v>1105</v>
      </c>
      <c r="K479" s="341" t="s">
        <v>976</v>
      </c>
      <c r="L479" s="157"/>
      <c r="M479" s="331" t="str">
        <f t="shared" si="46"/>
        <v>Časť 5</v>
      </c>
      <c r="N479" s="459" t="str">
        <f t="shared" si="47"/>
        <v>Spolufinancovanie</v>
      </c>
      <c r="O479" s="459"/>
      <c r="P479" s="459"/>
      <c r="Q479" s="459"/>
      <c r="R479" s="460"/>
      <c r="S479" s="236"/>
      <c r="T479" s="331" t="str">
        <f t="shared" ref="T479:T537" si="51">M479</f>
        <v>Časť 5</v>
      </c>
      <c r="U479" s="459" t="str">
        <f>N479</f>
        <v>Spolufinancovanie</v>
      </c>
      <c r="V479" s="459"/>
      <c r="W479" s="459"/>
      <c r="X479" s="459"/>
      <c r="Y479" s="460"/>
    </row>
    <row r="480" spans="1:44" s="18" customFormat="1" x14ac:dyDescent="0.25">
      <c r="A480" s="333" t="s">
        <v>696</v>
      </c>
      <c r="B480" s="334">
        <v>-9141.937579999998</v>
      </c>
      <c r="C480" s="164"/>
      <c r="D480" s="333" t="s">
        <v>696</v>
      </c>
      <c r="E480" s="334">
        <v>-9141.937579999998</v>
      </c>
      <c r="F480" s="164"/>
      <c r="G480" s="333" t="s">
        <v>696</v>
      </c>
      <c r="H480" s="334">
        <v>-9141.937579999998</v>
      </c>
      <c r="I480" s="164"/>
      <c r="J480" s="333" t="s">
        <v>696</v>
      </c>
      <c r="K480" s="334">
        <v>-9141.937579999998</v>
      </c>
      <c r="L480" s="164"/>
      <c r="M480" s="358" t="str">
        <f t="shared" si="46"/>
        <v>D11PAY</v>
      </c>
      <c r="N480" s="239">
        <f t="shared" si="47"/>
        <v>-9141.937579999998</v>
      </c>
      <c r="O480" s="243"/>
      <c r="P480" s="243">
        <f>MATCH(Q480,Q481:Q$1550,0)</f>
        <v>16</v>
      </c>
      <c r="Q480" s="243" t="s">
        <v>697</v>
      </c>
      <c r="R480" s="359" t="str">
        <f>IF(Q480="ekrk",INDEX(indexy_SDcast!$A:$C,MATCH($M480,indexy_SDcast!$A:$A,0),2),"")</f>
        <v/>
      </c>
      <c r="S480" s="240"/>
      <c r="T480" s="363" t="str">
        <f t="shared" si="51"/>
        <v>D11PAY</v>
      </c>
      <c r="U480" s="244">
        <f>SUM(U481:U495)</f>
        <v>-9141.937579999998</v>
      </c>
      <c r="V480" s="244">
        <f>SUM(V481:V495)</f>
        <v>-11703.802342027857</v>
      </c>
      <c r="W480" s="244">
        <f>SUM(W481:W495)</f>
        <v>-11835.368361752599</v>
      </c>
      <c r="X480" s="244">
        <f>SUM(X481:X495)</f>
        <v>-7602.1646949013784</v>
      </c>
      <c r="Y480" s="359">
        <f>SUM(Y481:Y495)</f>
        <v>-10284.573033607623</v>
      </c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8"/>
      <c r="AN480" s="58"/>
      <c r="AO480" s="58"/>
      <c r="AP480" s="58"/>
      <c r="AQ480" s="58"/>
      <c r="AR480" s="58"/>
    </row>
    <row r="481" spans="1:44" x14ac:dyDescent="0.25">
      <c r="A481" s="330">
        <v>611000</v>
      </c>
      <c r="B481" s="329">
        <v>-6999.2322899999999</v>
      </c>
      <c r="C481" s="157"/>
      <c r="D481" s="330">
        <v>611000</v>
      </c>
      <c r="E481" s="329">
        <v>-6999.2322899999999</v>
      </c>
      <c r="F481" s="157"/>
      <c r="G481" s="330">
        <v>611000</v>
      </c>
      <c r="H481" s="329">
        <v>-6999.2322899999999</v>
      </c>
      <c r="I481" s="157"/>
      <c r="J481" s="330">
        <v>611000</v>
      </c>
      <c r="K481" s="329">
        <v>-6999.2322899999999</v>
      </c>
      <c r="L481" s="157"/>
      <c r="M481" s="360">
        <f t="shared" si="46"/>
        <v>611000</v>
      </c>
      <c r="N481" s="237">
        <f t="shared" si="47"/>
        <v>-6999.2322899999999</v>
      </c>
      <c r="O481" s="361"/>
      <c r="P481" s="361"/>
      <c r="Q481" s="361" t="s">
        <v>698</v>
      </c>
      <c r="R481" s="362">
        <v>35</v>
      </c>
      <c r="S481" s="236"/>
      <c r="T481" s="364">
        <f t="shared" si="51"/>
        <v>611000</v>
      </c>
      <c r="U481" s="365">
        <f t="shared" ref="U481:U495" si="52">N481</f>
        <v>-6999.2322899999999</v>
      </c>
      <c r="V481" s="365">
        <f>IF($Q481="ekrk",IF($R481="data",IFERROR(INDEX(data!$A:$ALL,MATCH($M481,data!$A:$A,0),MATCH(V$2,data!$1:$1,0)),"#data"),IFERROR(U481*INDEX(indexy_SDcast!$A:$ALI,MATCH($R481,indexy_SDcast!$K:$K,0),MATCH(V$2,indexy_SDcast!$2:$2,0)),"#ekrk")),"#popis")</f>
        <v>-8960.6421561345851</v>
      </c>
      <c r="W481" s="365">
        <f>IF($Q481="ekrk",IF($R481="data",IFERROR(INDEX(data!$A:$ALL,MATCH($M481,data!$A:$A,0),MATCH(W$2,data!$1:$1,0)),"#data"),IFERROR(V481*INDEX(indexy_SDcast!$A:$ALI,MATCH($R481,indexy_SDcast!$K:$K,0),MATCH(W$2,indexy_SDcast!$2:$2,0)),"#ekrk")),"#popis")</f>
        <v>-9061.3714736852544</v>
      </c>
      <c r="X481" s="365">
        <f>IF($Q481="ekrk",IF($R481="data",IFERROR(INDEX(data!$A:$ALL,MATCH($M481,data!$A:$A,0),MATCH(X$2,data!$1:$1,0)),"#data"),IFERROR(W481*INDEX(indexy_SDcast!$A:$ALI,MATCH($R481,indexy_SDcast!$K:$K,0),MATCH(X$2,indexy_SDcast!$2:$2,0)),"#ekrk")),"#popis")</f>
        <v>-5820.3543987063331</v>
      </c>
      <c r="Y481" s="362">
        <f>IF($Q481="ekrk",IF($R481="data",IFERROR(INDEX(data!$A:$ALL,MATCH($M481,data!$A:$A,0),MATCH(Y$2,data!$1:$1,0)),"#data"),IFERROR(X481*INDEX(indexy_SDcast!$A:$ALI,MATCH($R481,indexy_SDcast!$K:$K,0),MATCH(Y$2,indexy_SDcast!$2:$2,0)),"#ekrk")),"#popis")</f>
        <v>-7874.0546012008244</v>
      </c>
    </row>
    <row r="482" spans="1:44" x14ac:dyDescent="0.25">
      <c r="A482" s="330">
        <v>612001</v>
      </c>
      <c r="B482" s="329">
        <v>-1023.4756899999995</v>
      </c>
      <c r="C482" s="157"/>
      <c r="D482" s="330">
        <v>612001</v>
      </c>
      <c r="E482" s="329">
        <v>-1023.4756899999995</v>
      </c>
      <c r="F482" s="157"/>
      <c r="G482" s="330">
        <v>612001</v>
      </c>
      <c r="H482" s="329">
        <v>-1023.4756899999995</v>
      </c>
      <c r="I482" s="157"/>
      <c r="J482" s="330">
        <v>612001</v>
      </c>
      <c r="K482" s="329">
        <v>-1023.4756899999995</v>
      </c>
      <c r="L482" s="157"/>
      <c r="M482" s="360">
        <f t="shared" ref="M482:M545" si="53">J482</f>
        <v>612001</v>
      </c>
      <c r="N482" s="237">
        <f t="shared" ref="N482:N545" si="54">K482</f>
        <v>-1023.4756899999995</v>
      </c>
      <c r="O482" s="361"/>
      <c r="P482" s="361"/>
      <c r="Q482" s="361" t="s">
        <v>698</v>
      </c>
      <c r="R482" s="362">
        <v>35</v>
      </c>
      <c r="S482" s="236"/>
      <c r="T482" s="364">
        <f t="shared" si="51"/>
        <v>612001</v>
      </c>
      <c r="U482" s="365">
        <f t="shared" si="52"/>
        <v>-1023.4756899999995</v>
      </c>
      <c r="V482" s="365">
        <f>IF($Q482="ekrk",IF($R482="data",IFERROR(INDEX(data!$A:$ALL,MATCH($M482,data!$A:$A,0),MATCH(V$2,data!$1:$1,0)),"#data"),IFERROR(U482*INDEX(indexy_SDcast!$A:$ALI,MATCH($R482,indexy_SDcast!$K:$K,0),MATCH(V$2,indexy_SDcast!$2:$2,0)),"#ekrk")),"#popis")</f>
        <v>-1310.2864762319425</v>
      </c>
      <c r="W482" s="365">
        <f>IF($Q482="ekrk",IF($R482="data",IFERROR(INDEX(data!$A:$ALL,MATCH($M482,data!$A:$A,0),MATCH(W$2,data!$1:$1,0)),"#data"),IFERROR(V482*INDEX(indexy_SDcast!$A:$ALI,MATCH($R482,indexy_SDcast!$K:$K,0),MATCH(W$2,indexy_SDcast!$2:$2,0)),"#ekrk")),"#popis")</f>
        <v>-1325.0158070373645</v>
      </c>
      <c r="X482" s="365">
        <f>IF($Q482="ekrk",IF($R482="data",IFERROR(INDEX(data!$A:$ALL,MATCH($M482,data!$A:$A,0),MATCH(X$2,data!$1:$1,0)),"#data"),IFERROR(W482*INDEX(indexy_SDcast!$A:$ALI,MATCH($R482,indexy_SDcast!$K:$K,0),MATCH(X$2,indexy_SDcast!$2:$2,0)),"#ekrk")),"#popis")</f>
        <v>-851.09208945264174</v>
      </c>
      <c r="Y482" s="362">
        <f>IF($Q482="ekrk",IF($R482="data",IFERROR(INDEX(data!$A:$ALL,MATCH($M482,data!$A:$A,0),MATCH(Y$2,data!$1:$1,0)),"#data"),IFERROR(X482*INDEX(indexy_SDcast!$A:$ALI,MATCH($R482,indexy_SDcast!$K:$K,0),MATCH(Y$2,indexy_SDcast!$2:$2,0)),"#ekrk")),"#popis")</f>
        <v>-1151.3982008534949</v>
      </c>
    </row>
    <row r="483" spans="1:44" x14ac:dyDescent="0.25">
      <c r="A483" s="330">
        <v>612002</v>
      </c>
      <c r="B483" s="329">
        <v>-83.556169999999923</v>
      </c>
      <c r="C483" s="157"/>
      <c r="D483" s="330">
        <v>612002</v>
      </c>
      <c r="E483" s="329">
        <v>-83.556169999999923</v>
      </c>
      <c r="F483" s="157"/>
      <c r="G483" s="330">
        <v>612002</v>
      </c>
      <c r="H483" s="329">
        <v>-83.556169999999923</v>
      </c>
      <c r="I483" s="157"/>
      <c r="J483" s="330">
        <v>612002</v>
      </c>
      <c r="K483" s="329">
        <v>-83.556169999999923</v>
      </c>
      <c r="L483" s="157"/>
      <c r="M483" s="360">
        <f t="shared" si="53"/>
        <v>612002</v>
      </c>
      <c r="N483" s="237">
        <f t="shared" si="54"/>
        <v>-83.556169999999923</v>
      </c>
      <c r="O483" s="361"/>
      <c r="P483" s="361"/>
      <c r="Q483" s="361" t="s">
        <v>698</v>
      </c>
      <c r="R483" s="362">
        <v>35</v>
      </c>
      <c r="S483" s="236"/>
      <c r="T483" s="364">
        <f t="shared" si="51"/>
        <v>612002</v>
      </c>
      <c r="U483" s="365">
        <f t="shared" si="52"/>
        <v>-83.556169999999923</v>
      </c>
      <c r="V483" s="365">
        <f>IF($Q483="ekrk",IF($R483="data",IFERROR(INDEX(data!$A:$ALL,MATCH($M483,data!$A:$A,0),MATCH(V$2,data!$1:$1,0)),"#data"),IFERROR(U483*INDEX(indexy_SDcast!$A:$ALI,MATCH($R483,indexy_SDcast!$K:$K,0),MATCH(V$2,indexy_SDcast!$2:$2,0)),"#ekrk")),"#popis")</f>
        <v>-106.97129460567558</v>
      </c>
      <c r="W483" s="365">
        <f>IF($Q483="ekrk",IF($R483="data",IFERROR(INDEX(data!$A:$ALL,MATCH($M483,data!$A:$A,0),MATCH(W$2,data!$1:$1,0)),"#data"),IFERROR(V483*INDEX(indexy_SDcast!$A:$ALI,MATCH($R483,indexy_SDcast!$K:$K,0),MATCH(W$2,indexy_SDcast!$2:$2,0)),"#ekrk")),"#popis")</f>
        <v>-108.17379162713789</v>
      </c>
      <c r="X483" s="365">
        <f>IF($Q483="ekrk",IF($R483="data",IFERROR(INDEX(data!$A:$ALL,MATCH($M483,data!$A:$A,0),MATCH(X$2,data!$1:$1,0)),"#data"),IFERROR(W483*INDEX(indexy_SDcast!$A:$ALI,MATCH($R483,indexy_SDcast!$K:$K,0),MATCH(X$2,indexy_SDcast!$2:$2,0)),"#ekrk")),"#popis")</f>
        <v>-69.482837752560698</v>
      </c>
      <c r="Y483" s="362">
        <f>IF($Q483="ekrk",IF($R483="data",IFERROR(INDEX(data!$A:$ALL,MATCH($M483,data!$A:$A,0),MATCH(Y$2,data!$1:$1,0)),"#data"),IFERROR(X483*INDEX(indexy_SDcast!$A:$ALI,MATCH($R483,indexy_SDcast!$K:$K,0),MATCH(Y$2,indexy_SDcast!$2:$2,0)),"#ekrk")),"#popis")</f>
        <v>-93.999715624128527</v>
      </c>
    </row>
    <row r="484" spans="1:44" x14ac:dyDescent="0.25">
      <c r="A484" s="330">
        <v>613000</v>
      </c>
      <c r="B484" s="329">
        <v>-7.3319999999999982E-2</v>
      </c>
      <c r="C484" s="157"/>
      <c r="D484" s="330">
        <v>613000</v>
      </c>
      <c r="E484" s="329">
        <v>-7.3319999999999982E-2</v>
      </c>
      <c r="F484" s="157"/>
      <c r="G484" s="330">
        <v>613000</v>
      </c>
      <c r="H484" s="329">
        <v>-7.3319999999999982E-2</v>
      </c>
      <c r="I484" s="157"/>
      <c r="J484" s="330">
        <v>613000</v>
      </c>
      <c r="K484" s="329">
        <v>-7.3319999999999982E-2</v>
      </c>
      <c r="L484" s="157"/>
      <c r="M484" s="360">
        <f t="shared" si="53"/>
        <v>613000</v>
      </c>
      <c r="N484" s="237">
        <f t="shared" si="54"/>
        <v>-7.3319999999999982E-2</v>
      </c>
      <c r="O484" s="361"/>
      <c r="P484" s="361"/>
      <c r="Q484" s="361" t="s">
        <v>698</v>
      </c>
      <c r="R484" s="362">
        <v>35</v>
      </c>
      <c r="S484" s="236"/>
      <c r="T484" s="364">
        <f t="shared" si="51"/>
        <v>613000</v>
      </c>
      <c r="U484" s="365">
        <f t="shared" si="52"/>
        <v>-7.3319999999999982E-2</v>
      </c>
      <c r="V484" s="365">
        <f>IF($Q484="ekrk",IF($R484="data",IFERROR(INDEX(data!$A:$ALL,MATCH($M484,data!$A:$A,0),MATCH(V$2,data!$1:$1,0)),"#data"),IFERROR(U484*INDEX(indexy_SDcast!$A:$ALI,MATCH($R484,indexy_SDcast!$K:$K,0),MATCH(V$2,indexy_SDcast!$2:$2,0)),"#ekrk")),"#popis")</f>
        <v>-9.3866620747314514E-2</v>
      </c>
      <c r="W484" s="365">
        <f>IF($Q484="ekrk",IF($R484="data",IFERROR(INDEX(data!$A:$ALL,MATCH($M484,data!$A:$A,0),MATCH(W$2,data!$1:$1,0)),"#data"),IFERROR(V484*INDEX(indexy_SDcast!$A:$ALI,MATCH($R484,indexy_SDcast!$K:$K,0),MATCH(W$2,indexy_SDcast!$2:$2,0)),"#ekrk")),"#popis")</f>
        <v>-9.492180412412099E-2</v>
      </c>
      <c r="X484" s="365">
        <f>IF($Q484="ekrk",IF($R484="data",IFERROR(INDEX(data!$A:$ALL,MATCH($M484,data!$A:$A,0),MATCH(X$2,data!$1:$1,0)),"#data"),IFERROR(W484*INDEX(indexy_SDcast!$A:$ALI,MATCH($R484,indexy_SDcast!$K:$K,0),MATCH(X$2,indexy_SDcast!$2:$2,0)),"#ekrk")),"#popis")</f>
        <v>-6.0970741765901344E-2</v>
      </c>
      <c r="Y484" s="362">
        <f>IF($Q484="ekrk",IF($R484="data",IFERROR(INDEX(data!$A:$ALL,MATCH($M484,data!$A:$A,0),MATCH(Y$2,data!$1:$1,0)),"#data"),IFERROR(X484*INDEX(indexy_SDcast!$A:$ALI,MATCH($R484,indexy_SDcast!$K:$K,0),MATCH(Y$2,indexy_SDcast!$2:$2,0)),"#ekrk")),"#popis")</f>
        <v>-8.2484143894593395E-2</v>
      </c>
    </row>
    <row r="485" spans="1:44" x14ac:dyDescent="0.25">
      <c r="A485" s="330">
        <v>614000</v>
      </c>
      <c r="B485" s="329">
        <v>-505.74987999999973</v>
      </c>
      <c r="C485" s="157"/>
      <c r="D485" s="330">
        <v>614000</v>
      </c>
      <c r="E485" s="329">
        <v>-505.74987999999973</v>
      </c>
      <c r="F485" s="157"/>
      <c r="G485" s="330">
        <v>614000</v>
      </c>
      <c r="H485" s="329">
        <v>-505.74987999999973</v>
      </c>
      <c r="I485" s="157"/>
      <c r="J485" s="330">
        <v>614000</v>
      </c>
      <c r="K485" s="329">
        <v>-505.74987999999973</v>
      </c>
      <c r="L485" s="157"/>
      <c r="M485" s="360">
        <f t="shared" si="53"/>
        <v>614000</v>
      </c>
      <c r="N485" s="237">
        <f t="shared" si="54"/>
        <v>-505.74987999999973</v>
      </c>
      <c r="O485" s="361"/>
      <c r="P485" s="361"/>
      <c r="Q485" s="361" t="s">
        <v>698</v>
      </c>
      <c r="R485" s="362">
        <v>35</v>
      </c>
      <c r="S485" s="236"/>
      <c r="T485" s="364">
        <f t="shared" si="51"/>
        <v>614000</v>
      </c>
      <c r="U485" s="365">
        <f t="shared" si="52"/>
        <v>-505.74987999999973</v>
      </c>
      <c r="V485" s="365">
        <f>IF($Q485="ekrk",IF($R485="data",IFERROR(INDEX(data!$A:$ALL,MATCH($M485,data!$A:$A,0),MATCH(V$2,data!$1:$1,0)),"#data"),IFERROR(U485*INDEX(indexy_SDcast!$A:$ALI,MATCH($R485,indexy_SDcast!$K:$K,0),MATCH(V$2,indexy_SDcast!$2:$2,0)),"#ekrk")),"#popis")</f>
        <v>-647.47725284997011</v>
      </c>
      <c r="W485" s="365">
        <f>IF($Q485="ekrk",IF($R485="data",IFERROR(INDEX(data!$A:$ALL,MATCH($M485,data!$A:$A,0),MATCH(W$2,data!$1:$1,0)),"#data"),IFERROR(V485*INDEX(indexy_SDcast!$A:$ALI,MATCH($R485,indexy_SDcast!$K:$K,0),MATCH(W$2,indexy_SDcast!$2:$2,0)),"#ekrk")),"#popis")</f>
        <v>-654.75574256898085</v>
      </c>
      <c r="X485" s="365">
        <f>IF($Q485="ekrk",IF($R485="data",IFERROR(INDEX(data!$A:$ALL,MATCH($M485,data!$A:$A,0),MATCH(X$2,data!$1:$1,0)),"#data"),IFERROR(W485*INDEX(indexy_SDcast!$A:$ALI,MATCH($R485,indexy_SDcast!$K:$K,0),MATCH(X$2,indexy_SDcast!$2:$2,0)),"#ekrk")),"#popis")</f>
        <v>-420.56663027298936</v>
      </c>
      <c r="Y485" s="362">
        <f>IF($Q485="ekrk",IF($R485="data",IFERROR(INDEX(data!$A:$ALL,MATCH($M485,data!$A:$A,0),MATCH(Y$2,data!$1:$1,0)),"#data"),IFERROR(X485*INDEX(indexy_SDcast!$A:$ALI,MATCH($R485,indexy_SDcast!$K:$K,0),MATCH(Y$2,indexy_SDcast!$2:$2,0)),"#ekrk")),"#popis")</f>
        <v>-568.96270971894876</v>
      </c>
    </row>
    <row r="486" spans="1:44" x14ac:dyDescent="0.25">
      <c r="A486" s="330">
        <v>615000</v>
      </c>
      <c r="B486" s="329">
        <v>-0.26579000000000003</v>
      </c>
      <c r="C486" s="157"/>
      <c r="D486" s="330">
        <v>615000</v>
      </c>
      <c r="E486" s="329">
        <v>-0.26579000000000003</v>
      </c>
      <c r="F486" s="157"/>
      <c r="G486" s="330">
        <v>615000</v>
      </c>
      <c r="H486" s="329">
        <v>-0.26579000000000003</v>
      </c>
      <c r="I486" s="157"/>
      <c r="J486" s="330">
        <v>615000</v>
      </c>
      <c r="K486" s="329">
        <v>-0.26579000000000003</v>
      </c>
      <c r="L486" s="157"/>
      <c r="M486" s="360">
        <f t="shared" si="53"/>
        <v>615000</v>
      </c>
      <c r="N486" s="237">
        <f t="shared" si="54"/>
        <v>-0.26579000000000003</v>
      </c>
      <c r="O486" s="361"/>
      <c r="P486" s="361"/>
      <c r="Q486" s="361" t="s">
        <v>698</v>
      </c>
      <c r="R486" s="362">
        <v>35</v>
      </c>
      <c r="S486" s="236"/>
      <c r="T486" s="364">
        <f t="shared" si="51"/>
        <v>615000</v>
      </c>
      <c r="U486" s="365">
        <f t="shared" si="52"/>
        <v>-0.26579000000000003</v>
      </c>
      <c r="V486" s="365">
        <f>IF($Q486="ekrk",IF($R486="data",IFERROR(INDEX(data!$A:$ALL,MATCH($M486,data!$A:$A,0),MATCH(V$2,data!$1:$1,0)),"#data"),IFERROR(U486*INDEX(indexy_SDcast!$A:$ALI,MATCH($R486,indexy_SDcast!$K:$K,0),MATCH(V$2,indexy_SDcast!$2:$2,0)),"#ekrk")),"#popis")</f>
        <v>-0.34027290136973176</v>
      </c>
      <c r="W486" s="365">
        <f>IF($Q486="ekrk",IF($R486="data",IFERROR(INDEX(data!$A:$ALL,MATCH($M486,data!$A:$A,0),MATCH(W$2,data!$1:$1,0)),"#data"),IFERROR(V486*INDEX(indexy_SDcast!$A:$ALI,MATCH($R486,indexy_SDcast!$K:$K,0),MATCH(W$2,indexy_SDcast!$2:$2,0)),"#ekrk")),"#popis")</f>
        <v>-0.34409801306805954</v>
      </c>
      <c r="X486" s="365">
        <f>IF($Q486="ekrk",IF($R486="data",IFERROR(INDEX(data!$A:$ALL,MATCH($M486,data!$A:$A,0),MATCH(X$2,data!$1:$1,0)),"#data"),IFERROR(W486*INDEX(indexy_SDcast!$A:$ALI,MATCH($R486,indexy_SDcast!$K:$K,0),MATCH(X$2,indexy_SDcast!$2:$2,0)),"#ekrk")),"#popis")</f>
        <v>-0.22102309675339504</v>
      </c>
      <c r="Y486" s="362">
        <f>IF($Q486="ekrk",IF($R486="data",IFERROR(INDEX(data!$A:$ALL,MATCH($M486,data!$A:$A,0),MATCH(Y$2,data!$1:$1,0)),"#data"),IFERROR(X486*INDEX(indexy_SDcast!$A:$ALI,MATCH($R486,indexy_SDcast!$K:$K,0),MATCH(Y$2,indexy_SDcast!$2:$2,0)),"#ekrk")),"#popis")</f>
        <v>-0.2990106465595197</v>
      </c>
    </row>
    <row r="487" spans="1:44" x14ac:dyDescent="0.25">
      <c r="A487" s="330">
        <v>616000</v>
      </c>
      <c r="B487" s="329">
        <v>-12.484979999999997</v>
      </c>
      <c r="C487" s="157"/>
      <c r="D487" s="330">
        <v>616000</v>
      </c>
      <c r="E487" s="329">
        <v>-12.484979999999997</v>
      </c>
      <c r="F487" s="157"/>
      <c r="G487" s="330">
        <v>616000</v>
      </c>
      <c r="H487" s="329">
        <v>-12.484979999999997</v>
      </c>
      <c r="I487" s="157"/>
      <c r="J487" s="330">
        <v>616000</v>
      </c>
      <c r="K487" s="329">
        <v>-12.484979999999997</v>
      </c>
      <c r="L487" s="157"/>
      <c r="M487" s="360">
        <f t="shared" si="53"/>
        <v>616000</v>
      </c>
      <c r="N487" s="237">
        <f t="shared" si="54"/>
        <v>-12.484979999999997</v>
      </c>
      <c r="O487" s="361"/>
      <c r="P487" s="361"/>
      <c r="Q487" s="361" t="s">
        <v>698</v>
      </c>
      <c r="R487" s="362">
        <v>35</v>
      </c>
      <c r="S487" s="236"/>
      <c r="T487" s="364">
        <f t="shared" si="51"/>
        <v>616000</v>
      </c>
      <c r="U487" s="365">
        <f t="shared" si="52"/>
        <v>-12.484979999999997</v>
      </c>
      <c r="V487" s="365">
        <f>IF($Q487="ekrk",IF($R487="data",IFERROR(INDEX(data!$A:$ALL,MATCH($M487,data!$A:$A,0),MATCH(V$2,data!$1:$1,0)),"#data"),IFERROR(U487*INDEX(indexy_SDcast!$A:$ALI,MATCH($R487,indexy_SDcast!$K:$K,0),MATCH(V$2,indexy_SDcast!$2:$2,0)),"#ekrk")),"#popis")</f>
        <v>-15.983672704552738</v>
      </c>
      <c r="W487" s="365">
        <f>IF($Q487="ekrk",IF($R487="data",IFERROR(INDEX(data!$A:$ALL,MATCH($M487,data!$A:$A,0),MATCH(W$2,data!$1:$1,0)),"#data"),IFERROR(V487*INDEX(indexy_SDcast!$A:$ALI,MATCH($R487,indexy_SDcast!$K:$K,0),MATCH(W$2,indexy_SDcast!$2:$2,0)),"#ekrk")),"#popis")</f>
        <v>-16.163350055285981</v>
      </c>
      <c r="X487" s="365">
        <f>IF($Q487="ekrk",IF($R487="data",IFERROR(INDEX(data!$A:$ALL,MATCH($M487,data!$A:$A,0),MATCH(X$2,data!$1:$1,0)),"#data"),IFERROR(W487*INDEX(indexy_SDcast!$A:$ALI,MATCH($R487,indexy_SDcast!$K:$K,0),MATCH(X$2,indexy_SDcast!$2:$2,0)),"#ekrk")),"#popis")</f>
        <v>-10.382139819045868</v>
      </c>
      <c r="Y487" s="362">
        <f>IF($Q487="ekrk",IF($R487="data",IFERROR(INDEX(data!$A:$ALL,MATCH($M487,data!$A:$A,0),MATCH(Y$2,data!$1:$1,0)),"#data"),IFERROR(X487*INDEX(indexy_SDcast!$A:$ALI,MATCH($R487,indexy_SDcast!$K:$K,0),MATCH(Y$2,indexy_SDcast!$2:$2,0)),"#ekrk")),"#popis")</f>
        <v>-14.045456721782879</v>
      </c>
    </row>
    <row r="488" spans="1:44" x14ac:dyDescent="0.25">
      <c r="A488" s="330">
        <v>631001</v>
      </c>
      <c r="B488" s="329">
        <v>-12.943850000000003</v>
      </c>
      <c r="C488" s="157"/>
      <c r="D488" s="330">
        <v>631001</v>
      </c>
      <c r="E488" s="329">
        <v>-12.943850000000003</v>
      </c>
      <c r="F488" s="157"/>
      <c r="G488" s="330">
        <v>631001</v>
      </c>
      <c r="H488" s="329">
        <v>-12.943850000000003</v>
      </c>
      <c r="I488" s="157"/>
      <c r="J488" s="330">
        <v>631001</v>
      </c>
      <c r="K488" s="329">
        <v>-12.943850000000003</v>
      </c>
      <c r="L488" s="157"/>
      <c r="M488" s="360">
        <f t="shared" si="53"/>
        <v>631001</v>
      </c>
      <c r="N488" s="237">
        <f t="shared" si="54"/>
        <v>-12.943850000000003</v>
      </c>
      <c r="O488" s="361"/>
      <c r="P488" s="361"/>
      <c r="Q488" s="361" t="s">
        <v>698</v>
      </c>
      <c r="R488" s="362">
        <v>35</v>
      </c>
      <c r="S488" s="236"/>
      <c r="T488" s="364">
        <f t="shared" si="51"/>
        <v>631001</v>
      </c>
      <c r="U488" s="365">
        <f t="shared" si="52"/>
        <v>-12.943850000000003</v>
      </c>
      <c r="V488" s="365">
        <f>IF($Q488="ekrk",IF($R488="data",IFERROR(INDEX(data!$A:$ALL,MATCH($M488,data!$A:$A,0),MATCH(V$2,data!$1:$1,0)),"#data"),IFERROR(U488*INDEX(indexy_SDcast!$A:$ALI,MATCH($R488,indexy_SDcast!$K:$K,0),MATCH(V$2,indexy_SDcast!$2:$2,0)),"#ekrk")),"#popis")</f>
        <v>-16.571132828152312</v>
      </c>
      <c r="W488" s="365">
        <f>IF($Q488="ekrk",IF($R488="data",IFERROR(INDEX(data!$A:$ALL,MATCH($M488,data!$A:$A,0),MATCH(W$2,data!$1:$1,0)),"#data"),IFERROR(V488*INDEX(indexy_SDcast!$A:$ALI,MATCH($R488,indexy_SDcast!$K:$K,0),MATCH(W$2,indexy_SDcast!$2:$2,0)),"#ekrk")),"#popis")</f>
        <v>-16.757413997708728</v>
      </c>
      <c r="X488" s="365">
        <f>IF($Q488="ekrk",IF($R488="data",IFERROR(INDEX(data!$A:$ALL,MATCH($M488,data!$A:$A,0),MATCH(X$2,data!$1:$1,0)),"#data"),IFERROR(W488*INDEX(indexy_SDcast!$A:$ALI,MATCH($R488,indexy_SDcast!$K:$K,0),MATCH(X$2,indexy_SDcast!$2:$2,0)),"#ekrk")),"#popis")</f>
        <v>-10.763722528731074</v>
      </c>
      <c r="Y488" s="362">
        <f>IF($Q488="ekrk",IF($R488="data",IFERROR(INDEX(data!$A:$ALL,MATCH($M488,data!$A:$A,0),MATCH(Y$2,data!$1:$1,0)),"#data"),IFERROR(X488*INDEX(indexy_SDcast!$A:$ALI,MATCH($R488,indexy_SDcast!$K:$K,0),MATCH(Y$2,indexy_SDcast!$2:$2,0)),"#ekrk")),"#popis")</f>
        <v>-14.561680113884792</v>
      </c>
    </row>
    <row r="489" spans="1:44" x14ac:dyDescent="0.25">
      <c r="A489" s="330">
        <v>631002</v>
      </c>
      <c r="B489" s="329">
        <v>-37.288419999999988</v>
      </c>
      <c r="C489" s="157"/>
      <c r="D489" s="330">
        <v>631002</v>
      </c>
      <c r="E489" s="329">
        <v>-37.288419999999988</v>
      </c>
      <c r="F489" s="157"/>
      <c r="G489" s="330">
        <v>631002</v>
      </c>
      <c r="H489" s="329">
        <v>-37.288419999999988</v>
      </c>
      <c r="I489" s="157"/>
      <c r="J489" s="330">
        <v>631002</v>
      </c>
      <c r="K489" s="329">
        <v>-37.288419999999988</v>
      </c>
      <c r="L489" s="157"/>
      <c r="M489" s="360">
        <f t="shared" si="53"/>
        <v>631002</v>
      </c>
      <c r="N489" s="237">
        <f t="shared" si="54"/>
        <v>-37.288419999999988</v>
      </c>
      <c r="O489" s="361"/>
      <c r="P489" s="361"/>
      <c r="Q489" s="361" t="s">
        <v>698</v>
      </c>
      <c r="R489" s="362">
        <v>35</v>
      </c>
      <c r="S489" s="236"/>
      <c r="T489" s="364">
        <f t="shared" si="51"/>
        <v>631002</v>
      </c>
      <c r="U489" s="365">
        <f t="shared" si="52"/>
        <v>-37.288419999999988</v>
      </c>
      <c r="V489" s="365">
        <f>IF($Q489="ekrk",IF($R489="data",IFERROR(INDEX(data!$A:$ALL,MATCH($M489,data!$A:$A,0),MATCH(V$2,data!$1:$1,0)),"#data"),IFERROR(U489*INDEX(indexy_SDcast!$A:$ALI,MATCH($R489,indexy_SDcast!$K:$K,0),MATCH(V$2,indexy_SDcast!$2:$2,0)),"#ekrk")),"#popis")</f>
        <v>-47.737833857154627</v>
      </c>
      <c r="W489" s="365">
        <f>IF($Q489="ekrk",IF($R489="data",IFERROR(INDEX(data!$A:$ALL,MATCH($M489,data!$A:$A,0),MATCH(W$2,data!$1:$1,0)),"#data"),IFERROR(V489*INDEX(indexy_SDcast!$A:$ALI,MATCH($R489,indexy_SDcast!$K:$K,0),MATCH(W$2,indexy_SDcast!$2:$2,0)),"#ekrk")),"#popis")</f>
        <v>-48.274469439961202</v>
      </c>
      <c r="X489" s="365">
        <f>IF($Q489="ekrk",IF($R489="data",IFERROR(INDEX(data!$A:$ALL,MATCH($M489,data!$A:$A,0),MATCH(X$2,data!$1:$1,0)),"#data"),IFERROR(W489*INDEX(indexy_SDcast!$A:$ALI,MATCH($R489,indexy_SDcast!$K:$K,0),MATCH(X$2,indexy_SDcast!$2:$2,0)),"#ekrk")),"#popis")</f>
        <v>-31.007946354043519</v>
      </c>
      <c r="Y489" s="362">
        <f>IF($Q489="ekrk",IF($R489="data",IFERROR(INDEX(data!$A:$ALL,MATCH($M489,data!$A:$A,0),MATCH(Y$2,data!$1:$1,0)),"#data"),IFERROR(X489*INDEX(indexy_SDcast!$A:$ALI,MATCH($R489,indexy_SDcast!$K:$K,0),MATCH(Y$2,indexy_SDcast!$2:$2,0)),"#ekrk")),"#popis")</f>
        <v>-41.949037109684042</v>
      </c>
    </row>
    <row r="490" spans="1:44" x14ac:dyDescent="0.25">
      <c r="A490" s="330">
        <v>637006</v>
      </c>
      <c r="B490" s="329">
        <v>-3.723749999999999</v>
      </c>
      <c r="C490" s="157"/>
      <c r="D490" s="330">
        <v>637006</v>
      </c>
      <c r="E490" s="329">
        <v>-3.723749999999999</v>
      </c>
      <c r="F490" s="157"/>
      <c r="G490" s="330">
        <v>637006</v>
      </c>
      <c r="H490" s="329">
        <v>-3.723749999999999</v>
      </c>
      <c r="I490" s="157"/>
      <c r="J490" s="330">
        <v>637006</v>
      </c>
      <c r="K490" s="329">
        <v>-3.723749999999999</v>
      </c>
      <c r="L490" s="157"/>
      <c r="M490" s="360">
        <f t="shared" si="53"/>
        <v>637006</v>
      </c>
      <c r="N490" s="237">
        <f t="shared" si="54"/>
        <v>-3.723749999999999</v>
      </c>
      <c r="O490" s="361"/>
      <c r="P490" s="361"/>
      <c r="Q490" s="361" t="s">
        <v>698</v>
      </c>
      <c r="R490" s="362">
        <v>35</v>
      </c>
      <c r="S490" s="236"/>
      <c r="T490" s="364">
        <f t="shared" si="51"/>
        <v>637006</v>
      </c>
      <c r="U490" s="365">
        <f t="shared" si="52"/>
        <v>-3.723749999999999</v>
      </c>
      <c r="V490" s="365">
        <f>IF($Q490="ekrk",IF($R490="data",IFERROR(INDEX(data!$A:$ALL,MATCH($M490,data!$A:$A,0),MATCH(V$2,data!$1:$1,0)),"#data"),IFERROR(U490*INDEX(indexy_SDcast!$A:$ALI,MATCH($R490,indexy_SDcast!$K:$K,0),MATCH(V$2,indexy_SDcast!$2:$2,0)),"#ekrk")),"#popis")</f>
        <v>-4.7672644436417402</v>
      </c>
      <c r="W490" s="365">
        <f>IF($Q490="ekrk",IF($R490="data",IFERROR(INDEX(data!$A:$ALL,MATCH($M490,data!$A:$A,0),MATCH(W$2,data!$1:$1,0)),"#data"),IFERROR(V490*INDEX(indexy_SDcast!$A:$ALI,MATCH($R490,indexy_SDcast!$K:$K,0),MATCH(W$2,indexy_SDcast!$2:$2,0)),"#ekrk")),"#popis")</f>
        <v>-4.8208547205018482</v>
      </c>
      <c r="X490" s="365">
        <f>IF($Q490="ekrk",IF($R490="data",IFERROR(INDEX(data!$A:$ALL,MATCH($M490,data!$A:$A,0),MATCH(X$2,data!$1:$1,0)),"#data"),IFERROR(W490*INDEX(indexy_SDcast!$A:$ALI,MATCH($R490,indexy_SDcast!$K:$K,0),MATCH(X$2,indexy_SDcast!$2:$2,0)),"#ekrk")),"#popis")</f>
        <v>-3.0965602789249198</v>
      </c>
      <c r="Y490" s="362">
        <f>IF($Q490="ekrk",IF($R490="data",IFERROR(INDEX(data!$A:$ALL,MATCH($M490,data!$A:$A,0),MATCH(Y$2,data!$1:$1,0)),"#data"),IFERROR(X490*INDEX(indexy_SDcast!$A:$ALI,MATCH($R490,indexy_SDcast!$K:$K,0),MATCH(Y$2,indexy_SDcast!$2:$2,0)),"#ekrk")),"#popis")</f>
        <v>-4.1891752704240606</v>
      </c>
    </row>
    <row r="491" spans="1:44" x14ac:dyDescent="0.25">
      <c r="A491" s="330">
        <v>637007</v>
      </c>
      <c r="B491" s="329">
        <v>-7.0168699999999991</v>
      </c>
      <c r="C491" s="157"/>
      <c r="D491" s="330">
        <v>637007</v>
      </c>
      <c r="E491" s="329">
        <v>-7.0168699999999991</v>
      </c>
      <c r="F491" s="157"/>
      <c r="G491" s="330">
        <v>637007</v>
      </c>
      <c r="H491" s="329">
        <v>-7.0168699999999991</v>
      </c>
      <c r="I491" s="157"/>
      <c r="J491" s="330">
        <v>637007</v>
      </c>
      <c r="K491" s="329">
        <v>-7.0168699999999991</v>
      </c>
      <c r="L491" s="157"/>
      <c r="M491" s="360">
        <f t="shared" si="53"/>
        <v>637007</v>
      </c>
      <c r="N491" s="237">
        <f t="shared" si="54"/>
        <v>-7.0168699999999991</v>
      </c>
      <c r="O491" s="361"/>
      <c r="P491" s="361"/>
      <c r="Q491" s="361" t="s">
        <v>698</v>
      </c>
      <c r="R491" s="362">
        <v>35</v>
      </c>
      <c r="S491" s="236"/>
      <c r="T491" s="364">
        <f t="shared" si="51"/>
        <v>637007</v>
      </c>
      <c r="U491" s="365">
        <f t="shared" si="52"/>
        <v>-7.0168699999999991</v>
      </c>
      <c r="V491" s="365">
        <f>IF($Q491="ekrk",IF($R491="data",IFERROR(INDEX(data!$A:$ALL,MATCH($M491,data!$A:$A,0),MATCH(V$2,data!$1:$1,0)),"#data"),IFERROR(U491*INDEX(indexy_SDcast!$A:$ALI,MATCH($R491,indexy_SDcast!$K:$K,0),MATCH(V$2,indexy_SDcast!$2:$2,0)),"#ekrk")),"#popis")</f>
        <v>-8.9832225194109228</v>
      </c>
      <c r="W491" s="365">
        <f>IF($Q491="ekrk",IF($R491="data",IFERROR(INDEX(data!$A:$ALL,MATCH($M491,data!$A:$A,0),MATCH(W$2,data!$1:$1,0)),"#data"),IFERROR(V491*INDEX(indexy_SDcast!$A:$ALI,MATCH($R491,indexy_SDcast!$K:$K,0),MATCH(W$2,indexy_SDcast!$2:$2,0)),"#ekrk")),"#popis")</f>
        <v>-9.084205669727508</v>
      </c>
      <c r="X491" s="365">
        <f>IF($Q491="ekrk",IF($R491="data",IFERROR(INDEX(data!$A:$ALL,MATCH($M491,data!$A:$A,0),MATCH(X$2,data!$1:$1,0)),"#data"),IFERROR(W491*INDEX(indexy_SDcast!$A:$ALI,MATCH($R491,indexy_SDcast!$K:$K,0),MATCH(X$2,indexy_SDcast!$2:$2,0)),"#ekrk")),"#popis")</f>
        <v>-5.8350213962752351</v>
      </c>
      <c r="Y491" s="362">
        <f>IF($Q491="ekrk",IF($R491="data",IFERROR(INDEX(data!$A:$ALL,MATCH($M491,data!$A:$A,0),MATCH(Y$2,data!$1:$1,0)),"#data"),IFERROR(X491*INDEX(indexy_SDcast!$A:$ALI,MATCH($R491,indexy_SDcast!$K:$K,0),MATCH(Y$2,indexy_SDcast!$2:$2,0)),"#ekrk")),"#popis")</f>
        <v>-7.8938968190078507</v>
      </c>
    </row>
    <row r="492" spans="1:44" x14ac:dyDescent="0.25">
      <c r="A492" s="330">
        <v>637009</v>
      </c>
      <c r="B492" s="329">
        <v>-0.59467000000000003</v>
      </c>
      <c r="C492" s="157"/>
      <c r="D492" s="330">
        <v>637009</v>
      </c>
      <c r="E492" s="329">
        <v>-0.59467000000000003</v>
      </c>
      <c r="F492" s="157"/>
      <c r="G492" s="330">
        <v>637009</v>
      </c>
      <c r="H492" s="329">
        <v>-0.59467000000000003</v>
      </c>
      <c r="I492" s="157"/>
      <c r="J492" s="330">
        <v>637009</v>
      </c>
      <c r="K492" s="329">
        <v>-0.59467000000000003</v>
      </c>
      <c r="L492" s="157"/>
      <c r="M492" s="360">
        <f t="shared" si="53"/>
        <v>637009</v>
      </c>
      <c r="N492" s="237">
        <f t="shared" si="54"/>
        <v>-0.59467000000000003</v>
      </c>
      <c r="O492" s="361"/>
      <c r="P492" s="361"/>
      <c r="Q492" s="361" t="s">
        <v>698</v>
      </c>
      <c r="R492" s="362">
        <v>35</v>
      </c>
      <c r="S492" s="236"/>
      <c r="T492" s="364">
        <f t="shared" si="51"/>
        <v>637009</v>
      </c>
      <c r="U492" s="365">
        <f t="shared" si="52"/>
        <v>-0.59467000000000003</v>
      </c>
      <c r="V492" s="365">
        <f>IF($Q492="ekrk",IF($R492="data",IFERROR(INDEX(data!$A:$ALL,MATCH($M492,data!$A:$A,0),MATCH(V$2,data!$1:$1,0)),"#data"),IFERROR(U492*INDEX(indexy_SDcast!$A:$ALI,MATCH($R492,indexy_SDcast!$K:$K,0),MATCH(V$2,indexy_SDcast!$2:$2,0)),"#ekrk")),"#popis")</f>
        <v>-0.76131564866074108</v>
      </c>
      <c r="W492" s="365">
        <f>IF($Q492="ekrk",IF($R492="data",IFERROR(INDEX(data!$A:$ALL,MATCH($M492,data!$A:$A,0),MATCH(W$2,data!$1:$1,0)),"#data"),IFERROR(V492*INDEX(indexy_SDcast!$A:$ALI,MATCH($R492,indexy_SDcast!$K:$K,0),MATCH(W$2,indexy_SDcast!$2:$2,0)),"#ekrk")),"#popis")</f>
        <v>-0.76987383058498426</v>
      </c>
      <c r="X492" s="365">
        <f>IF($Q492="ekrk",IF($R492="data",IFERROR(INDEX(data!$A:$ALL,MATCH($M492,data!$A:$A,0),MATCH(X$2,data!$1:$1,0)),"#data"),IFERROR(W492*INDEX(indexy_SDcast!$A:$ALI,MATCH($R492,indexy_SDcast!$K:$K,0),MATCH(X$2,indexy_SDcast!$2:$2,0)),"#ekrk")),"#popis")</f>
        <v>-0.4945099700754032</v>
      </c>
      <c r="Y492" s="362">
        <f>IF($Q492="ekrk",IF($R492="data",IFERROR(INDEX(data!$A:$ALL,MATCH($M492,data!$A:$A,0),MATCH(Y$2,data!$1:$1,0)),"#data"),IFERROR(X492*INDEX(indexy_SDcast!$A:$ALI,MATCH($R492,indexy_SDcast!$K:$K,0),MATCH(Y$2,indexy_SDcast!$2:$2,0)),"#ekrk")),"#popis")</f>
        <v>-0.66899680646205495</v>
      </c>
    </row>
    <row r="493" spans="1:44" x14ac:dyDescent="0.25">
      <c r="A493" s="330">
        <v>637014</v>
      </c>
      <c r="B493" s="329">
        <v>-56.620180000000012</v>
      </c>
      <c r="C493" s="157"/>
      <c r="D493" s="330">
        <v>637014</v>
      </c>
      <c r="E493" s="329">
        <v>-56.620180000000012</v>
      </c>
      <c r="F493" s="157"/>
      <c r="G493" s="330">
        <v>637014</v>
      </c>
      <c r="H493" s="329">
        <v>-56.620180000000012</v>
      </c>
      <c r="I493" s="157"/>
      <c r="J493" s="330">
        <v>637014</v>
      </c>
      <c r="K493" s="329">
        <v>-56.620180000000012</v>
      </c>
      <c r="L493" s="157"/>
      <c r="M493" s="360">
        <f t="shared" si="53"/>
        <v>637014</v>
      </c>
      <c r="N493" s="237">
        <f t="shared" si="54"/>
        <v>-56.620180000000012</v>
      </c>
      <c r="O493" s="361"/>
      <c r="P493" s="361"/>
      <c r="Q493" s="361" t="s">
        <v>698</v>
      </c>
      <c r="R493" s="362">
        <v>35</v>
      </c>
      <c r="S493" s="236"/>
      <c r="T493" s="364">
        <f t="shared" si="51"/>
        <v>637014</v>
      </c>
      <c r="U493" s="365">
        <f t="shared" si="52"/>
        <v>-56.620180000000012</v>
      </c>
      <c r="V493" s="365">
        <f>IF($Q493="ekrk",IF($R493="data",IFERROR(INDEX(data!$A:$ALL,MATCH($M493,data!$A:$A,0),MATCH(V$2,data!$1:$1,0)),"#data"),IFERROR(U493*INDEX(indexy_SDcast!$A:$ALI,MATCH($R493,indexy_SDcast!$K:$K,0),MATCH(V$2,indexy_SDcast!$2:$2,0)),"#ekrk")),"#popis")</f>
        <v>-72.486974395863129</v>
      </c>
      <c r="W493" s="365">
        <f>IF($Q493="ekrk",IF($R493="data",IFERROR(INDEX(data!$A:$ALL,MATCH($M493,data!$A:$A,0),MATCH(W$2,data!$1:$1,0)),"#data"),IFERROR(V493*INDEX(indexy_SDcast!$A:$ALI,MATCH($R493,indexy_SDcast!$K:$K,0),MATCH(W$2,indexy_SDcast!$2:$2,0)),"#ekrk")),"#popis")</f>
        <v>-73.3018226327397</v>
      </c>
      <c r="X493" s="365">
        <f>IF($Q493="ekrk",IF($R493="data",IFERROR(INDEX(data!$A:$ALL,MATCH($M493,data!$A:$A,0),MATCH(X$2,data!$1:$1,0)),"#data"),IFERROR(W493*INDEX(indexy_SDcast!$A:$ALI,MATCH($R493,indexy_SDcast!$K:$K,0),MATCH(X$2,indexy_SDcast!$2:$2,0)),"#ekrk")),"#popis")</f>
        <v>-47.083665759940715</v>
      </c>
      <c r="Y493" s="362">
        <f>IF($Q493="ekrk",IF($R493="data",IFERROR(INDEX(data!$A:$ALL,MATCH($M493,data!$A:$A,0),MATCH(Y$2,data!$1:$1,0)),"#data"),IFERROR(X493*INDEX(indexy_SDcast!$A:$ALI,MATCH($R493,indexy_SDcast!$K:$K,0),MATCH(Y$2,indexy_SDcast!$2:$2,0)),"#ekrk")),"#popis")</f>
        <v>-63.697041386494547</v>
      </c>
    </row>
    <row r="494" spans="1:44" x14ac:dyDescent="0.25">
      <c r="A494" s="330">
        <v>637026</v>
      </c>
      <c r="B494" s="329">
        <v>-2.9376300000000004</v>
      </c>
      <c r="C494" s="157"/>
      <c r="D494" s="330">
        <v>637026</v>
      </c>
      <c r="E494" s="329">
        <v>-2.9376300000000004</v>
      </c>
      <c r="F494" s="157"/>
      <c r="G494" s="330">
        <v>637026</v>
      </c>
      <c r="H494" s="329">
        <v>-2.9376300000000004</v>
      </c>
      <c r="I494" s="157"/>
      <c r="J494" s="330">
        <v>637026</v>
      </c>
      <c r="K494" s="329">
        <v>-2.9376300000000004</v>
      </c>
      <c r="L494" s="157"/>
      <c r="M494" s="360">
        <f t="shared" si="53"/>
        <v>637026</v>
      </c>
      <c r="N494" s="237">
        <f t="shared" si="54"/>
        <v>-2.9376300000000004</v>
      </c>
      <c r="O494" s="361"/>
      <c r="P494" s="361"/>
      <c r="Q494" s="361" t="s">
        <v>698</v>
      </c>
      <c r="R494" s="362">
        <v>35</v>
      </c>
      <c r="S494" s="236"/>
      <c r="T494" s="364">
        <f t="shared" si="51"/>
        <v>637026</v>
      </c>
      <c r="U494" s="365">
        <f t="shared" si="52"/>
        <v>-2.9376300000000004</v>
      </c>
      <c r="V494" s="365">
        <f>IF($Q494="ekrk",IF($R494="data",IFERROR(INDEX(data!$A:$ALL,MATCH($M494,data!$A:$A,0),MATCH(V$2,data!$1:$1,0)),"#data"),IFERROR(U494*INDEX(indexy_SDcast!$A:$ALI,MATCH($R494,indexy_SDcast!$K:$K,0),MATCH(V$2,indexy_SDcast!$2:$2,0)),"#ekrk")),"#popis")</f>
        <v>-3.7608483511447579</v>
      </c>
      <c r="W494" s="365">
        <f>IF($Q494="ekrk",IF($R494="data",IFERROR(INDEX(data!$A:$ALL,MATCH($M494,data!$A:$A,0),MATCH(W$2,data!$1:$1,0)),"#data"),IFERROR(V494*INDEX(indexy_SDcast!$A:$ALI,MATCH($R494,indexy_SDcast!$K:$K,0),MATCH(W$2,indexy_SDcast!$2:$2,0)),"#ekrk")),"#popis")</f>
        <v>-3.8031251970695807</v>
      </c>
      <c r="X494" s="365">
        <f>IF($Q494="ekrk",IF($R494="data",IFERROR(INDEX(data!$A:$ALL,MATCH($M494,data!$A:$A,0),MATCH(X$2,data!$1:$1,0)),"#data"),IFERROR(W494*INDEX(indexy_SDcast!$A:$ALI,MATCH($R494,indexy_SDcast!$K:$K,0),MATCH(X$2,indexy_SDcast!$2:$2,0)),"#ekrk")),"#popis")</f>
        <v>-2.4428461556705519</v>
      </c>
      <c r="Y494" s="362">
        <f>IF($Q494="ekrk",IF($R494="data",IFERROR(INDEX(data!$A:$ALL,MATCH($M494,data!$A:$A,0),MATCH(Y$2,data!$1:$1,0)),"#data"),IFERROR(X494*INDEX(indexy_SDcast!$A:$ALI,MATCH($R494,indexy_SDcast!$K:$K,0),MATCH(Y$2,indexy_SDcast!$2:$2,0)),"#ekrk")),"#popis")</f>
        <v>-3.3047994493872683</v>
      </c>
    </row>
    <row r="495" spans="1:44" x14ac:dyDescent="0.25">
      <c r="A495" s="330">
        <v>637027</v>
      </c>
      <c r="B495" s="329">
        <v>-395.97409000000005</v>
      </c>
      <c r="C495" s="157"/>
      <c r="D495" s="330">
        <v>637027</v>
      </c>
      <c r="E495" s="329">
        <v>-395.97409000000005</v>
      </c>
      <c r="F495" s="157"/>
      <c r="G495" s="330">
        <v>637027</v>
      </c>
      <c r="H495" s="329">
        <v>-395.97409000000005</v>
      </c>
      <c r="I495" s="157"/>
      <c r="J495" s="330">
        <v>637027</v>
      </c>
      <c r="K495" s="329">
        <v>-395.97409000000005</v>
      </c>
      <c r="L495" s="157"/>
      <c r="M495" s="360">
        <f t="shared" si="53"/>
        <v>637027</v>
      </c>
      <c r="N495" s="237">
        <f t="shared" si="54"/>
        <v>-395.97409000000005</v>
      </c>
      <c r="O495" s="361"/>
      <c r="P495" s="361"/>
      <c r="Q495" s="361" t="s">
        <v>698</v>
      </c>
      <c r="R495" s="362">
        <v>35</v>
      </c>
      <c r="S495" s="236"/>
      <c r="T495" s="364">
        <f t="shared" si="51"/>
        <v>637027</v>
      </c>
      <c r="U495" s="365">
        <f t="shared" si="52"/>
        <v>-395.97409000000005</v>
      </c>
      <c r="V495" s="365">
        <f>IF($Q495="ekrk",IF($R495="data",IFERROR(INDEX(data!$A:$ALL,MATCH($M495,data!$A:$A,0),MATCH(V$2,data!$1:$1,0)),"#data"),IFERROR(U495*INDEX(indexy_SDcast!$A:$ALI,MATCH($R495,indexy_SDcast!$K:$K,0),MATCH(V$2,indexy_SDcast!$2:$2,0)),"#ekrk")),"#popis")</f>
        <v>-506.93875793498358</v>
      </c>
      <c r="W495" s="365">
        <f>IF($Q495="ekrk",IF($R495="data",IFERROR(INDEX(data!$A:$ALL,MATCH($M495,data!$A:$A,0),MATCH(W$2,data!$1:$1,0)),"#data"),IFERROR(V495*INDEX(indexy_SDcast!$A:$ALI,MATCH($R495,indexy_SDcast!$K:$K,0),MATCH(W$2,indexy_SDcast!$2:$2,0)),"#ekrk")),"#popis")</f>
        <v>-512.63741147309145</v>
      </c>
      <c r="X495" s="365">
        <f>IF($Q495="ekrk",IF($R495="data",IFERROR(INDEX(data!$A:$ALL,MATCH($M495,data!$A:$A,0),MATCH(X$2,data!$1:$1,0)),"#data"),IFERROR(W495*INDEX(indexy_SDcast!$A:$ALI,MATCH($R495,indexy_SDcast!$K:$K,0),MATCH(X$2,indexy_SDcast!$2:$2,0)),"#ekrk")),"#popis")</f>
        <v>-329.28033261562717</v>
      </c>
      <c r="Y495" s="362">
        <f>IF($Q495="ekrk",IF($R495="data",IFERROR(INDEX(data!$A:$ALL,MATCH($M495,data!$A:$A,0),MATCH(Y$2,data!$1:$1,0)),"#data"),IFERROR(X495*INDEX(indexy_SDcast!$A:$ALI,MATCH($R495,indexy_SDcast!$K:$K,0),MATCH(Y$2,indexy_SDcast!$2:$2,0)),"#ekrk")),"#popis")</f>
        <v>-445.46622774264432</v>
      </c>
    </row>
    <row r="496" spans="1:44" s="18" customFormat="1" x14ac:dyDescent="0.25">
      <c r="A496" s="333" t="s">
        <v>700</v>
      </c>
      <c r="B496" s="334">
        <v>-3122.7696500000006</v>
      </c>
      <c r="C496" s="164"/>
      <c r="D496" s="333" t="s">
        <v>700</v>
      </c>
      <c r="E496" s="334">
        <v>-3122.7696500000006</v>
      </c>
      <c r="F496" s="164"/>
      <c r="G496" s="333" t="s">
        <v>700</v>
      </c>
      <c r="H496" s="334">
        <v>-3122.7696500000006</v>
      </c>
      <c r="I496" s="164"/>
      <c r="J496" s="333" t="s">
        <v>700</v>
      </c>
      <c r="K496" s="334">
        <v>-3122.7696500000006</v>
      </c>
      <c r="L496" s="164"/>
      <c r="M496" s="358" t="str">
        <f t="shared" si="53"/>
        <v>D121PAY</v>
      </c>
      <c r="N496" s="239">
        <f t="shared" si="54"/>
        <v>-3122.7696500000006</v>
      </c>
      <c r="O496" s="243"/>
      <c r="P496" s="243">
        <f>MATCH(Q496,Q497:Q$1550,0)</f>
        <v>16</v>
      </c>
      <c r="Q496" s="243" t="s">
        <v>697</v>
      </c>
      <c r="R496" s="359" t="str">
        <f>IF(Q496="ekrk",INDEX(indexy_SDcast!$A:$C,MATCH($M496,indexy_SDcast!$A:$A,0),2),"")</f>
        <v/>
      </c>
      <c r="S496" s="240"/>
      <c r="T496" s="363" t="str">
        <f t="shared" si="51"/>
        <v>D121PAY</v>
      </c>
      <c r="U496" s="244">
        <f>SUM(U497:U511)</f>
        <v>-3122.7696500000006</v>
      </c>
      <c r="V496" s="244">
        <f>SUM(V497:V511)</f>
        <v>-3997.8700820754798</v>
      </c>
      <c r="W496" s="244">
        <f>SUM(W497:W511)</f>
        <v>-4042.8113617300869</v>
      </c>
      <c r="X496" s="244">
        <f>SUM(X497:X511)</f>
        <v>-2596.802808572616</v>
      </c>
      <c r="Y496" s="359">
        <f>SUM(Y497:Y511)</f>
        <v>-3513.0793938934689</v>
      </c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8"/>
      <c r="AN496" s="58"/>
      <c r="AO496" s="58"/>
      <c r="AP496" s="58"/>
      <c r="AQ496" s="58"/>
      <c r="AR496" s="58"/>
    </row>
    <row r="497" spans="1:44" x14ac:dyDescent="0.25">
      <c r="A497" s="330">
        <v>621000</v>
      </c>
      <c r="B497" s="329">
        <v>-642.27514000000065</v>
      </c>
      <c r="C497" s="157"/>
      <c r="D497" s="330">
        <v>621000</v>
      </c>
      <c r="E497" s="329">
        <v>-642.27514000000065</v>
      </c>
      <c r="F497" s="157"/>
      <c r="G497" s="330">
        <v>621000</v>
      </c>
      <c r="H497" s="329">
        <v>-642.27514000000065</v>
      </c>
      <c r="I497" s="157"/>
      <c r="J497" s="330">
        <v>621000</v>
      </c>
      <c r="K497" s="329">
        <v>-642.27514000000065</v>
      </c>
      <c r="L497" s="157"/>
      <c r="M497" s="360">
        <f t="shared" si="53"/>
        <v>621000</v>
      </c>
      <c r="N497" s="237">
        <f t="shared" si="54"/>
        <v>-642.27514000000065</v>
      </c>
      <c r="O497" s="361"/>
      <c r="P497" s="361"/>
      <c r="Q497" s="361" t="s">
        <v>698</v>
      </c>
      <c r="R497" s="362">
        <v>35</v>
      </c>
      <c r="S497" s="236"/>
      <c r="T497" s="364">
        <f t="shared" si="51"/>
        <v>621000</v>
      </c>
      <c r="U497" s="365">
        <f t="shared" ref="U497:U511" si="55">N497</f>
        <v>-642.27514000000065</v>
      </c>
      <c r="V497" s="365">
        <f>IF($Q497="ekrk",IF($R497="data",IFERROR(INDEX(data!$A:$ALL,MATCH($M497,data!$A:$A,0),MATCH(V$2,data!$1:$1,0)),"#data"),IFERROR(U497*INDEX(indexy_SDcast!$A:$ALI,MATCH($R497,indexy_SDcast!$K:$K,0),MATCH(V$2,indexy_SDcast!$2:$2,0)),"#ekrk")),"#popis")</f>
        <v>-822.26127907540115</v>
      </c>
      <c r="W497" s="365">
        <f>IF($Q497="ekrk",IF($R497="data",IFERROR(INDEX(data!$A:$ALL,MATCH($M497,data!$A:$A,0),MATCH(W$2,data!$1:$1,0)),"#data"),IFERROR(V497*INDEX(indexy_SDcast!$A:$ALI,MATCH($R497,indexy_SDcast!$K:$K,0),MATCH(W$2,indexy_SDcast!$2:$2,0)),"#ekrk")),"#popis")</f>
        <v>-831.50456946089014</v>
      </c>
      <c r="X497" s="365">
        <f>IF($Q497="ekrk",IF($R497="data",IFERROR(INDEX(data!$A:$ALL,MATCH($M497,data!$A:$A,0),MATCH(X$2,data!$1:$1,0)),"#data"),IFERROR(W497*INDEX(indexy_SDcast!$A:$ALI,MATCH($R497,indexy_SDcast!$K:$K,0),MATCH(X$2,indexy_SDcast!$2:$2,0)),"#ekrk")),"#popis")</f>
        <v>-534.09699541186831</v>
      </c>
      <c r="Y497" s="362">
        <f>IF($Q497="ekrk",IF($R497="data",IFERROR(INDEX(data!$A:$ALL,MATCH($M497,data!$A:$A,0),MATCH(Y$2,data!$1:$1,0)),"#data"),IFERROR(X497*INDEX(indexy_SDcast!$A:$ALI,MATCH($R497,indexy_SDcast!$K:$K,0),MATCH(Y$2,indexy_SDcast!$2:$2,0)),"#ekrk")),"#popis")</f>
        <v>-722.5520331107499</v>
      </c>
    </row>
    <row r="498" spans="1:44" x14ac:dyDescent="0.25">
      <c r="A498" s="330">
        <v>623000</v>
      </c>
      <c r="B498" s="329">
        <v>-230.50547999999992</v>
      </c>
      <c r="C498" s="157"/>
      <c r="D498" s="330">
        <v>623000</v>
      </c>
      <c r="E498" s="329">
        <v>-230.50547999999992</v>
      </c>
      <c r="F498" s="157"/>
      <c r="G498" s="330">
        <v>623000</v>
      </c>
      <c r="H498" s="329">
        <v>-230.50547999999992</v>
      </c>
      <c r="I498" s="157"/>
      <c r="J498" s="330">
        <v>623000</v>
      </c>
      <c r="K498" s="329">
        <v>-230.50547999999992</v>
      </c>
      <c r="L498" s="157"/>
      <c r="M498" s="360">
        <f t="shared" si="53"/>
        <v>623000</v>
      </c>
      <c r="N498" s="237">
        <f t="shared" si="54"/>
        <v>-230.50547999999992</v>
      </c>
      <c r="O498" s="361"/>
      <c r="P498" s="361"/>
      <c r="Q498" s="361" t="s">
        <v>698</v>
      </c>
      <c r="R498" s="362">
        <v>35</v>
      </c>
      <c r="S498" s="236"/>
      <c r="T498" s="364">
        <f t="shared" si="51"/>
        <v>623000</v>
      </c>
      <c r="U498" s="365">
        <f t="shared" si="55"/>
        <v>-230.50547999999992</v>
      </c>
      <c r="V498" s="365">
        <f>IF($Q498="ekrk",IF($R498="data",IFERROR(INDEX(data!$A:$ALL,MATCH($M498,data!$A:$A,0),MATCH(V$2,data!$1:$1,0)),"#data"),IFERROR(U498*INDEX(indexy_SDcast!$A:$ALI,MATCH($R498,indexy_SDcast!$K:$K,0),MATCH(V$2,indexy_SDcast!$2:$2,0)),"#ekrk")),"#popis")</f>
        <v>-295.10052470455111</v>
      </c>
      <c r="W498" s="365">
        <f>IF($Q498="ekrk",IF($R498="data",IFERROR(INDEX(data!$A:$ALL,MATCH($M498,data!$A:$A,0),MATCH(W$2,data!$1:$1,0)),"#data"),IFERROR(V498*INDEX(indexy_SDcast!$A:$ALI,MATCH($R498,indexy_SDcast!$K:$K,0),MATCH(W$2,indexy_SDcast!$2:$2,0)),"#ekrk")),"#popis")</f>
        <v>-298.41783990857181</v>
      </c>
      <c r="X498" s="365">
        <f>IF($Q498="ekrk",IF($R498="data",IFERROR(INDEX(data!$A:$ALL,MATCH($M498,data!$A:$A,0),MATCH(X$2,data!$1:$1,0)),"#data"),IFERROR(W498*INDEX(indexy_SDcast!$A:$ALI,MATCH($R498,indexy_SDcast!$K:$K,0),MATCH(X$2,indexy_SDcast!$2:$2,0)),"#ekrk")),"#popis")</f>
        <v>-191.68153432494728</v>
      </c>
      <c r="Y498" s="362">
        <f>IF($Q498="ekrk",IF($R498="data",IFERROR(INDEX(data!$A:$ALL,MATCH($M498,data!$A:$A,0),MATCH(Y$2,data!$1:$1,0)),"#data"),IFERROR(X498*INDEX(indexy_SDcast!$A:$ALI,MATCH($R498,indexy_SDcast!$K:$K,0),MATCH(Y$2,indexy_SDcast!$2:$2,0)),"#ekrk")),"#popis")</f>
        <v>-259.31597355172278</v>
      </c>
    </row>
    <row r="499" spans="1:44" x14ac:dyDescent="0.25">
      <c r="A499" s="330">
        <v>625001</v>
      </c>
      <c r="B499" s="329">
        <v>-125.45702999999997</v>
      </c>
      <c r="C499" s="157"/>
      <c r="D499" s="330">
        <v>625001</v>
      </c>
      <c r="E499" s="329">
        <v>-125.45702999999997</v>
      </c>
      <c r="F499" s="157"/>
      <c r="G499" s="330">
        <v>625001</v>
      </c>
      <c r="H499" s="329">
        <v>-125.45702999999997</v>
      </c>
      <c r="I499" s="157"/>
      <c r="J499" s="330">
        <v>625001</v>
      </c>
      <c r="K499" s="329">
        <v>-125.45702999999997</v>
      </c>
      <c r="L499" s="157"/>
      <c r="M499" s="360">
        <f t="shared" si="53"/>
        <v>625001</v>
      </c>
      <c r="N499" s="237">
        <f t="shared" si="54"/>
        <v>-125.45702999999997</v>
      </c>
      <c r="O499" s="361"/>
      <c r="P499" s="361"/>
      <c r="Q499" s="361" t="s">
        <v>698</v>
      </c>
      <c r="R499" s="362">
        <v>35</v>
      </c>
      <c r="S499" s="236"/>
      <c r="T499" s="364">
        <f t="shared" si="51"/>
        <v>625001</v>
      </c>
      <c r="U499" s="365">
        <f t="shared" si="55"/>
        <v>-125.45702999999997</v>
      </c>
      <c r="V499" s="365">
        <f>IF($Q499="ekrk",IF($R499="data",IFERROR(INDEX(data!$A:$ALL,MATCH($M499,data!$A:$A,0),MATCH(V$2,data!$1:$1,0)),"#data"),IFERROR(U499*INDEX(indexy_SDcast!$A:$ALI,MATCH($R499,indexy_SDcast!$K:$K,0),MATCH(V$2,indexy_SDcast!$2:$2,0)),"#ekrk")),"#popis")</f>
        <v>-160.61412240990808</v>
      </c>
      <c r="W499" s="365">
        <f>IF($Q499="ekrk",IF($R499="data",IFERROR(INDEX(data!$A:$ALL,MATCH($M499,data!$A:$A,0),MATCH(W$2,data!$1:$1,0)),"#data"),IFERROR(V499*INDEX(indexy_SDcast!$A:$ALI,MATCH($R499,indexy_SDcast!$K:$K,0),MATCH(W$2,indexy_SDcast!$2:$2,0)),"#ekrk")),"#popis")</f>
        <v>-162.41963485616438</v>
      </c>
      <c r="X499" s="365">
        <f>IF($Q499="ekrk",IF($R499="data",IFERROR(INDEX(data!$A:$ALL,MATCH($M499,data!$A:$A,0),MATCH(X$2,data!$1:$1,0)),"#data"),IFERROR(W499*INDEX(indexy_SDcast!$A:$ALI,MATCH($R499,indexy_SDcast!$K:$K,0),MATCH(X$2,indexy_SDcast!$2:$2,0)),"#ekrk")),"#popis")</f>
        <v>-104.32635268476459</v>
      </c>
      <c r="Y499" s="362">
        <f>IF($Q499="ekrk",IF($R499="data",IFERROR(INDEX(data!$A:$ALL,MATCH($M499,data!$A:$A,0),MATCH(Y$2,data!$1:$1,0)),"#data"),IFERROR(X499*INDEX(indexy_SDcast!$A:$ALI,MATCH($R499,indexy_SDcast!$K:$K,0),MATCH(Y$2,indexy_SDcast!$2:$2,0)),"#ekrk")),"#popis")</f>
        <v>-141.13769387763668</v>
      </c>
    </row>
    <row r="500" spans="1:44" x14ac:dyDescent="0.25">
      <c r="A500" s="330">
        <v>625002</v>
      </c>
      <c r="B500" s="329">
        <v>-1289.7305399999998</v>
      </c>
      <c r="C500" s="157"/>
      <c r="D500" s="330">
        <v>625002</v>
      </c>
      <c r="E500" s="329">
        <v>-1289.7305399999998</v>
      </c>
      <c r="F500" s="157"/>
      <c r="G500" s="330">
        <v>625002</v>
      </c>
      <c r="H500" s="329">
        <v>-1289.7305399999998</v>
      </c>
      <c r="I500" s="157"/>
      <c r="J500" s="330">
        <v>625002</v>
      </c>
      <c r="K500" s="329">
        <v>-1289.7305399999998</v>
      </c>
      <c r="L500" s="157"/>
      <c r="M500" s="360">
        <f t="shared" si="53"/>
        <v>625002</v>
      </c>
      <c r="N500" s="237">
        <f t="shared" si="54"/>
        <v>-1289.7305399999998</v>
      </c>
      <c r="O500" s="361"/>
      <c r="P500" s="361"/>
      <c r="Q500" s="361" t="s">
        <v>698</v>
      </c>
      <c r="R500" s="362">
        <v>35</v>
      </c>
      <c r="S500" s="236"/>
      <c r="T500" s="364">
        <f t="shared" si="51"/>
        <v>625002</v>
      </c>
      <c r="U500" s="365">
        <f t="shared" si="55"/>
        <v>-1289.7305399999998</v>
      </c>
      <c r="V500" s="365">
        <f>IF($Q500="ekrk",IF($R500="data",IFERROR(INDEX(data!$A:$ALL,MATCH($M500,data!$A:$A,0),MATCH(V$2,data!$1:$1,0)),"#data"),IFERROR(U500*INDEX(indexy_SDcast!$A:$ALI,MATCH($R500,indexy_SDcast!$K:$K,0),MATCH(V$2,indexy_SDcast!$2:$2,0)),"#ekrk")),"#popis")</f>
        <v>-1651.1544935134909</v>
      </c>
      <c r="W500" s="365">
        <f>IF($Q500="ekrk",IF($R500="data",IFERROR(INDEX(data!$A:$ALL,MATCH($M500,data!$A:$A,0),MATCH(W$2,data!$1:$1,0)),"#data"),IFERROR(V500*INDEX(indexy_SDcast!$A:$ALI,MATCH($R500,indexy_SDcast!$K:$K,0),MATCH(W$2,indexy_SDcast!$2:$2,0)),"#ekrk")),"#popis")</f>
        <v>-1669.7156258971195</v>
      </c>
      <c r="X500" s="365">
        <f>IF($Q500="ekrk",IF($R500="data",IFERROR(INDEX(data!$A:$ALL,MATCH($M500,data!$A:$A,0),MATCH(X$2,data!$1:$1,0)),"#data"),IFERROR(W500*INDEX(indexy_SDcast!$A:$ALI,MATCH($R500,indexy_SDcast!$K:$K,0),MATCH(X$2,indexy_SDcast!$2:$2,0)),"#ekrk")),"#popis")</f>
        <v>-1072.5017417067172</v>
      </c>
      <c r="Y500" s="362">
        <f>IF($Q500="ekrk",IF($R500="data",IFERROR(INDEX(data!$A:$ALL,MATCH($M500,data!$A:$A,0),MATCH(Y$2,data!$1:$1,0)),"#data"),IFERROR(X500*INDEX(indexy_SDcast!$A:$ALI,MATCH($R500,indexy_SDcast!$K:$K,0),MATCH(Y$2,indexy_SDcast!$2:$2,0)),"#ekrk")),"#popis")</f>
        <v>-1450.9317982352925</v>
      </c>
    </row>
    <row r="501" spans="1:44" x14ac:dyDescent="0.25">
      <c r="A501" s="330">
        <v>625003</v>
      </c>
      <c r="B501" s="329">
        <v>-73.405470000000093</v>
      </c>
      <c r="C501" s="157"/>
      <c r="D501" s="330">
        <v>625003</v>
      </c>
      <c r="E501" s="329">
        <v>-73.405470000000093</v>
      </c>
      <c r="F501" s="157"/>
      <c r="G501" s="330">
        <v>625003</v>
      </c>
      <c r="H501" s="329">
        <v>-73.405470000000093</v>
      </c>
      <c r="I501" s="157"/>
      <c r="J501" s="330">
        <v>625003</v>
      </c>
      <c r="K501" s="329">
        <v>-73.405470000000093</v>
      </c>
      <c r="L501" s="157"/>
      <c r="M501" s="360">
        <f t="shared" si="53"/>
        <v>625003</v>
      </c>
      <c r="N501" s="237">
        <f t="shared" si="54"/>
        <v>-73.405470000000093</v>
      </c>
      <c r="O501" s="361"/>
      <c r="P501" s="361"/>
      <c r="Q501" s="361" t="s">
        <v>698</v>
      </c>
      <c r="R501" s="362">
        <v>35</v>
      </c>
      <c r="S501" s="236"/>
      <c r="T501" s="364">
        <f t="shared" si="51"/>
        <v>625003</v>
      </c>
      <c r="U501" s="365">
        <f t="shared" si="55"/>
        <v>-73.405470000000093</v>
      </c>
      <c r="V501" s="365">
        <f>IF($Q501="ekrk",IF($R501="data",IFERROR(INDEX(data!$A:$ALL,MATCH($M501,data!$A:$A,0),MATCH(V$2,data!$1:$1,0)),"#data"),IFERROR(U501*INDEX(indexy_SDcast!$A:$ALI,MATCH($R501,indexy_SDcast!$K:$K,0),MATCH(V$2,indexy_SDcast!$2:$2,0)),"#ekrk")),"#popis")</f>
        <v>-93.976042188603159</v>
      </c>
      <c r="W501" s="365">
        <f>IF($Q501="ekrk",IF($R501="data",IFERROR(INDEX(data!$A:$ALL,MATCH($M501,data!$A:$A,0),MATCH(W$2,data!$1:$1,0)),"#data"),IFERROR(V501*INDEX(indexy_SDcast!$A:$ALI,MATCH($R501,indexy_SDcast!$K:$K,0),MATCH(W$2,indexy_SDcast!$2:$2,0)),"#ekrk")),"#popis")</f>
        <v>-95.032455605278926</v>
      </c>
      <c r="X501" s="365">
        <f>IF($Q501="ekrk",IF($R501="data",IFERROR(INDEX(data!$A:$ALL,MATCH($M501,data!$A:$A,0),MATCH(X$2,data!$1:$1,0)),"#data"),IFERROR(W501*INDEX(indexy_SDcast!$A:$ALI,MATCH($R501,indexy_SDcast!$K:$K,0),MATCH(X$2,indexy_SDcast!$2:$2,0)),"#ekrk")),"#popis")</f>
        <v>-61.041816088033627</v>
      </c>
      <c r="Y501" s="362">
        <f>IF($Q501="ekrk",IF($R501="data",IFERROR(INDEX(data!$A:$ALL,MATCH($M501,data!$A:$A,0),MATCH(Y$2,data!$1:$1,0)),"#data"),IFERROR(X501*INDEX(indexy_SDcast!$A:$ALI,MATCH($R501,indexy_SDcast!$K:$K,0),MATCH(Y$2,indexy_SDcast!$2:$2,0)),"#ekrk")),"#popis")</f>
        <v>-82.580296646621221</v>
      </c>
    </row>
    <row r="502" spans="1:44" x14ac:dyDescent="0.25">
      <c r="A502" s="330">
        <v>625004</v>
      </c>
      <c r="B502" s="329">
        <v>-254.49467000000001</v>
      </c>
      <c r="C502" s="157"/>
      <c r="D502" s="330">
        <v>625004</v>
      </c>
      <c r="E502" s="329">
        <v>-254.49467000000001</v>
      </c>
      <c r="F502" s="157"/>
      <c r="G502" s="330">
        <v>625004</v>
      </c>
      <c r="H502" s="329">
        <v>-254.49467000000001</v>
      </c>
      <c r="I502" s="157"/>
      <c r="J502" s="330">
        <v>625004</v>
      </c>
      <c r="K502" s="329">
        <v>-254.49467000000001</v>
      </c>
      <c r="L502" s="157"/>
      <c r="M502" s="360">
        <f t="shared" si="53"/>
        <v>625004</v>
      </c>
      <c r="N502" s="237">
        <f t="shared" si="54"/>
        <v>-254.49467000000001</v>
      </c>
      <c r="O502" s="361"/>
      <c r="P502" s="361"/>
      <c r="Q502" s="361" t="s">
        <v>698</v>
      </c>
      <c r="R502" s="362">
        <v>35</v>
      </c>
      <c r="S502" s="236"/>
      <c r="T502" s="364">
        <f t="shared" si="51"/>
        <v>625004</v>
      </c>
      <c r="U502" s="365">
        <f t="shared" si="55"/>
        <v>-254.49467000000001</v>
      </c>
      <c r="V502" s="365">
        <f>IF($Q502="ekrk",IF($R502="data",IFERROR(INDEX(data!$A:$ALL,MATCH($M502,data!$A:$A,0),MATCH(V$2,data!$1:$1,0)),"#data"),IFERROR(U502*INDEX(indexy_SDcast!$A:$ALI,MATCH($R502,indexy_SDcast!$K:$K,0),MATCH(V$2,indexy_SDcast!$2:$2,0)),"#ekrk")),"#popis")</f>
        <v>-325.8122568344649</v>
      </c>
      <c r="W502" s="365">
        <f>IF($Q502="ekrk",IF($R502="data",IFERROR(INDEX(data!$A:$ALL,MATCH($M502,data!$A:$A,0),MATCH(W$2,data!$1:$1,0)),"#data"),IFERROR(V502*INDEX(indexy_SDcast!$A:$ALI,MATCH($R502,indexy_SDcast!$K:$K,0),MATCH(W$2,indexy_SDcast!$2:$2,0)),"#ekrk")),"#popis")</f>
        <v>-329.47481200726702</v>
      </c>
      <c r="X502" s="365">
        <f>IF($Q502="ekrk",IF($R502="data",IFERROR(INDEX(data!$A:$ALL,MATCH($M502,data!$A:$A,0),MATCH(X$2,data!$1:$1,0)),"#data"),IFERROR(W502*INDEX(indexy_SDcast!$A:$ALI,MATCH($R502,indexy_SDcast!$K:$K,0),MATCH(X$2,indexy_SDcast!$2:$2,0)),"#ekrk")),"#popis")</f>
        <v>-211.63023466132412</v>
      </c>
      <c r="Y502" s="362">
        <f>IF($Q502="ekrk",IF($R502="data",IFERROR(INDEX(data!$A:$ALL,MATCH($M502,data!$A:$A,0),MATCH(Y$2,data!$1:$1,0)),"#data"),IFERROR(X502*INDEX(indexy_SDcast!$A:$ALI,MATCH($R502,indexy_SDcast!$K:$K,0),MATCH(Y$2,indexy_SDcast!$2:$2,0)),"#ekrk")),"#popis")</f>
        <v>-286.30353219704125</v>
      </c>
    </row>
    <row r="503" spans="1:44" x14ac:dyDescent="0.25">
      <c r="A503" s="330">
        <v>625005</v>
      </c>
      <c r="B503" s="329">
        <v>-87.462809999999962</v>
      </c>
      <c r="C503" s="157"/>
      <c r="D503" s="330">
        <v>625005</v>
      </c>
      <c r="E503" s="329">
        <v>-87.462809999999962</v>
      </c>
      <c r="F503" s="157"/>
      <c r="G503" s="330">
        <v>625005</v>
      </c>
      <c r="H503" s="329">
        <v>-87.462809999999962</v>
      </c>
      <c r="I503" s="157"/>
      <c r="J503" s="330">
        <v>625005</v>
      </c>
      <c r="K503" s="329">
        <v>-87.462809999999962</v>
      </c>
      <c r="L503" s="157"/>
      <c r="M503" s="360">
        <f t="shared" si="53"/>
        <v>625005</v>
      </c>
      <c r="N503" s="237">
        <f t="shared" si="54"/>
        <v>-87.462809999999962</v>
      </c>
      <c r="O503" s="361"/>
      <c r="P503" s="361"/>
      <c r="Q503" s="361" t="s">
        <v>698</v>
      </c>
      <c r="R503" s="362">
        <v>35</v>
      </c>
      <c r="S503" s="236"/>
      <c r="T503" s="364">
        <f t="shared" si="51"/>
        <v>625005</v>
      </c>
      <c r="U503" s="365">
        <f t="shared" si="55"/>
        <v>-87.462809999999962</v>
      </c>
      <c r="V503" s="365">
        <f>IF($Q503="ekrk",IF($R503="data",IFERROR(INDEX(data!$A:$ALL,MATCH($M503,data!$A:$A,0),MATCH(V$2,data!$1:$1,0)),"#data"),IFERROR(U503*INDEX(indexy_SDcast!$A:$ALI,MATCH($R503,indexy_SDcast!$K:$K,0),MATCH(V$2,indexy_SDcast!$2:$2,0)),"#ekrk")),"#popis")</f>
        <v>-111.9727007060069</v>
      </c>
      <c r="W503" s="365">
        <f>IF($Q503="ekrk",IF($R503="data",IFERROR(INDEX(data!$A:$ALL,MATCH($M503,data!$A:$A,0),MATCH(W$2,data!$1:$1,0)),"#data"),IFERROR(V503*INDEX(indexy_SDcast!$A:$ALI,MATCH($R503,indexy_SDcast!$K:$K,0),MATCH(W$2,indexy_SDcast!$2:$2,0)),"#ekrk")),"#popis")</f>
        <v>-113.23142006226418</v>
      </c>
      <c r="X503" s="365">
        <f>IF($Q503="ekrk",IF($R503="data",IFERROR(INDEX(data!$A:$ALL,MATCH($M503,data!$A:$A,0),MATCH(X$2,data!$1:$1,0)),"#data"),IFERROR(W503*INDEX(indexy_SDcast!$A:$ALI,MATCH($R503,indexy_SDcast!$K:$K,0),MATCH(X$2,indexy_SDcast!$2:$2,0)),"#ekrk")),"#popis")</f>
        <v>-72.731483942036192</v>
      </c>
      <c r="Y503" s="362">
        <f>IF($Q503="ekrk",IF($R503="data",IFERROR(INDEX(data!$A:$ALL,MATCH($M503,data!$A:$A,0),MATCH(Y$2,data!$1:$1,0)),"#data"),IFERROR(X503*INDEX(indexy_SDcast!$A:$ALI,MATCH($R503,indexy_SDcast!$K:$K,0),MATCH(Y$2,indexy_SDcast!$2:$2,0)),"#ekrk")),"#popis")</f>
        <v>-98.394640009076397</v>
      </c>
    </row>
    <row r="504" spans="1:44" x14ac:dyDescent="0.25">
      <c r="A504" s="330">
        <v>625006</v>
      </c>
      <c r="B504" s="329">
        <v>-1.4877299999999996</v>
      </c>
      <c r="C504" s="157"/>
      <c r="D504" s="330">
        <v>625006</v>
      </c>
      <c r="E504" s="329">
        <v>-1.4877299999999996</v>
      </c>
      <c r="F504" s="157"/>
      <c r="G504" s="330">
        <v>625006</v>
      </c>
      <c r="H504" s="329">
        <v>-1.4877299999999996</v>
      </c>
      <c r="I504" s="157"/>
      <c r="J504" s="330">
        <v>625006</v>
      </c>
      <c r="K504" s="329">
        <v>-1.4877299999999996</v>
      </c>
      <c r="L504" s="157"/>
      <c r="M504" s="360">
        <f t="shared" si="53"/>
        <v>625006</v>
      </c>
      <c r="N504" s="237">
        <f t="shared" si="54"/>
        <v>-1.4877299999999996</v>
      </c>
      <c r="O504" s="361"/>
      <c r="P504" s="361"/>
      <c r="Q504" s="361" t="s">
        <v>698</v>
      </c>
      <c r="R504" s="362">
        <v>35</v>
      </c>
      <c r="S504" s="236"/>
      <c r="T504" s="364">
        <f t="shared" si="51"/>
        <v>625006</v>
      </c>
      <c r="U504" s="365">
        <f t="shared" si="55"/>
        <v>-1.4877299999999996</v>
      </c>
      <c r="V504" s="365">
        <f>IF($Q504="ekrk",IF($R504="data",IFERROR(INDEX(data!$A:$ALL,MATCH($M504,data!$A:$A,0),MATCH(V$2,data!$1:$1,0)),"#data"),IFERROR(U504*INDEX(indexy_SDcast!$A:$ALI,MATCH($R504,indexy_SDcast!$K:$K,0),MATCH(V$2,indexy_SDcast!$2:$2,0)),"#ekrk")),"#popis")</f>
        <v>-1.9046397665630417</v>
      </c>
      <c r="W504" s="365">
        <f>IF($Q504="ekrk",IF($R504="data",IFERROR(INDEX(data!$A:$ALL,MATCH($M504,data!$A:$A,0),MATCH(W$2,data!$1:$1,0)),"#data"),IFERROR(V504*INDEX(indexy_SDcast!$A:$ALI,MATCH($R504,indexy_SDcast!$K:$K,0),MATCH(W$2,indexy_SDcast!$2:$2,0)),"#ekrk")),"#popis")</f>
        <v>-1.926050404385959</v>
      </c>
      <c r="X504" s="365">
        <f>IF($Q504="ekrk",IF($R504="data",IFERROR(INDEX(data!$A:$ALL,MATCH($M504,data!$A:$A,0),MATCH(X$2,data!$1:$1,0)),"#data"),IFERROR(W504*INDEX(indexy_SDcast!$A:$ALI,MATCH($R504,indexy_SDcast!$K:$K,0),MATCH(X$2,indexy_SDcast!$2:$2,0)),"#ekrk")),"#popis")</f>
        <v>-1.2371522319610531</v>
      </c>
      <c r="Y504" s="362">
        <f>IF($Q504="ekrk",IF($R504="data",IFERROR(INDEX(data!$A:$ALL,MATCH($M504,data!$A:$A,0),MATCH(Y$2,data!$1:$1,0)),"#data"),IFERROR(X504*INDEX(indexy_SDcast!$A:$ALI,MATCH($R504,indexy_SDcast!$K:$K,0),MATCH(Y$2,indexy_SDcast!$2:$2,0)),"#ekrk")),"#popis")</f>
        <v>-1.6736788788366534</v>
      </c>
    </row>
    <row r="505" spans="1:44" x14ac:dyDescent="0.25">
      <c r="A505" s="330">
        <v>625007</v>
      </c>
      <c r="B505" s="329">
        <v>-414.64980000000025</v>
      </c>
      <c r="C505" s="157"/>
      <c r="D505" s="330">
        <v>625007</v>
      </c>
      <c r="E505" s="329">
        <v>-414.64980000000025</v>
      </c>
      <c r="F505" s="157"/>
      <c r="G505" s="330">
        <v>625007</v>
      </c>
      <c r="H505" s="329">
        <v>-414.64980000000025</v>
      </c>
      <c r="I505" s="157"/>
      <c r="J505" s="330">
        <v>625007</v>
      </c>
      <c r="K505" s="329">
        <v>-414.64980000000025</v>
      </c>
      <c r="L505" s="157"/>
      <c r="M505" s="360">
        <f t="shared" si="53"/>
        <v>625007</v>
      </c>
      <c r="N505" s="237">
        <f t="shared" si="54"/>
        <v>-414.64980000000025</v>
      </c>
      <c r="O505" s="361"/>
      <c r="P505" s="361"/>
      <c r="Q505" s="361" t="s">
        <v>698</v>
      </c>
      <c r="R505" s="362">
        <v>35</v>
      </c>
      <c r="S505" s="236"/>
      <c r="T505" s="364">
        <f t="shared" si="51"/>
        <v>625007</v>
      </c>
      <c r="U505" s="365">
        <f t="shared" si="55"/>
        <v>-414.64980000000025</v>
      </c>
      <c r="V505" s="365">
        <f>IF($Q505="ekrk",IF($R505="data",IFERROR(INDEX(data!$A:$ALL,MATCH($M505,data!$A:$A,0),MATCH(V$2,data!$1:$1,0)),"#data"),IFERROR(U505*INDEX(indexy_SDcast!$A:$ALI,MATCH($R505,indexy_SDcast!$K:$K,0),MATCH(V$2,indexy_SDcast!$2:$2,0)),"#ekrk")),"#popis")</f>
        <v>-530.8480021760754</v>
      </c>
      <c r="W505" s="365">
        <f>IF($Q505="ekrk",IF($R505="data",IFERROR(INDEX(data!$A:$ALL,MATCH($M505,data!$A:$A,0),MATCH(W$2,data!$1:$1,0)),"#data"),IFERROR(V505*INDEX(indexy_SDcast!$A:$ALI,MATCH($R505,indexy_SDcast!$K:$K,0),MATCH(W$2,indexy_SDcast!$2:$2,0)),"#ekrk")),"#popis")</f>
        <v>-536.81542683723376</v>
      </c>
      <c r="X505" s="365">
        <f>IF($Q505="ekrk",IF($R505="data",IFERROR(INDEX(data!$A:$ALL,MATCH($M505,data!$A:$A,0),MATCH(X$2,data!$1:$1,0)),"#data"),IFERROR(W505*INDEX(indexy_SDcast!$A:$ALI,MATCH($R505,indexy_SDcast!$K:$K,0),MATCH(X$2,indexy_SDcast!$2:$2,0)),"#ekrk")),"#popis")</f>
        <v>-344.81050026026543</v>
      </c>
      <c r="Y505" s="362">
        <f>IF($Q505="ekrk",IF($R505="data",IFERROR(INDEX(data!$A:$ALL,MATCH($M505,data!$A:$A,0),MATCH(Y$2,data!$1:$1,0)),"#data"),IFERROR(X505*INDEX(indexy_SDcast!$A:$ALI,MATCH($R505,indexy_SDcast!$K:$K,0),MATCH(Y$2,indexy_SDcast!$2:$2,0)),"#ekrk")),"#popis")</f>
        <v>-466.4761834296836</v>
      </c>
    </row>
    <row r="506" spans="1:44" x14ac:dyDescent="0.25">
      <c r="A506" s="330">
        <v>627000</v>
      </c>
      <c r="B506" s="329">
        <v>-3.0886599999999991</v>
      </c>
      <c r="C506" s="157"/>
      <c r="D506" s="330">
        <v>627000</v>
      </c>
      <c r="E506" s="329">
        <v>-3.0886599999999991</v>
      </c>
      <c r="F506" s="157"/>
      <c r="G506" s="330">
        <v>627000</v>
      </c>
      <c r="H506" s="329">
        <v>-3.0886599999999991</v>
      </c>
      <c r="I506" s="157"/>
      <c r="J506" s="330">
        <v>627000</v>
      </c>
      <c r="K506" s="329">
        <v>-3.0886599999999991</v>
      </c>
      <c r="L506" s="157"/>
      <c r="M506" s="360">
        <f t="shared" si="53"/>
        <v>627000</v>
      </c>
      <c r="N506" s="237">
        <f t="shared" si="54"/>
        <v>-3.0886599999999991</v>
      </c>
      <c r="O506" s="361"/>
      <c r="P506" s="361"/>
      <c r="Q506" s="361" t="s">
        <v>698</v>
      </c>
      <c r="R506" s="362">
        <v>35</v>
      </c>
      <c r="S506" s="236"/>
      <c r="T506" s="364">
        <f t="shared" si="51"/>
        <v>627000</v>
      </c>
      <c r="U506" s="365">
        <f t="shared" si="55"/>
        <v>-3.0886599999999991</v>
      </c>
      <c r="V506" s="365">
        <f>IF($Q506="ekrk",IF($R506="data",IFERROR(INDEX(data!$A:$ALL,MATCH($M506,data!$A:$A,0),MATCH(V$2,data!$1:$1,0)),"#data"),IFERROR(U506*INDEX(indexy_SDcast!$A:$ALI,MATCH($R506,indexy_SDcast!$K:$K,0),MATCH(V$2,indexy_SDcast!$2:$2,0)),"#ekrk")),"#popis")</f>
        <v>-3.9542018117485056</v>
      </c>
      <c r="W506" s="365">
        <f>IF($Q506="ekrk",IF($R506="data",IFERROR(INDEX(data!$A:$ALL,MATCH($M506,data!$A:$A,0),MATCH(W$2,data!$1:$1,0)),"#data"),IFERROR(V506*INDEX(indexy_SDcast!$A:$ALI,MATCH($R506,indexy_SDcast!$K:$K,0),MATCH(W$2,indexy_SDcast!$2:$2,0)),"#ekrk")),"#popis")</f>
        <v>-3.9986522030279259</v>
      </c>
      <c r="X506" s="365">
        <f>IF($Q506="ekrk",IF($R506="data",IFERROR(INDEX(data!$A:$ALL,MATCH($M506,data!$A:$A,0),MATCH(X$2,data!$1:$1,0)),"#data"),IFERROR(W506*INDEX(indexy_SDcast!$A:$ALI,MATCH($R506,indexy_SDcast!$K:$K,0),MATCH(X$2,indexy_SDcast!$2:$2,0)),"#ekrk")),"#popis")</f>
        <v>-2.5684382332606224</v>
      </c>
      <c r="Y506" s="362">
        <f>IF($Q506="ekrk",IF($R506="data",IFERROR(INDEX(data!$A:$ALL,MATCH($M506,data!$A:$A,0),MATCH(Y$2,data!$1:$1,0)),"#data"),IFERROR(X506*INDEX(indexy_SDcast!$A:$ALI,MATCH($R506,indexy_SDcast!$K:$K,0),MATCH(Y$2,indexy_SDcast!$2:$2,0)),"#ekrk")),"#popis")</f>
        <v>-3.4747064359175504</v>
      </c>
    </row>
    <row r="507" spans="1:44" x14ac:dyDescent="0.25">
      <c r="A507" s="330">
        <v>628001</v>
      </c>
      <c r="B507" s="329">
        <v>-1.3679999999999999E-2</v>
      </c>
      <c r="C507" s="157"/>
      <c r="D507" s="330">
        <v>628001</v>
      </c>
      <c r="E507" s="329">
        <v>-1.3679999999999999E-2</v>
      </c>
      <c r="F507" s="157"/>
      <c r="G507" s="330">
        <v>628001</v>
      </c>
      <c r="H507" s="329">
        <v>-1.3679999999999999E-2</v>
      </c>
      <c r="I507" s="157"/>
      <c r="J507" s="330">
        <v>628001</v>
      </c>
      <c r="K507" s="329">
        <v>-1.3679999999999999E-2</v>
      </c>
      <c r="L507" s="157"/>
      <c r="M507" s="360">
        <f t="shared" si="53"/>
        <v>628001</v>
      </c>
      <c r="N507" s="237">
        <f t="shared" si="54"/>
        <v>-1.3679999999999999E-2</v>
      </c>
      <c r="O507" s="361"/>
      <c r="P507" s="361"/>
      <c r="Q507" s="361" t="s">
        <v>698</v>
      </c>
      <c r="R507" s="362">
        <v>35</v>
      </c>
      <c r="S507" s="236"/>
      <c r="T507" s="364">
        <f t="shared" si="51"/>
        <v>628001</v>
      </c>
      <c r="U507" s="365">
        <f t="shared" si="55"/>
        <v>-1.3679999999999999E-2</v>
      </c>
      <c r="V507" s="365">
        <f>IF($Q507="ekrk",IF($R507="data",IFERROR(INDEX(data!$A:$ALL,MATCH($M507,data!$A:$A,0),MATCH(V$2,data!$1:$1,0)),"#data"),IFERROR(U507*INDEX(indexy_SDcast!$A:$ALI,MATCH($R507,indexy_SDcast!$K:$K,0),MATCH(V$2,indexy_SDcast!$2:$2,0)),"#ekrk")),"#popis")</f>
        <v>-1.7513575720448211E-2</v>
      </c>
      <c r="W507" s="365">
        <f>IF($Q507="ekrk",IF($R507="data",IFERROR(INDEX(data!$A:$ALL,MATCH($M507,data!$A:$A,0),MATCH(W$2,data!$1:$1,0)),"#data"),IFERROR(V507*INDEX(indexy_SDcast!$A:$ALI,MATCH($R507,indexy_SDcast!$K:$K,0),MATCH(W$2,indexy_SDcast!$2:$2,0)),"#ekrk")),"#popis")</f>
        <v>-1.7710451178641236E-2</v>
      </c>
      <c r="X507" s="365">
        <f>IF($Q507="ekrk",IF($R507="data",IFERROR(INDEX(data!$A:$ALL,MATCH($M507,data!$A:$A,0),MATCH(X$2,data!$1:$1,0)),"#data"),IFERROR(W507*INDEX(indexy_SDcast!$A:$ALI,MATCH($R507,indexy_SDcast!$K:$K,0),MATCH(X$2,indexy_SDcast!$2:$2,0)),"#ekrk")),"#popis")</f>
        <v>-1.1375883079071612E-2</v>
      </c>
      <c r="Y507" s="362">
        <f>IF($Q507="ekrk",IF($R507="data",IFERROR(INDEX(data!$A:$ALL,MATCH($M507,data!$A:$A,0),MATCH(Y$2,data!$1:$1,0)),"#data"),IFERROR(X507*INDEX(indexy_SDcast!$A:$ALI,MATCH($R507,indexy_SDcast!$K:$K,0),MATCH(Y$2,indexy_SDcast!$2:$2,0)),"#ekrk")),"#popis")</f>
        <v>-1.5389840268385677E-2</v>
      </c>
    </row>
    <row r="508" spans="1:44" x14ac:dyDescent="0.25">
      <c r="A508" s="330">
        <v>628002</v>
      </c>
      <c r="B508" s="329">
        <v>-0.15186000000000002</v>
      </c>
      <c r="C508" s="157"/>
      <c r="D508" s="330">
        <v>628002</v>
      </c>
      <c r="E508" s="329">
        <v>-0.15186000000000002</v>
      </c>
      <c r="F508" s="157"/>
      <c r="G508" s="330">
        <v>628002</v>
      </c>
      <c r="H508" s="329">
        <v>-0.15186000000000002</v>
      </c>
      <c r="I508" s="157"/>
      <c r="J508" s="330">
        <v>628002</v>
      </c>
      <c r="K508" s="329">
        <v>-0.15186000000000002</v>
      </c>
      <c r="L508" s="157"/>
      <c r="M508" s="360">
        <f t="shared" si="53"/>
        <v>628002</v>
      </c>
      <c r="N508" s="237">
        <f t="shared" si="54"/>
        <v>-0.15186000000000002</v>
      </c>
      <c r="O508" s="361"/>
      <c r="P508" s="361"/>
      <c r="Q508" s="361" t="s">
        <v>698</v>
      </c>
      <c r="R508" s="362">
        <v>35</v>
      </c>
      <c r="S508" s="236"/>
      <c r="T508" s="364">
        <f t="shared" si="51"/>
        <v>628002</v>
      </c>
      <c r="U508" s="365">
        <f t="shared" si="55"/>
        <v>-0.15186000000000002</v>
      </c>
      <c r="V508" s="365">
        <f>IF($Q508="ekrk",IF($R508="data",IFERROR(INDEX(data!$A:$ALL,MATCH($M508,data!$A:$A,0),MATCH(V$2,data!$1:$1,0)),"#data"),IFERROR(U508*INDEX(indexy_SDcast!$A:$ALI,MATCH($R508,indexy_SDcast!$K:$K,0),MATCH(V$2,indexy_SDcast!$2:$2,0)),"#ekrk")),"#popis")</f>
        <v>-0.19441605328269487</v>
      </c>
      <c r="W508" s="365">
        <f>IF($Q508="ekrk",IF($R508="data",IFERROR(INDEX(data!$A:$ALL,MATCH($M508,data!$A:$A,0),MATCH(W$2,data!$1:$1,0)),"#data"),IFERROR(V508*INDEX(indexy_SDcast!$A:$ALI,MATCH($R508,indexy_SDcast!$K:$K,0),MATCH(W$2,indexy_SDcast!$2:$2,0)),"#ekrk")),"#popis")</f>
        <v>-0.1966015435664078</v>
      </c>
      <c r="X508" s="365">
        <f>IF($Q508="ekrk",IF($R508="data",IFERROR(INDEX(data!$A:$ALL,MATCH($M508,data!$A:$A,0),MATCH(X$2,data!$1:$1,0)),"#data"),IFERROR(W508*INDEX(indexy_SDcast!$A:$ALI,MATCH($R508,indexy_SDcast!$K:$K,0),MATCH(X$2,indexy_SDcast!$2:$2,0)),"#ekrk")),"#popis")</f>
        <v>-0.12628228102250114</v>
      </c>
      <c r="Y508" s="362">
        <f>IF($Q508="ekrk",IF($R508="data",IFERROR(INDEX(data!$A:$ALL,MATCH($M508,data!$A:$A,0),MATCH(Y$2,data!$1:$1,0)),"#data"),IFERROR(X508*INDEX(indexy_SDcast!$A:$ALI,MATCH($R508,indexy_SDcast!$K:$K,0),MATCH(Y$2,indexy_SDcast!$2:$2,0)),"#ekrk")),"#popis")</f>
        <v>-0.17084072683896562</v>
      </c>
    </row>
    <row r="509" spans="1:44" x14ac:dyDescent="0.25">
      <c r="A509" s="330">
        <v>628003</v>
      </c>
      <c r="B509" s="329">
        <v>-7.6600000000000001E-3</v>
      </c>
      <c r="C509" s="157"/>
      <c r="D509" s="330">
        <v>628003</v>
      </c>
      <c r="E509" s="329">
        <v>-7.6600000000000001E-3</v>
      </c>
      <c r="F509" s="157"/>
      <c r="G509" s="330">
        <v>628003</v>
      </c>
      <c r="H509" s="329">
        <v>-7.6600000000000001E-3</v>
      </c>
      <c r="I509" s="157"/>
      <c r="J509" s="330">
        <v>628003</v>
      </c>
      <c r="K509" s="329">
        <v>-7.6600000000000001E-3</v>
      </c>
      <c r="L509" s="157"/>
      <c r="M509" s="360">
        <f t="shared" si="53"/>
        <v>628003</v>
      </c>
      <c r="N509" s="237">
        <f t="shared" si="54"/>
        <v>-7.6600000000000001E-3</v>
      </c>
      <c r="O509" s="361"/>
      <c r="P509" s="361"/>
      <c r="Q509" s="361" t="s">
        <v>698</v>
      </c>
      <c r="R509" s="362">
        <v>35</v>
      </c>
      <c r="S509" s="236"/>
      <c r="T509" s="364">
        <f t="shared" si="51"/>
        <v>628003</v>
      </c>
      <c r="U509" s="365">
        <f t="shared" si="55"/>
        <v>-7.6600000000000001E-3</v>
      </c>
      <c r="V509" s="365">
        <f>IF($Q509="ekrk",IF($R509="data",IFERROR(INDEX(data!$A:$ALL,MATCH($M509,data!$A:$A,0),MATCH(V$2,data!$1:$1,0)),"#data"),IFERROR(U509*INDEX(indexy_SDcast!$A:$ALI,MATCH($R509,indexy_SDcast!$K:$K,0),MATCH(V$2,indexy_SDcast!$2:$2,0)),"#ekrk")),"#popis")</f>
        <v>-9.8065782177363531E-3</v>
      </c>
      <c r="W509" s="365">
        <f>IF($Q509="ekrk",IF($R509="data",IFERROR(INDEX(data!$A:$ALL,MATCH($M509,data!$A:$A,0),MATCH(W$2,data!$1:$1,0)),"#data"),IFERROR(V509*INDEX(indexy_SDcast!$A:$ALI,MATCH($R509,indexy_SDcast!$K:$K,0),MATCH(W$2,indexy_SDcast!$2:$2,0)),"#ekrk")),"#popis")</f>
        <v>-9.9168169611397582E-3</v>
      </c>
      <c r="X509" s="365">
        <f>IF($Q509="ekrk",IF($R509="data",IFERROR(INDEX(data!$A:$ALL,MATCH($M509,data!$A:$A,0),MATCH(X$2,data!$1:$1,0)),"#data"),IFERROR(W509*INDEX(indexy_SDcast!$A:$ALI,MATCH($R509,indexy_SDcast!$K:$K,0),MATCH(X$2,indexy_SDcast!$2:$2,0)),"#ekrk")),"#popis")</f>
        <v>-6.3698292679596905E-3</v>
      </c>
      <c r="Y509" s="362">
        <f>IF($Q509="ekrk",IF($R509="data",IFERROR(INDEX(data!$A:$ALL,MATCH($M509,data!$A:$A,0),MATCH(Y$2,data!$1:$1,0)),"#data"),IFERROR(X509*INDEX(indexy_SDcast!$A:$ALI,MATCH($R509,indexy_SDcast!$K:$K,0),MATCH(Y$2,indexy_SDcast!$2:$2,0)),"#ekrk")),"#popis")</f>
        <v>-8.617410559637011E-3</v>
      </c>
    </row>
    <row r="510" spans="1:44" x14ac:dyDescent="0.25">
      <c r="A510" s="330">
        <v>628004</v>
      </c>
      <c r="B510" s="329">
        <v>-2.9340000000000001E-2</v>
      </c>
      <c r="C510" s="157"/>
      <c r="D510" s="330">
        <v>628004</v>
      </c>
      <c r="E510" s="329">
        <v>-2.9340000000000001E-2</v>
      </c>
      <c r="F510" s="157"/>
      <c r="G510" s="330">
        <v>628004</v>
      </c>
      <c r="H510" s="329">
        <v>-2.9340000000000001E-2</v>
      </c>
      <c r="I510" s="157"/>
      <c r="J510" s="330">
        <v>628004</v>
      </c>
      <c r="K510" s="329">
        <v>-2.9340000000000001E-2</v>
      </c>
      <c r="L510" s="157"/>
      <c r="M510" s="360">
        <f t="shared" si="53"/>
        <v>628004</v>
      </c>
      <c r="N510" s="237">
        <f t="shared" si="54"/>
        <v>-2.9340000000000001E-2</v>
      </c>
      <c r="O510" s="361"/>
      <c r="P510" s="361"/>
      <c r="Q510" s="361" t="s">
        <v>698</v>
      </c>
      <c r="R510" s="362">
        <v>35</v>
      </c>
      <c r="S510" s="236"/>
      <c r="T510" s="364">
        <f t="shared" si="51"/>
        <v>628004</v>
      </c>
      <c r="U510" s="365">
        <f t="shared" si="55"/>
        <v>-2.9340000000000001E-2</v>
      </c>
      <c r="V510" s="365">
        <f>IF($Q510="ekrk",IF($R510="data",IFERROR(INDEX(data!$A:$ALL,MATCH($M510,data!$A:$A,0),MATCH(V$2,data!$1:$1,0)),"#data"),IFERROR(U510*INDEX(indexy_SDcast!$A:$ALI,MATCH($R510,indexy_SDcast!$K:$K,0),MATCH(V$2,indexy_SDcast!$2:$2,0)),"#ekrk")),"#popis")</f>
        <v>-3.7562011084645505E-2</v>
      </c>
      <c r="W510" s="365">
        <f>IF($Q510="ekrk",IF($R510="data",IFERROR(INDEX(data!$A:$ALL,MATCH($M510,data!$A:$A,0),MATCH(W$2,data!$1:$1,0)),"#data"),IFERROR(V510*INDEX(indexy_SDcast!$A:$ALI,MATCH($R510,indexy_SDcast!$K:$K,0),MATCH(W$2,indexy_SDcast!$2:$2,0)),"#ekrk")),"#popis")</f>
        <v>-3.7984257133138438E-2</v>
      </c>
      <c r="X510" s="365">
        <f>IF($Q510="ekrk",IF($R510="data",IFERROR(INDEX(data!$A:$ALL,MATCH($M510,data!$A:$A,0),MATCH(X$2,data!$1:$1,0)),"#data"),IFERROR(W510*INDEX(indexy_SDcast!$A:$ALI,MATCH($R510,indexy_SDcast!$K:$K,0),MATCH(X$2,indexy_SDcast!$2:$2,0)),"#ekrk")),"#popis")</f>
        <v>-2.4398275551166745E-2</v>
      </c>
      <c r="Y510" s="362">
        <f>IF($Q510="ekrk",IF($R510="data",IFERROR(INDEX(data!$A:$ALL,MATCH($M510,data!$A:$A,0),MATCH(Y$2,data!$1:$1,0)),"#data"),IFERROR(X510*INDEX(indexy_SDcast!$A:$ALI,MATCH($R510,indexy_SDcast!$K:$K,0),MATCH(Y$2,indexy_SDcast!$2:$2,0)),"#ekrk")),"#popis")</f>
        <v>-3.3007157417721908E-2</v>
      </c>
    </row>
    <row r="511" spans="1:44" x14ac:dyDescent="0.25">
      <c r="A511" s="330">
        <v>628005</v>
      </c>
      <c r="B511" s="329">
        <v>-9.7799999999999988E-3</v>
      </c>
      <c r="C511" s="157"/>
      <c r="D511" s="330">
        <v>628005</v>
      </c>
      <c r="E511" s="329">
        <v>-9.7799999999999988E-3</v>
      </c>
      <c r="F511" s="157"/>
      <c r="G511" s="330">
        <v>628005</v>
      </c>
      <c r="H511" s="329">
        <v>-9.7799999999999988E-3</v>
      </c>
      <c r="I511" s="157"/>
      <c r="J511" s="330">
        <v>628005</v>
      </c>
      <c r="K511" s="329">
        <v>-9.7799999999999988E-3</v>
      </c>
      <c r="L511" s="157"/>
      <c r="M511" s="360">
        <f t="shared" si="53"/>
        <v>628005</v>
      </c>
      <c r="N511" s="237">
        <f t="shared" si="54"/>
        <v>-9.7799999999999988E-3</v>
      </c>
      <c r="O511" s="361"/>
      <c r="P511" s="361"/>
      <c r="Q511" s="361" t="s">
        <v>698</v>
      </c>
      <c r="R511" s="362">
        <v>35</v>
      </c>
      <c r="S511" s="236"/>
      <c r="T511" s="364">
        <f t="shared" si="51"/>
        <v>628005</v>
      </c>
      <c r="U511" s="365">
        <f t="shared" si="55"/>
        <v>-9.7799999999999988E-3</v>
      </c>
      <c r="V511" s="365">
        <f>IF($Q511="ekrk",IF($R511="data",IFERROR(INDEX(data!$A:$ALL,MATCH($M511,data!$A:$A,0),MATCH(V$2,data!$1:$1,0)),"#data"),IFERROR(U511*INDEX(indexy_SDcast!$A:$ALI,MATCH($R511,indexy_SDcast!$K:$K,0),MATCH(V$2,indexy_SDcast!$2:$2,0)),"#ekrk")),"#popis")</f>
        <v>-1.2520670361548501E-2</v>
      </c>
      <c r="W511" s="365">
        <f>IF($Q511="ekrk",IF($R511="data",IFERROR(INDEX(data!$A:$ALL,MATCH($M511,data!$A:$A,0),MATCH(W$2,data!$1:$1,0)),"#data"),IFERROR(V511*INDEX(indexy_SDcast!$A:$ALI,MATCH($R511,indexy_SDcast!$K:$K,0),MATCH(W$2,indexy_SDcast!$2:$2,0)),"#ekrk")),"#popis")</f>
        <v>-1.2661419044379479E-2</v>
      </c>
      <c r="X511" s="365">
        <f>IF($Q511="ekrk",IF($R511="data",IFERROR(INDEX(data!$A:$ALL,MATCH($M511,data!$A:$A,0),MATCH(X$2,data!$1:$1,0)),"#data"),IFERROR(W511*INDEX(indexy_SDcast!$A:$ALI,MATCH($R511,indexy_SDcast!$K:$K,0),MATCH(X$2,indexy_SDcast!$2:$2,0)),"#ekrk")),"#popis")</f>
        <v>-8.1327585170555827E-3</v>
      </c>
      <c r="Y511" s="362">
        <f>IF($Q511="ekrk",IF($R511="data",IFERROR(INDEX(data!$A:$ALL,MATCH($M511,data!$A:$A,0),MATCH(Y$2,data!$1:$1,0)),"#data"),IFERROR(X511*INDEX(indexy_SDcast!$A:$ALI,MATCH($R511,indexy_SDcast!$K:$K,0),MATCH(Y$2,indexy_SDcast!$2:$2,0)),"#ekrk")),"#popis")</f>
        <v>-1.1002385805907304E-2</v>
      </c>
    </row>
    <row r="512" spans="1:44" s="18" customFormat="1" x14ac:dyDescent="0.25">
      <c r="A512" s="333" t="s">
        <v>701</v>
      </c>
      <c r="B512" s="334">
        <v>-8.0974500000000003</v>
      </c>
      <c r="C512" s="164"/>
      <c r="D512" s="333" t="s">
        <v>701</v>
      </c>
      <c r="E512" s="334">
        <v>-8.0974500000000003</v>
      </c>
      <c r="F512" s="164"/>
      <c r="G512" s="333" t="s">
        <v>701</v>
      </c>
      <c r="H512" s="334">
        <v>-8.0974500000000003</v>
      </c>
      <c r="I512" s="164"/>
      <c r="J512" s="333" t="s">
        <v>701</v>
      </c>
      <c r="K512" s="334">
        <v>-8.0974500000000003</v>
      </c>
      <c r="L512" s="164"/>
      <c r="M512" s="358" t="str">
        <f t="shared" si="53"/>
        <v>D122PAY</v>
      </c>
      <c r="N512" s="239">
        <f t="shared" si="54"/>
        <v>-8.0974500000000003</v>
      </c>
      <c r="O512" s="243"/>
      <c r="P512" s="243">
        <f>MATCH(Q512,Q513:Q$1550,0)</f>
        <v>4</v>
      </c>
      <c r="Q512" s="243" t="s">
        <v>697</v>
      </c>
      <c r="R512" s="359" t="str">
        <f>IF(Q512="ekrk",INDEX(indexy_SDcast!$A:$C,MATCH($M512,indexy_SDcast!$A:$A,0),2),"")</f>
        <v/>
      </c>
      <c r="S512" s="240"/>
      <c r="T512" s="363" t="str">
        <f t="shared" si="51"/>
        <v>D122PAY</v>
      </c>
      <c r="U512" s="244">
        <f>SUM(U513:U515)</f>
        <v>-8.0974500000000003</v>
      </c>
      <c r="V512" s="244">
        <f>SUM(V513:V515)</f>
        <v>-10.366615768826271</v>
      </c>
      <c r="W512" s="244">
        <f>SUM(W513:W515)</f>
        <v>-10.483150065532786</v>
      </c>
      <c r="X512" s="244">
        <f>SUM(X513:X515)</f>
        <v>-6.7335997396658218</v>
      </c>
      <c r="Y512" s="359">
        <f>SUM(Y513:Y515)</f>
        <v>-9.109536701845002</v>
      </c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8"/>
      <c r="AN512" s="58"/>
      <c r="AO512" s="58"/>
      <c r="AP512" s="58"/>
      <c r="AQ512" s="58"/>
      <c r="AR512" s="58"/>
    </row>
    <row r="513" spans="1:44" x14ac:dyDescent="0.25">
      <c r="A513" s="330">
        <v>637016</v>
      </c>
      <c r="B513" s="329">
        <v>-4.5260000000000007</v>
      </c>
      <c r="C513" s="157"/>
      <c r="D513" s="330">
        <v>637016</v>
      </c>
      <c r="E513" s="329">
        <v>-4.5260000000000007</v>
      </c>
      <c r="F513" s="157"/>
      <c r="G513" s="330">
        <v>637016</v>
      </c>
      <c r="H513" s="329">
        <v>-4.5260000000000007</v>
      </c>
      <c r="I513" s="157"/>
      <c r="J513" s="330">
        <v>637016</v>
      </c>
      <c r="K513" s="329">
        <v>-4.5260000000000007</v>
      </c>
      <c r="L513" s="157"/>
      <c r="M513" s="360">
        <f t="shared" si="53"/>
        <v>637016</v>
      </c>
      <c r="N513" s="237">
        <f t="shared" si="54"/>
        <v>-4.5260000000000007</v>
      </c>
      <c r="O513" s="361"/>
      <c r="P513" s="361"/>
      <c r="Q513" s="361" t="s">
        <v>698</v>
      </c>
      <c r="R513" s="362">
        <v>35</v>
      </c>
      <c r="S513" s="236"/>
      <c r="T513" s="364">
        <f t="shared" si="51"/>
        <v>637016</v>
      </c>
      <c r="U513" s="365">
        <f>N513</f>
        <v>-4.5260000000000007</v>
      </c>
      <c r="V513" s="365">
        <f>IF($Q513="ekrk",IF($R513="data",IFERROR(INDEX(data!$A:$ALL,MATCH($M513,data!$A:$A,0),MATCH(V$2,data!$1:$1,0)),"#data"),IFERROR(U513*INDEX(indexy_SDcast!$A:$ALI,MATCH($R513,indexy_SDcast!$K:$K,0),MATCH(V$2,indexy_SDcast!$2:$2,0)),"#ekrk")),"#popis")</f>
        <v>-5.7943306806102788</v>
      </c>
      <c r="W513" s="365">
        <f>IF($Q513="ekrk",IF($R513="data",IFERROR(INDEX(data!$A:$ALL,MATCH($M513,data!$A:$A,0),MATCH(W$2,data!$1:$1,0)),"#data"),IFERROR(V513*INDEX(indexy_SDcast!$A:$ALI,MATCH($R513,indexy_SDcast!$K:$K,0),MATCH(W$2,indexy_SDcast!$2:$2,0)),"#ekrk")),"#popis")</f>
        <v>-5.8594665229919771</v>
      </c>
      <c r="X513" s="365">
        <f>IF($Q513="ekrk",IF($R513="data",IFERROR(INDEX(data!$A:$ALL,MATCH($M513,data!$A:$A,0),MATCH(X$2,data!$1:$1,0)),"#data"),IFERROR(W513*INDEX(indexy_SDcast!$A:$ALI,MATCH($R513,indexy_SDcast!$K:$K,0),MATCH(X$2,indexy_SDcast!$2:$2,0)),"#ekrk")),"#popis")</f>
        <v>-3.7636876327396291</v>
      </c>
      <c r="Y513" s="362">
        <f>IF($Q513="ekrk",IF($R513="data",IFERROR(INDEX(data!$A:$ALL,MATCH($M513,data!$A:$A,0),MATCH(Y$2,data!$1:$1,0)),"#data"),IFERROR(X513*INDEX(indexy_SDcast!$A:$ALI,MATCH($R513,indexy_SDcast!$K:$K,0),MATCH(Y$2,indexy_SDcast!$2:$2,0)),"#ekrk")),"#popis")</f>
        <v>-5.0916971531223387</v>
      </c>
    </row>
    <row r="514" spans="1:44" x14ac:dyDescent="0.25">
      <c r="A514" s="330">
        <v>642013</v>
      </c>
      <c r="B514" s="329">
        <v>-6.8699999999999983E-2</v>
      </c>
      <c r="C514" s="157"/>
      <c r="D514" s="330">
        <v>642013</v>
      </c>
      <c r="E514" s="329">
        <v>-6.8699999999999983E-2</v>
      </c>
      <c r="F514" s="157"/>
      <c r="G514" s="330">
        <v>642013</v>
      </c>
      <c r="H514" s="329">
        <v>-6.8699999999999983E-2</v>
      </c>
      <c r="I514" s="157"/>
      <c r="J514" s="330">
        <v>642013</v>
      </c>
      <c r="K514" s="329">
        <v>-6.8699999999999983E-2</v>
      </c>
      <c r="L514" s="157"/>
      <c r="M514" s="360">
        <f t="shared" si="53"/>
        <v>642013</v>
      </c>
      <c r="N514" s="237">
        <f t="shared" si="54"/>
        <v>-6.8699999999999983E-2</v>
      </c>
      <c r="O514" s="361"/>
      <c r="P514" s="361"/>
      <c r="Q514" s="361" t="s">
        <v>698</v>
      </c>
      <c r="R514" s="362">
        <v>35</v>
      </c>
      <c r="S514" s="236"/>
      <c r="T514" s="364">
        <f t="shared" si="51"/>
        <v>642013</v>
      </c>
      <c r="U514" s="365">
        <f>N514</f>
        <v>-6.8699999999999983E-2</v>
      </c>
      <c r="V514" s="365">
        <f>IF($Q514="ekrk",IF($R514="data",IFERROR(INDEX(data!$A:$ALL,MATCH($M514,data!$A:$A,0),MATCH(V$2,data!$1:$1,0)),"#data"),IFERROR(U514*INDEX(indexy_SDcast!$A:$ALI,MATCH($R514,indexy_SDcast!$K:$K,0),MATCH(V$2,indexy_SDcast!$2:$2,0)),"#ekrk")),"#popis")</f>
        <v>-8.7951948245233322E-2</v>
      </c>
      <c r="W514" s="365">
        <f>IF($Q514="ekrk",IF($R514="data",IFERROR(INDEX(data!$A:$ALL,MATCH($M514,data!$A:$A,0),MATCH(W$2,data!$1:$1,0)),"#data"),IFERROR(V514*INDEX(indexy_SDcast!$A:$ALI,MATCH($R514,indexy_SDcast!$K:$K,0),MATCH(W$2,indexy_SDcast!$2:$2,0)),"#ekrk")),"#popis")</f>
        <v>-8.8940642980457063E-2</v>
      </c>
      <c r="X514" s="365">
        <f>IF($Q514="ekrk",IF($R514="data",IFERROR(INDEX(data!$A:$ALL,MATCH($M514,data!$A:$A,0),MATCH(X$2,data!$1:$1,0)),"#data"),IFERROR(W514*INDEX(indexy_SDcast!$A:$ALI,MATCH($R514,indexy_SDcast!$K:$K,0),MATCH(X$2,indexy_SDcast!$2:$2,0)),"#ekrk")),"#popis")</f>
        <v>-5.7128886515513129E-2</v>
      </c>
      <c r="Y514" s="362">
        <f>IF($Q514="ekrk",IF($R514="data",IFERROR(INDEX(data!$A:$ALL,MATCH($M514,data!$A:$A,0),MATCH(Y$2,data!$1:$1,0)),"#data"),IFERROR(X514*INDEX(indexy_SDcast!$A:$ALI,MATCH($R514,indexy_SDcast!$K:$K,0),MATCH(Y$2,indexy_SDcast!$2:$2,0)),"#ekrk")),"#popis")</f>
        <v>-7.7286697839042087E-2</v>
      </c>
    </row>
    <row r="515" spans="1:44" x14ac:dyDescent="0.25">
      <c r="A515" s="330">
        <v>642015</v>
      </c>
      <c r="B515" s="329">
        <v>-3.5027500000000003</v>
      </c>
      <c r="C515" s="157"/>
      <c r="D515" s="330">
        <v>642015</v>
      </c>
      <c r="E515" s="329">
        <v>-3.5027500000000003</v>
      </c>
      <c r="F515" s="157"/>
      <c r="G515" s="330">
        <v>642015</v>
      </c>
      <c r="H515" s="329">
        <v>-3.5027500000000003</v>
      </c>
      <c r="I515" s="157"/>
      <c r="J515" s="330">
        <v>642015</v>
      </c>
      <c r="K515" s="329">
        <v>-3.5027500000000003</v>
      </c>
      <c r="L515" s="157"/>
      <c r="M515" s="360">
        <f t="shared" si="53"/>
        <v>642015</v>
      </c>
      <c r="N515" s="237">
        <f t="shared" si="54"/>
        <v>-3.5027500000000003</v>
      </c>
      <c r="O515" s="361"/>
      <c r="P515" s="361"/>
      <c r="Q515" s="361" t="s">
        <v>698</v>
      </c>
      <c r="R515" s="362">
        <v>35</v>
      </c>
      <c r="S515" s="236"/>
      <c r="T515" s="364">
        <f t="shared" si="51"/>
        <v>642015</v>
      </c>
      <c r="U515" s="365">
        <f>N515</f>
        <v>-3.5027500000000003</v>
      </c>
      <c r="V515" s="365">
        <f>IF($Q515="ekrk",IF($R515="data",IFERROR(INDEX(data!$A:$ALL,MATCH($M515,data!$A:$A,0),MATCH(V$2,data!$1:$1,0)),"#data"),IFERROR(U515*INDEX(indexy_SDcast!$A:$ALI,MATCH($R515,indexy_SDcast!$K:$K,0),MATCH(V$2,indexy_SDcast!$2:$2,0)),"#ekrk")),"#popis")</f>
        <v>-4.4843331399707589</v>
      </c>
      <c r="W515" s="365">
        <f>IF($Q515="ekrk",IF($R515="data",IFERROR(INDEX(data!$A:$ALL,MATCH($M515,data!$A:$A,0),MATCH(W$2,data!$1:$1,0)),"#data"),IFERROR(V515*INDEX(indexy_SDcast!$A:$ALI,MATCH($R515,indexy_SDcast!$K:$K,0),MATCH(W$2,indexy_SDcast!$2:$2,0)),"#ekrk")),"#popis")</f>
        <v>-4.5347428995603511</v>
      </c>
      <c r="X515" s="365">
        <f>IF($Q515="ekrk",IF($R515="data",IFERROR(INDEX(data!$A:$ALL,MATCH($M515,data!$A:$A,0),MATCH(X$2,data!$1:$1,0)),"#data"),IFERROR(W515*INDEX(indexy_SDcast!$A:$ALI,MATCH($R515,indexy_SDcast!$K:$K,0),MATCH(X$2,indexy_SDcast!$2:$2,0)),"#ekrk")),"#popis")</f>
        <v>-2.9127832204106796</v>
      </c>
      <c r="Y515" s="362">
        <f>IF($Q515="ekrk",IF($R515="data",IFERROR(INDEX(data!$A:$ALL,MATCH($M515,data!$A:$A,0),MATCH(Y$2,data!$1:$1,0)),"#data"),IFERROR(X515*INDEX(indexy_SDcast!$A:$ALI,MATCH($R515,indexy_SDcast!$K:$K,0),MATCH(Y$2,indexy_SDcast!$2:$2,0)),"#ekrk")),"#popis")</f>
        <v>-3.9405528508836216</v>
      </c>
    </row>
    <row r="516" spans="1:44" s="18" customFormat="1" x14ac:dyDescent="0.25">
      <c r="A516" s="333" t="s">
        <v>706</v>
      </c>
      <c r="B516" s="334">
        <v>-55.062370000000001</v>
      </c>
      <c r="C516" s="164"/>
      <c r="D516" s="333" t="s">
        <v>706</v>
      </c>
      <c r="E516" s="334">
        <v>-55.062370000000001</v>
      </c>
      <c r="F516" s="164"/>
      <c r="G516" s="333" t="s">
        <v>706</v>
      </c>
      <c r="H516" s="334">
        <v>-55.062370000000001</v>
      </c>
      <c r="I516" s="164"/>
      <c r="J516" s="333" t="s">
        <v>706</v>
      </c>
      <c r="K516" s="334">
        <v>-55.062370000000001</v>
      </c>
      <c r="L516" s="164"/>
      <c r="M516" s="358" t="str">
        <f t="shared" si="53"/>
        <v>D29PAY</v>
      </c>
      <c r="N516" s="239">
        <f t="shared" si="54"/>
        <v>-55.062370000000001</v>
      </c>
      <c r="O516" s="243"/>
      <c r="P516" s="243">
        <f>MATCH(Q516,Q517:Q$1550,0)</f>
        <v>3</v>
      </c>
      <c r="Q516" s="243" t="s">
        <v>697</v>
      </c>
      <c r="R516" s="359" t="str">
        <f>IF(Q516="ekrk",INDEX(indexy_SDcast!$A:$C,MATCH($M516,indexy_SDcast!$A:$A,0),2),"")</f>
        <v/>
      </c>
      <c r="S516" s="240"/>
      <c r="T516" s="363" t="str">
        <f t="shared" si="51"/>
        <v>D29PAY</v>
      </c>
      <c r="U516" s="244">
        <f>SUM(U517:U518)</f>
        <v>-55.062370000000001</v>
      </c>
      <c r="V516" s="244">
        <f>SUM(V517:V518)</f>
        <v>-70.492615960697066</v>
      </c>
      <c r="W516" s="244">
        <f>SUM(W517:W518)</f>
        <v>-71.285045004771916</v>
      </c>
      <c r="X516" s="244">
        <f>SUM(X517:X518)</f>
        <v>-45.788237074311432</v>
      </c>
      <c r="Y516" s="359">
        <f>SUM(Y517:Y518)</f>
        <v>-61.944523325932131</v>
      </c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8"/>
      <c r="AN516" s="58"/>
      <c r="AO516" s="58"/>
      <c r="AP516" s="58"/>
      <c r="AQ516" s="58"/>
      <c r="AR516" s="58"/>
    </row>
    <row r="517" spans="1:44" x14ac:dyDescent="0.25">
      <c r="A517" s="330">
        <v>637023</v>
      </c>
      <c r="B517" s="329">
        <v>-9.9000000000000008E-3</v>
      </c>
      <c r="C517" s="157"/>
      <c r="D517" s="330">
        <v>637023</v>
      </c>
      <c r="E517" s="329">
        <v>-9.9000000000000008E-3</v>
      </c>
      <c r="F517" s="157"/>
      <c r="G517" s="330">
        <v>637023</v>
      </c>
      <c r="H517" s="329">
        <v>-9.9000000000000008E-3</v>
      </c>
      <c r="I517" s="157"/>
      <c r="J517" s="330">
        <v>637023</v>
      </c>
      <c r="K517" s="329">
        <v>-9.9000000000000008E-3</v>
      </c>
      <c r="L517" s="157"/>
      <c r="M517" s="360">
        <f t="shared" si="53"/>
        <v>637023</v>
      </c>
      <c r="N517" s="237">
        <f t="shared" si="54"/>
        <v>-9.9000000000000008E-3</v>
      </c>
      <c r="O517" s="361"/>
      <c r="P517" s="361"/>
      <c r="Q517" s="361" t="s">
        <v>698</v>
      </c>
      <c r="R517" s="362">
        <v>35</v>
      </c>
      <c r="S517" s="236"/>
      <c r="T517" s="364">
        <f t="shared" si="51"/>
        <v>637023</v>
      </c>
      <c r="U517" s="365">
        <f>N517</f>
        <v>-9.9000000000000008E-3</v>
      </c>
      <c r="V517" s="365">
        <f>IF($Q517="ekrk",IF($R517="data",IFERROR(INDEX(data!$A:$ALL,MATCH($M517,data!$A:$A,0),MATCH(V$2,data!$1:$1,0)),"#data"),IFERROR(U517*INDEX(indexy_SDcast!$A:$ALI,MATCH($R517,indexy_SDcast!$K:$K,0),MATCH(V$2,indexy_SDcast!$2:$2,0)),"#ekrk")),"#popis")</f>
        <v>-1.2674298218745418E-2</v>
      </c>
      <c r="W517" s="365">
        <f>IF($Q517="ekrk",IF($R517="data",IFERROR(INDEX(data!$A:$ALL,MATCH($M517,data!$A:$A,0),MATCH(W$2,data!$1:$1,0)),"#data"),IFERROR(V517*INDEX(indexy_SDcast!$A:$ALI,MATCH($R517,indexy_SDcast!$K:$K,0),MATCH(W$2,indexy_SDcast!$2:$2,0)),"#ekrk")),"#popis")</f>
        <v>-1.2816773879279845E-2</v>
      </c>
      <c r="X517" s="365">
        <f>IF($Q517="ekrk",IF($R517="data",IFERROR(INDEX(data!$A:$ALL,MATCH($M517,data!$A:$A,0),MATCH(X$2,data!$1:$1,0)),"#data"),IFERROR(W517*INDEX(indexy_SDcast!$A:$ALI,MATCH($R517,indexy_SDcast!$K:$K,0),MATCH(X$2,indexy_SDcast!$2:$2,0)),"#ekrk")),"#popis")</f>
        <v>-8.2325469651176163E-3</v>
      </c>
      <c r="Y517" s="362">
        <f>IF($Q517="ekrk",IF($R517="data",IFERROR(INDEX(data!$A:$ALL,MATCH($M517,data!$A:$A,0),MATCH(Y$2,data!$1:$1,0)),"#data"),IFERROR(X517*INDEX(indexy_SDcast!$A:$ALI,MATCH($R517,indexy_SDcast!$K:$K,0),MATCH(Y$2,indexy_SDcast!$2:$2,0)),"#ekrk")),"#popis")</f>
        <v>-1.1137384404752796E-2</v>
      </c>
    </row>
    <row r="518" spans="1:44" x14ac:dyDescent="0.25">
      <c r="A518" s="330">
        <v>637035</v>
      </c>
      <c r="B518" s="329">
        <v>-55.05247</v>
      </c>
      <c r="C518" s="157"/>
      <c r="D518" s="330">
        <v>637035</v>
      </c>
      <c r="E518" s="329">
        <v>-55.05247</v>
      </c>
      <c r="F518" s="157"/>
      <c r="G518" s="330">
        <v>637035</v>
      </c>
      <c r="H518" s="329">
        <v>-55.05247</v>
      </c>
      <c r="I518" s="157"/>
      <c r="J518" s="330">
        <v>637035</v>
      </c>
      <c r="K518" s="329">
        <v>-55.05247</v>
      </c>
      <c r="L518" s="157"/>
      <c r="M518" s="360">
        <f t="shared" si="53"/>
        <v>637035</v>
      </c>
      <c r="N518" s="237">
        <f t="shared" si="54"/>
        <v>-55.05247</v>
      </c>
      <c r="O518" s="361"/>
      <c r="P518" s="361"/>
      <c r="Q518" s="361" t="s">
        <v>698</v>
      </c>
      <c r="R518" s="362">
        <v>35</v>
      </c>
      <c r="S518" s="236"/>
      <c r="T518" s="364">
        <f t="shared" si="51"/>
        <v>637035</v>
      </c>
      <c r="U518" s="365">
        <f>N518</f>
        <v>-55.05247</v>
      </c>
      <c r="V518" s="365">
        <f>IF($Q518="ekrk",IF($R518="data",IFERROR(INDEX(data!$A:$ALL,MATCH($M518,data!$A:$A,0),MATCH(V$2,data!$1:$1,0)),"#data"),IFERROR(U518*INDEX(indexy_SDcast!$A:$ALI,MATCH($R518,indexy_SDcast!$K:$K,0),MATCH(V$2,indexy_SDcast!$2:$2,0)),"#ekrk")),"#popis")</f>
        <v>-70.479941662478325</v>
      </c>
      <c r="W518" s="365">
        <f>IF($Q518="ekrk",IF($R518="data",IFERROR(INDEX(data!$A:$ALL,MATCH($M518,data!$A:$A,0),MATCH(W$2,data!$1:$1,0)),"#data"),IFERROR(V518*INDEX(indexy_SDcast!$A:$ALI,MATCH($R518,indexy_SDcast!$K:$K,0),MATCH(W$2,indexy_SDcast!$2:$2,0)),"#ekrk")),"#popis")</f>
        <v>-71.272228230892637</v>
      </c>
      <c r="X518" s="365">
        <f>IF($Q518="ekrk",IF($R518="data",IFERROR(INDEX(data!$A:$ALL,MATCH($M518,data!$A:$A,0),MATCH(X$2,data!$1:$1,0)),"#data"),IFERROR(W518*INDEX(indexy_SDcast!$A:$ALI,MATCH($R518,indexy_SDcast!$K:$K,0),MATCH(X$2,indexy_SDcast!$2:$2,0)),"#ekrk")),"#popis")</f>
        <v>-45.780004527346314</v>
      </c>
      <c r="Y518" s="362">
        <f>IF($Q518="ekrk",IF($R518="data",IFERROR(INDEX(data!$A:$ALL,MATCH($M518,data!$A:$A,0),MATCH(Y$2,data!$1:$1,0)),"#data"),IFERROR(X518*INDEX(indexy_SDcast!$A:$ALI,MATCH($R518,indexy_SDcast!$K:$K,0),MATCH(Y$2,indexy_SDcast!$2:$2,0)),"#ekrk")),"#popis")</f>
        <v>-61.933385941527376</v>
      </c>
    </row>
    <row r="519" spans="1:44" s="18" customFormat="1" x14ac:dyDescent="0.25">
      <c r="A519" s="333" t="s">
        <v>708</v>
      </c>
      <c r="B519" s="334">
        <v>-36406.795460000016</v>
      </c>
      <c r="C519" s="164"/>
      <c r="D519" s="333" t="s">
        <v>708</v>
      </c>
      <c r="E519" s="334">
        <v>-36406.795460000016</v>
      </c>
      <c r="F519" s="164"/>
      <c r="G519" s="333" t="s">
        <v>708</v>
      </c>
      <c r="H519" s="334">
        <v>-36406.795460000016</v>
      </c>
      <c r="I519" s="164"/>
      <c r="J519" s="333" t="s">
        <v>708</v>
      </c>
      <c r="K519" s="334">
        <v>-36406.795460000016</v>
      </c>
      <c r="L519" s="164"/>
      <c r="M519" s="358" t="str">
        <f t="shared" si="53"/>
        <v>D319PAY</v>
      </c>
      <c r="N519" s="239">
        <f t="shared" si="54"/>
        <v>-36406.795460000016</v>
      </c>
      <c r="O519" s="243"/>
      <c r="P519" s="243">
        <f>MATCH(Q519,Q520:Q$1550,0)</f>
        <v>5</v>
      </c>
      <c r="Q519" s="243" t="s">
        <v>697</v>
      </c>
      <c r="R519" s="359" t="str">
        <f>IF(Q519="ekrk",INDEX(indexy_SDcast!$A:$C,MATCH($M519,indexy_SDcast!$A:$A,0),2),"")</f>
        <v/>
      </c>
      <c r="S519" s="240"/>
      <c r="T519" s="363" t="str">
        <f t="shared" si="51"/>
        <v>D319PAY</v>
      </c>
      <c r="U519" s="244">
        <f>SUM(U520:U523)</f>
        <v>-36406.795460000016</v>
      </c>
      <c r="V519" s="244">
        <f>SUM(V520:V523)</f>
        <v>-46609.149782717875</v>
      </c>
      <c r="W519" s="244">
        <f>SUM(W520:W523)</f>
        <v>-47133.097482829515</v>
      </c>
      <c r="X519" s="244">
        <f>SUM(X520:X523)</f>
        <v>-30274.813482210189</v>
      </c>
      <c r="Y519" s="359">
        <f>SUM(Y520:Y523)</f>
        <v>-40957.219796285754</v>
      </c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8"/>
      <c r="AN519" s="58"/>
      <c r="AO519" s="58"/>
      <c r="AP519" s="58"/>
      <c r="AQ519" s="58"/>
      <c r="AR519" s="58"/>
    </row>
    <row r="520" spans="1:44" x14ac:dyDescent="0.25">
      <c r="A520" s="330">
        <v>644001</v>
      </c>
      <c r="B520" s="329">
        <v>-883.85091000000011</v>
      </c>
      <c r="C520" s="157"/>
      <c r="D520" s="330">
        <v>644001</v>
      </c>
      <c r="E520" s="329">
        <v>-883.85091000000011</v>
      </c>
      <c r="F520" s="157"/>
      <c r="G520" s="330">
        <v>644001</v>
      </c>
      <c r="H520" s="329">
        <v>-883.85091000000011</v>
      </c>
      <c r="I520" s="157"/>
      <c r="J520" s="330">
        <v>644001</v>
      </c>
      <c r="K520" s="329">
        <v>-883.85091000000011</v>
      </c>
      <c r="L520" s="157"/>
      <c r="M520" s="360">
        <f t="shared" si="53"/>
        <v>644001</v>
      </c>
      <c r="N520" s="237">
        <f t="shared" si="54"/>
        <v>-883.85091000000011</v>
      </c>
      <c r="O520" s="361"/>
      <c r="P520" s="361"/>
      <c r="Q520" s="361" t="s">
        <v>698</v>
      </c>
      <c r="R520" s="362">
        <v>35</v>
      </c>
      <c r="S520" s="236"/>
      <c r="T520" s="364">
        <f t="shared" si="51"/>
        <v>644001</v>
      </c>
      <c r="U520" s="365">
        <f>N520</f>
        <v>-883.85091000000011</v>
      </c>
      <c r="V520" s="365">
        <f>IF($Q520="ekrk",IF($R520="data",IFERROR(INDEX(data!$A:$ALL,MATCH($M520,data!$A:$A,0),MATCH(V$2,data!$1:$1,0)),"#data"),IFERROR(U520*INDEX(indexy_SDcast!$A:$ALI,MATCH($R520,indexy_SDcast!$K:$K,0),MATCH(V$2,indexy_SDcast!$2:$2,0)),"#ekrk")),"#popis")</f>
        <v>-1131.5343448736885</v>
      </c>
      <c r="W520" s="365">
        <f>IF($Q520="ekrk",IF($R520="data",IFERROR(INDEX(data!$A:$ALL,MATCH($M520,data!$A:$A,0),MATCH(W$2,data!$1:$1,0)),"#data"),IFERROR(V520*INDEX(indexy_SDcast!$A:$ALI,MATCH($R520,indexy_SDcast!$K:$K,0),MATCH(W$2,indexy_SDcast!$2:$2,0)),"#ekrk")),"#popis")</f>
        <v>-1144.2542683298707</v>
      </c>
      <c r="X520" s="365">
        <f>IF($Q520="ekrk",IF($R520="data",IFERROR(INDEX(data!$A:$ALL,MATCH($M520,data!$A:$A,0),MATCH(X$2,data!$1:$1,0)),"#data"),IFERROR(W520*INDEX(indexy_SDcast!$A:$ALI,MATCH($R520,indexy_SDcast!$K:$K,0),MATCH(X$2,indexy_SDcast!$2:$2,0)),"#ekrk")),"#popis")</f>
        <v>-734.9842552259538</v>
      </c>
      <c r="Y520" s="362">
        <f>IF($Q520="ekrk",IF($R520="data",IFERROR(INDEX(data!$A:$ALL,MATCH($M520,data!$A:$A,0),MATCH(Y$2,data!$1:$1,0)),"#data"),IFERROR(X520*INDEX(indexy_SDcast!$A:$ALI,MATCH($R520,indexy_SDcast!$K:$K,0),MATCH(Y$2,indexy_SDcast!$2:$2,0)),"#ekrk")),"#popis")</f>
        <v>-994.32195365258235</v>
      </c>
    </row>
    <row r="521" spans="1:44" x14ac:dyDescent="0.25">
      <c r="A521" s="330">
        <v>644002</v>
      </c>
      <c r="B521" s="329">
        <v>-30418.554580000011</v>
      </c>
      <c r="C521" s="157"/>
      <c r="D521" s="330">
        <v>644002</v>
      </c>
      <c r="E521" s="329">
        <v>-30418.554580000011</v>
      </c>
      <c r="F521" s="157"/>
      <c r="G521" s="330">
        <v>644002</v>
      </c>
      <c r="H521" s="329">
        <v>-30418.554580000011</v>
      </c>
      <c r="I521" s="157"/>
      <c r="J521" s="330">
        <v>644002</v>
      </c>
      <c r="K521" s="329">
        <v>-30418.554580000011</v>
      </c>
      <c r="L521" s="157"/>
      <c r="M521" s="360">
        <f t="shared" si="53"/>
        <v>644002</v>
      </c>
      <c r="N521" s="237">
        <f t="shared" si="54"/>
        <v>-30418.554580000011</v>
      </c>
      <c r="O521" s="361"/>
      <c r="P521" s="361"/>
      <c r="Q521" s="361" t="s">
        <v>698</v>
      </c>
      <c r="R521" s="362">
        <v>35</v>
      </c>
      <c r="S521" s="236"/>
      <c r="T521" s="364">
        <f t="shared" si="51"/>
        <v>644002</v>
      </c>
      <c r="U521" s="365">
        <f>N521</f>
        <v>-30418.554580000011</v>
      </c>
      <c r="V521" s="365">
        <f>IF($Q521="ekrk",IF($R521="data",IFERROR(INDEX(data!$A:$ALL,MATCH($M521,data!$A:$A,0),MATCH(V$2,data!$1:$1,0)),"#data"),IFERROR(U521*INDEX(indexy_SDcast!$A:$ALI,MATCH($R521,indexy_SDcast!$K:$K,0),MATCH(V$2,indexy_SDcast!$2:$2,0)),"#ekrk")),"#popis")</f>
        <v>-38942.811326273171</v>
      </c>
      <c r="W521" s="365">
        <f>IF($Q521="ekrk",IF($R521="data",IFERROR(INDEX(data!$A:$ALL,MATCH($M521,data!$A:$A,0),MATCH(W$2,data!$1:$1,0)),"#data"),IFERROR(V521*INDEX(indexy_SDcast!$A:$ALI,MATCH($R521,indexy_SDcast!$K:$K,0),MATCH(W$2,indexy_SDcast!$2:$2,0)),"#ekrk")),"#popis")</f>
        <v>-39380.579372362867</v>
      </c>
      <c r="X521" s="365">
        <f>IF($Q521="ekrk",IF($R521="data",IFERROR(INDEX(data!$A:$ALL,MATCH($M521,data!$A:$A,0),MATCH(X$2,data!$1:$1,0)),"#data"),IFERROR(W521*INDEX(indexy_SDcast!$A:$ALI,MATCH($R521,indexy_SDcast!$K:$K,0),MATCH(X$2,indexy_SDcast!$2:$2,0)),"#ekrk")),"#popis")</f>
        <v>-25295.169615236729</v>
      </c>
      <c r="Y521" s="362">
        <f>IF($Q521="ekrk",IF($R521="data",IFERROR(INDEX(data!$A:$ALL,MATCH($M521,data!$A:$A,0),MATCH(Y$2,data!$1:$1,0)),"#data"),IFERROR(X521*INDEX(indexy_SDcast!$A:$ALI,MATCH($R521,indexy_SDcast!$K:$K,0),MATCH(Y$2,indexy_SDcast!$2:$2,0)),"#ekrk")),"#popis")</f>
        <v>-34220.518726708462</v>
      </c>
    </row>
    <row r="522" spans="1:44" x14ac:dyDescent="0.25">
      <c r="A522" s="330">
        <v>644003</v>
      </c>
      <c r="B522" s="329">
        <v>-5098.239730000003</v>
      </c>
      <c r="C522" s="157"/>
      <c r="D522" s="330">
        <v>644003</v>
      </c>
      <c r="E522" s="329">
        <v>-5098.239730000003</v>
      </c>
      <c r="F522" s="157"/>
      <c r="G522" s="330">
        <v>644003</v>
      </c>
      <c r="H522" s="329">
        <v>-5098.239730000003</v>
      </c>
      <c r="I522" s="157"/>
      <c r="J522" s="330">
        <v>644003</v>
      </c>
      <c r="K522" s="329">
        <v>-5098.239730000003</v>
      </c>
      <c r="L522" s="157"/>
      <c r="M522" s="360">
        <f t="shared" si="53"/>
        <v>644003</v>
      </c>
      <c r="N522" s="237">
        <f t="shared" si="54"/>
        <v>-5098.239730000003</v>
      </c>
      <c r="O522" s="361"/>
      <c r="P522" s="361"/>
      <c r="Q522" s="361" t="s">
        <v>698</v>
      </c>
      <c r="R522" s="362">
        <v>35</v>
      </c>
      <c r="S522" s="236"/>
      <c r="T522" s="364">
        <f t="shared" si="51"/>
        <v>644003</v>
      </c>
      <c r="U522" s="365">
        <f>N522</f>
        <v>-5098.239730000003</v>
      </c>
      <c r="V522" s="365">
        <f>IF($Q522="ekrk",IF($R522="data",IFERROR(INDEX(data!$A:$ALL,MATCH($M522,data!$A:$A,0),MATCH(V$2,data!$1:$1,0)),"#data"),IFERROR(U522*INDEX(indexy_SDcast!$A:$ALI,MATCH($R522,indexy_SDcast!$K:$K,0),MATCH(V$2,indexy_SDcast!$2:$2,0)),"#ekrk")),"#popis")</f>
        <v>-6526.9303766339544</v>
      </c>
      <c r="W522" s="365">
        <f>IF($Q522="ekrk",IF($R522="data",IFERROR(INDEX(data!$A:$ALL,MATCH($M522,data!$A:$A,0),MATCH(W$2,data!$1:$1,0)),"#data"),IFERROR(V522*INDEX(indexy_SDcast!$A:$ALI,MATCH($R522,indexy_SDcast!$K:$K,0),MATCH(W$2,indexy_SDcast!$2:$2,0)),"#ekrk")),"#popis")</f>
        <v>-6600.3015961384599</v>
      </c>
      <c r="X522" s="365">
        <f>IF($Q522="ekrk",IF($R522="data",IFERROR(INDEX(data!$A:$ALL,MATCH($M522,data!$A:$A,0),MATCH(X$2,data!$1:$1,0)),"#data"),IFERROR(W522*INDEX(indexy_SDcast!$A:$ALI,MATCH($R522,indexy_SDcast!$K:$K,0),MATCH(X$2,indexy_SDcast!$2:$2,0)),"#ekrk")),"#popis")</f>
        <v>-4239.5452542074308</v>
      </c>
      <c r="Y522" s="362">
        <f>IF($Q522="ekrk",IF($R522="data",IFERROR(INDEX(data!$A:$ALL,MATCH($M522,data!$A:$A,0),MATCH(Y$2,data!$1:$1,0)),"#data"),IFERROR(X522*INDEX(indexy_SDcast!$A:$ALI,MATCH($R522,indexy_SDcast!$K:$K,0),MATCH(Y$2,indexy_SDcast!$2:$2,0)),"#ekrk")),"#popis")</f>
        <v>-5735.4601677366782</v>
      </c>
    </row>
    <row r="523" spans="1:44" x14ac:dyDescent="0.25">
      <c r="A523" s="330">
        <v>644004</v>
      </c>
      <c r="B523" s="329">
        <v>-6.1502400000000002</v>
      </c>
      <c r="C523" s="157"/>
      <c r="D523" s="330">
        <v>644004</v>
      </c>
      <c r="E523" s="329">
        <v>-6.1502400000000002</v>
      </c>
      <c r="F523" s="157"/>
      <c r="G523" s="330">
        <v>644004</v>
      </c>
      <c r="H523" s="329">
        <v>-6.1502400000000002</v>
      </c>
      <c r="I523" s="157"/>
      <c r="J523" s="330">
        <v>644004</v>
      </c>
      <c r="K523" s="329">
        <v>-6.1502400000000002</v>
      </c>
      <c r="L523" s="157"/>
      <c r="M523" s="360">
        <f t="shared" si="53"/>
        <v>644004</v>
      </c>
      <c r="N523" s="237">
        <f t="shared" si="54"/>
        <v>-6.1502400000000002</v>
      </c>
      <c r="O523" s="361"/>
      <c r="P523" s="361"/>
      <c r="Q523" s="361" t="s">
        <v>698</v>
      </c>
      <c r="R523" s="362">
        <v>35</v>
      </c>
      <c r="S523" s="236"/>
      <c r="T523" s="364">
        <f t="shared" si="51"/>
        <v>644004</v>
      </c>
      <c r="U523" s="365">
        <f>N523</f>
        <v>-6.1502400000000002</v>
      </c>
      <c r="V523" s="365">
        <f>IF($Q523="ekrk",IF($R523="data",IFERROR(INDEX(data!$A:$ALL,MATCH($M523,data!$A:$A,0),MATCH(V$2,data!$1:$1,0)),"#data"),IFERROR(U523*INDEX(indexy_SDcast!$A:$ALI,MATCH($R523,indexy_SDcast!$K:$K,0),MATCH(V$2,indexy_SDcast!$2:$2,0)),"#ekrk")),"#popis")</f>
        <v>-7.8737349370562439</v>
      </c>
      <c r="W523" s="365">
        <f>IF($Q523="ekrk",IF($R523="data",IFERROR(INDEX(data!$A:$ALL,MATCH($M523,data!$A:$A,0),MATCH(W$2,data!$1:$1,0)),"#data"),IFERROR(V523*INDEX(indexy_SDcast!$A:$ALI,MATCH($R523,indexy_SDcast!$K:$K,0),MATCH(W$2,indexy_SDcast!$2:$2,0)),"#ekrk")),"#popis")</f>
        <v>-7.9622459983133398</v>
      </c>
      <c r="X523" s="365">
        <f>IF($Q523="ekrk",IF($R523="data",IFERROR(INDEX(data!$A:$ALL,MATCH($M523,data!$A:$A,0),MATCH(X$2,data!$1:$1,0)),"#data"),IFERROR(W523*INDEX(indexy_SDcast!$A:$ALI,MATCH($R523,indexy_SDcast!$K:$K,0),MATCH(X$2,indexy_SDcast!$2:$2,0)),"#ekrk")),"#popis")</f>
        <v>-5.1143575400752486</v>
      </c>
      <c r="Y523" s="362">
        <f>IF($Q523="ekrk",IF($R523="data",IFERROR(INDEX(data!$A:$ALL,MATCH($M523,data!$A:$A,0),MATCH(Y$2,data!$1:$1,0)),"#data"),IFERROR(X523*INDEX(indexy_SDcast!$A:$ALI,MATCH($R523,indexy_SDcast!$K:$K,0),MATCH(Y$2,indexy_SDcast!$2:$2,0)),"#ekrk")),"#popis")</f>
        <v>-6.9189481880289723</v>
      </c>
    </row>
    <row r="524" spans="1:44" s="18" customFormat="1" x14ac:dyDescent="0.25">
      <c r="A524" s="333" t="s">
        <v>709</v>
      </c>
      <c r="B524" s="334">
        <v>-42738.412060000017</v>
      </c>
      <c r="C524" s="164"/>
      <c r="D524" s="333" t="s">
        <v>709</v>
      </c>
      <c r="E524" s="334">
        <v>-42738.412060000017</v>
      </c>
      <c r="F524" s="164"/>
      <c r="G524" s="333" t="s">
        <v>709</v>
      </c>
      <c r="H524" s="334">
        <v>-42738.412060000017</v>
      </c>
      <c r="I524" s="164"/>
      <c r="J524" s="333" t="s">
        <v>709</v>
      </c>
      <c r="K524" s="334">
        <v>-42738.412060000017</v>
      </c>
      <c r="L524" s="164"/>
      <c r="M524" s="358" t="str">
        <f t="shared" si="53"/>
        <v>D39PAY</v>
      </c>
      <c r="N524" s="239">
        <f t="shared" si="54"/>
        <v>-42738.412060000017</v>
      </c>
      <c r="O524" s="243"/>
      <c r="P524" s="243">
        <f>MATCH(Q524,Q525:Q$1550,0)</f>
        <v>5</v>
      </c>
      <c r="Q524" s="243" t="s">
        <v>697</v>
      </c>
      <c r="R524" s="359" t="str">
        <f>IF(Q524="ekrk",INDEX(indexy_SDcast!$A:$C,MATCH($M524,indexy_SDcast!$A:$A,0),2),"")</f>
        <v/>
      </c>
      <c r="S524" s="240"/>
      <c r="T524" s="363" t="str">
        <f t="shared" si="51"/>
        <v>D39PAY</v>
      </c>
      <c r="U524" s="244">
        <f>SUM(U525:U528)</f>
        <v>-42738.412060000017</v>
      </c>
      <c r="V524" s="244">
        <f>SUM(V525:V528)</f>
        <v>-54715.08887313796</v>
      </c>
      <c r="W524" s="244">
        <f>SUM(W525:W528)</f>
        <v>-55330.157912374423</v>
      </c>
      <c r="X524" s="244">
        <f>SUM(X525:X528)</f>
        <v>-35539.998434191839</v>
      </c>
      <c r="Y524" s="359">
        <f>SUM(Y525:Y528)</f>
        <v>-48080.214541509376</v>
      </c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8"/>
      <c r="AN524" s="58"/>
      <c r="AO524" s="58"/>
      <c r="AP524" s="58"/>
      <c r="AQ524" s="58"/>
      <c r="AR524" s="58"/>
    </row>
    <row r="525" spans="1:44" x14ac:dyDescent="0.25">
      <c r="A525" s="330">
        <v>644001</v>
      </c>
      <c r="B525" s="329">
        <v>-1037.56411</v>
      </c>
      <c r="C525" s="157"/>
      <c r="D525" s="330">
        <v>644001</v>
      </c>
      <c r="E525" s="329">
        <v>-1037.56411</v>
      </c>
      <c r="F525" s="157"/>
      <c r="G525" s="330">
        <v>644001</v>
      </c>
      <c r="H525" s="329">
        <v>-1037.56411</v>
      </c>
      <c r="I525" s="157"/>
      <c r="J525" s="330">
        <v>644001</v>
      </c>
      <c r="K525" s="329">
        <v>-1037.56411</v>
      </c>
      <c r="L525" s="157"/>
      <c r="M525" s="360">
        <f t="shared" si="53"/>
        <v>644001</v>
      </c>
      <c r="N525" s="237">
        <f t="shared" si="54"/>
        <v>-1037.56411</v>
      </c>
      <c r="O525" s="361"/>
      <c r="P525" s="361"/>
      <c r="Q525" s="361" t="s">
        <v>698</v>
      </c>
      <c r="R525" s="362">
        <v>35</v>
      </c>
      <c r="S525" s="236"/>
      <c r="T525" s="364">
        <f t="shared" si="51"/>
        <v>644001</v>
      </c>
      <c r="U525" s="365">
        <f>N525</f>
        <v>-1037.56411</v>
      </c>
      <c r="V525" s="365">
        <f>IF($Q525="ekrk",IF($R525="data",IFERROR(INDEX(data!$A:$ALL,MATCH($M525,data!$A:$A,0),MATCH(V$2,data!$1:$1,0)),"#data"),IFERROR(U525*INDEX(indexy_SDcast!$A:$ALI,MATCH($R525,indexy_SDcast!$K:$K,0),MATCH(V$2,indexy_SDcast!$2:$2,0)),"#ekrk")),"#popis")</f>
        <v>-1328.3229243643609</v>
      </c>
      <c r="W525" s="365">
        <f>IF($Q525="ekrk",IF($R525="data",IFERROR(INDEX(data!$A:$ALL,MATCH($M525,data!$A:$A,0),MATCH(W$2,data!$1:$1,0)),"#data"),IFERROR(V525*INDEX(indexy_SDcast!$A:$ALI,MATCH($R525,indexy_SDcast!$K:$K,0),MATCH(W$2,indexy_SDcast!$2:$2,0)),"#ekrk")),"#popis")</f>
        <v>-1343.2550083965896</v>
      </c>
      <c r="X525" s="365">
        <f>IF($Q525="ekrk",IF($R525="data",IFERROR(INDEX(data!$A:$ALL,MATCH($M525,data!$A:$A,0),MATCH(X$2,data!$1:$1,0)),"#data"),IFERROR(W525*INDEX(indexy_SDcast!$A:$ALI,MATCH($R525,indexy_SDcast!$K:$K,0),MATCH(X$2,indexy_SDcast!$2:$2,0)),"#ekrk")),"#popis")</f>
        <v>-862.8076025146928</v>
      </c>
      <c r="Y525" s="362">
        <f>IF($Q525="ekrk",IF($R525="data",IFERROR(INDEX(data!$A:$ALL,MATCH($M525,data!$A:$A,0),MATCH(Y$2,data!$1:$1,0)),"#data"),IFERROR(X525*INDEX(indexy_SDcast!$A:$ALI,MATCH($R525,indexy_SDcast!$K:$K,0),MATCH(Y$2,indexy_SDcast!$2:$2,0)),"#ekrk")),"#popis")</f>
        <v>-1167.2475088530516</v>
      </c>
    </row>
    <row r="526" spans="1:44" x14ac:dyDescent="0.25">
      <c r="A526" s="330">
        <v>644002</v>
      </c>
      <c r="B526" s="329">
        <v>-35708.737970000017</v>
      </c>
      <c r="C526" s="157"/>
      <c r="D526" s="330">
        <v>644002</v>
      </c>
      <c r="E526" s="329">
        <v>-35708.737970000017</v>
      </c>
      <c r="F526" s="157"/>
      <c r="G526" s="330">
        <v>644002</v>
      </c>
      <c r="H526" s="329">
        <v>-35708.737970000017</v>
      </c>
      <c r="I526" s="157"/>
      <c r="J526" s="330">
        <v>644002</v>
      </c>
      <c r="K526" s="329">
        <v>-35708.737970000017</v>
      </c>
      <c r="L526" s="157"/>
      <c r="M526" s="360">
        <f t="shared" si="53"/>
        <v>644002</v>
      </c>
      <c r="N526" s="237">
        <f t="shared" si="54"/>
        <v>-35708.737970000017</v>
      </c>
      <c r="O526" s="361"/>
      <c r="P526" s="361"/>
      <c r="Q526" s="361" t="s">
        <v>698</v>
      </c>
      <c r="R526" s="362">
        <v>35</v>
      </c>
      <c r="S526" s="236"/>
      <c r="T526" s="364">
        <f t="shared" si="51"/>
        <v>644002</v>
      </c>
      <c r="U526" s="365">
        <f>N526</f>
        <v>-35708.737970000017</v>
      </c>
      <c r="V526" s="365">
        <f>IF($Q526="ekrk",IF($R526="data",IFERROR(INDEX(data!$A:$ALL,MATCH($M526,data!$A:$A,0),MATCH(V$2,data!$1:$1,0)),"#data"),IFERROR(U526*INDEX(indexy_SDcast!$A:$ALI,MATCH($R526,indexy_SDcast!$K:$K,0),MATCH(V$2,indexy_SDcast!$2:$2,0)),"#ekrk")),"#popis")</f>
        <v>-45715.474146143235</v>
      </c>
      <c r="W526" s="365">
        <f>IF($Q526="ekrk",IF($R526="data",IFERROR(INDEX(data!$A:$ALL,MATCH($M526,data!$A:$A,0),MATCH(W$2,data!$1:$1,0)),"#data"),IFERROR(V526*INDEX(indexy_SDcast!$A:$ALI,MATCH($R526,indexy_SDcast!$K:$K,0),MATCH(W$2,indexy_SDcast!$2:$2,0)),"#ekrk")),"#popis")</f>
        <v>-46229.375765246921</v>
      </c>
      <c r="X526" s="365">
        <f>IF($Q526="ekrk",IF($R526="data",IFERROR(INDEX(data!$A:$ALL,MATCH($M526,data!$A:$A,0),MATCH(X$2,data!$1:$1,0)),"#data"),IFERROR(W526*INDEX(indexy_SDcast!$A:$ALI,MATCH($R526,indexy_SDcast!$K:$K,0),MATCH(X$2,indexy_SDcast!$2:$2,0)),"#ekrk")),"#popis")</f>
        <v>-29694.329535667046</v>
      </c>
      <c r="Y526" s="362">
        <f>IF($Q526="ekrk",IF($R526="data",IFERROR(INDEX(data!$A:$ALL,MATCH($M526,data!$A:$A,0),MATCH(Y$2,data!$1:$1,0)),"#data"),IFERROR(X526*INDEX(indexy_SDcast!$A:$ALI,MATCH($R526,indexy_SDcast!$K:$K,0),MATCH(Y$2,indexy_SDcast!$2:$2,0)),"#ekrk")),"#popis")</f>
        <v>-40171.913270755766</v>
      </c>
    </row>
    <row r="527" spans="1:44" x14ac:dyDescent="0.25">
      <c r="A527" s="330">
        <v>644003</v>
      </c>
      <c r="B527" s="329">
        <v>-5984.8901500000011</v>
      </c>
      <c r="C527" s="157"/>
      <c r="D527" s="330">
        <v>644003</v>
      </c>
      <c r="E527" s="329">
        <v>-5984.8901500000011</v>
      </c>
      <c r="F527" s="157"/>
      <c r="G527" s="330">
        <v>644003</v>
      </c>
      <c r="H527" s="329">
        <v>-5984.8901500000011</v>
      </c>
      <c r="I527" s="157"/>
      <c r="J527" s="330">
        <v>644003</v>
      </c>
      <c r="K527" s="329">
        <v>-5984.8901500000011</v>
      </c>
      <c r="L527" s="157"/>
      <c r="M527" s="360">
        <f t="shared" si="53"/>
        <v>644003</v>
      </c>
      <c r="N527" s="237">
        <f t="shared" si="54"/>
        <v>-5984.8901500000011</v>
      </c>
      <c r="O527" s="361"/>
      <c r="P527" s="361"/>
      <c r="Q527" s="361" t="s">
        <v>698</v>
      </c>
      <c r="R527" s="362">
        <v>35</v>
      </c>
      <c r="S527" s="236"/>
      <c r="T527" s="364">
        <f t="shared" si="51"/>
        <v>644003</v>
      </c>
      <c r="U527" s="365">
        <f>N527</f>
        <v>-5984.8901500000011</v>
      </c>
      <c r="V527" s="365">
        <f>IF($Q527="ekrk",IF($R527="data",IFERROR(INDEX(data!$A:$ALL,MATCH($M527,data!$A:$A,0),MATCH(V$2,data!$1:$1,0)),"#data"),IFERROR(U527*INDEX(indexy_SDcast!$A:$ALI,MATCH($R527,indexy_SDcast!$K:$K,0),MATCH(V$2,indexy_SDcast!$2:$2,0)),"#ekrk")),"#popis")</f>
        <v>-7662.0487441951518</v>
      </c>
      <c r="W527" s="365">
        <f>IF($Q527="ekrk",IF($R527="data",IFERROR(INDEX(data!$A:$ALL,MATCH($M527,data!$A:$A,0),MATCH(W$2,data!$1:$1,0)),"#data"),IFERROR(V527*INDEX(indexy_SDcast!$A:$ALI,MATCH($R527,indexy_SDcast!$K:$K,0),MATCH(W$2,indexy_SDcast!$2:$2,0)),"#ekrk")),"#popis")</f>
        <v>-7748.1801762504274</v>
      </c>
      <c r="X527" s="365">
        <f>IF($Q527="ekrk",IF($R527="data",IFERROR(INDEX(data!$A:$ALL,MATCH($M527,data!$A:$A,0),MATCH(X$2,data!$1:$1,0)),"#data"),IFERROR(W527*INDEX(indexy_SDcast!$A:$ALI,MATCH($R527,indexy_SDcast!$K:$K,0),MATCH(X$2,indexy_SDcast!$2:$2,0)),"#ekrk")),"#popis")</f>
        <v>-4976.8574990853349</v>
      </c>
      <c r="Y527" s="362">
        <f>IF($Q527="ekrk",IF($R527="data",IFERROR(INDEX(data!$A:$ALL,MATCH($M527,data!$A:$A,0),MATCH(Y$2,data!$1:$1,0)),"#data"),IFERROR(X527*INDEX(indexy_SDcast!$A:$ALI,MATCH($R527,indexy_SDcast!$K:$K,0),MATCH(Y$2,indexy_SDcast!$2:$2,0)),"#ekrk")),"#popis")</f>
        <v>-6732.9315374513762</v>
      </c>
    </row>
    <row r="528" spans="1:44" x14ac:dyDescent="0.25">
      <c r="A528" s="330">
        <v>644004</v>
      </c>
      <c r="B528" s="329">
        <v>-7.21983</v>
      </c>
      <c r="C528" s="157"/>
      <c r="D528" s="330">
        <v>644004</v>
      </c>
      <c r="E528" s="329">
        <v>-7.21983</v>
      </c>
      <c r="F528" s="157"/>
      <c r="G528" s="330">
        <v>644004</v>
      </c>
      <c r="H528" s="329">
        <v>-7.21983</v>
      </c>
      <c r="I528" s="157"/>
      <c r="J528" s="330">
        <v>644004</v>
      </c>
      <c r="K528" s="329">
        <v>-7.21983</v>
      </c>
      <c r="L528" s="157"/>
      <c r="M528" s="360">
        <f t="shared" si="53"/>
        <v>644004</v>
      </c>
      <c r="N528" s="237">
        <f t="shared" si="54"/>
        <v>-7.21983</v>
      </c>
      <c r="O528" s="361"/>
      <c r="P528" s="361"/>
      <c r="Q528" s="361" t="s">
        <v>698</v>
      </c>
      <c r="R528" s="362">
        <v>35</v>
      </c>
      <c r="S528" s="236"/>
      <c r="T528" s="364">
        <f t="shared" si="51"/>
        <v>644004</v>
      </c>
      <c r="U528" s="365">
        <f>N528</f>
        <v>-7.21983</v>
      </c>
      <c r="V528" s="365">
        <f>IF($Q528="ekrk",IF($R528="data",IFERROR(INDEX(data!$A:$ALL,MATCH($M528,data!$A:$A,0),MATCH(V$2,data!$1:$1,0)),"#data"),IFERROR(U528*INDEX(indexy_SDcast!$A:$ALI,MATCH($R528,indexy_SDcast!$K:$K,0),MATCH(V$2,indexy_SDcast!$2:$2,0)),"#ekrk")),"#popis")</f>
        <v>-9.2430584352166374</v>
      </c>
      <c r="W528" s="365">
        <f>IF($Q528="ekrk",IF($R528="data",IFERROR(INDEX(data!$A:$ALL,MATCH($M528,data!$A:$A,0),MATCH(W$2,data!$1:$1,0)),"#data"),IFERROR(V528*INDEX(indexy_SDcast!$A:$ALI,MATCH($R528,indexy_SDcast!$K:$K,0),MATCH(W$2,indexy_SDcast!$2:$2,0)),"#ekrk")),"#popis")</f>
        <v>-9.3469624804889868</v>
      </c>
      <c r="X528" s="365">
        <f>IF($Q528="ekrk",IF($R528="data",IFERROR(INDEX(data!$A:$ALL,MATCH($M528,data!$A:$A,0),MATCH(X$2,data!$1:$1,0)),"#data"),IFERROR(W528*INDEX(indexy_SDcast!$A:$ALI,MATCH($R528,indexy_SDcast!$K:$K,0),MATCH(X$2,indexy_SDcast!$2:$2,0)),"#ekrk")),"#popis")</f>
        <v>-6.0037969247641509</v>
      </c>
      <c r="Y528" s="362">
        <f>IF($Q528="ekrk",IF($R528="data",IFERROR(INDEX(data!$A:$ALL,MATCH($M528,data!$A:$A,0),MATCH(Y$2,data!$1:$1,0)),"#data"),IFERROR(X528*INDEX(indexy_SDcast!$A:$ALI,MATCH($R528,indexy_SDcast!$K:$K,0),MATCH(Y$2,indexy_SDcast!$2:$2,0)),"#ekrk")),"#popis")</f>
        <v>-8.1222244491885203</v>
      </c>
    </row>
    <row r="529" spans="1:44" s="18" customFormat="1" x14ac:dyDescent="0.25">
      <c r="A529" s="333" t="s">
        <v>713</v>
      </c>
      <c r="B529" s="334">
        <v>-54.535249999999998</v>
      </c>
      <c r="C529" s="164"/>
      <c r="D529" s="333" t="s">
        <v>713</v>
      </c>
      <c r="E529" s="334">
        <v>-54.535249999999998</v>
      </c>
      <c r="F529" s="164"/>
      <c r="G529" s="333" t="s">
        <v>713</v>
      </c>
      <c r="H529" s="334">
        <v>-54.535249999999998</v>
      </c>
      <c r="I529" s="164"/>
      <c r="J529" s="333" t="s">
        <v>713</v>
      </c>
      <c r="K529" s="334">
        <v>-54.535249999999998</v>
      </c>
      <c r="L529" s="164"/>
      <c r="M529" s="358" t="str">
        <f t="shared" si="53"/>
        <v>D41PUBPAY</v>
      </c>
      <c r="N529" s="239">
        <f t="shared" si="54"/>
        <v>-54.535249999999998</v>
      </c>
      <c r="O529" s="243"/>
      <c r="P529" s="243">
        <f>MATCH(Q529,Q530:Q$1550,0)</f>
        <v>2</v>
      </c>
      <c r="Q529" s="243" t="s">
        <v>697</v>
      </c>
      <c r="R529" s="359" t="str">
        <f>IF(Q529="ekrk",INDEX(indexy_SDcast!$A:$C,MATCH($M529,indexy_SDcast!$A:$A,0),2),"")</f>
        <v/>
      </c>
      <c r="S529" s="240"/>
      <c r="T529" s="363" t="str">
        <f t="shared" si="51"/>
        <v>D41PUBPAY</v>
      </c>
      <c r="U529" s="244">
        <f>SUM(U530:U530)</f>
        <v>-54.535249999999998</v>
      </c>
      <c r="V529" s="244">
        <f>SUM(V530:V530)</f>
        <v>-69.817779993316762</v>
      </c>
      <c r="W529" s="244">
        <f>SUM(W530:W530)</f>
        <v>-70.602622999999596</v>
      </c>
      <c r="X529" s="244">
        <f>SUM(X530:X530)</f>
        <v>-45.349899684790948</v>
      </c>
      <c r="Y529" s="359">
        <f>SUM(Y530:Y530)</f>
        <v>-61.351519480736847</v>
      </c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8"/>
      <c r="AN529" s="58"/>
      <c r="AO529" s="58"/>
      <c r="AP529" s="58"/>
      <c r="AQ529" s="58"/>
      <c r="AR529" s="58"/>
    </row>
    <row r="530" spans="1:44" x14ac:dyDescent="0.25">
      <c r="A530" s="330">
        <v>651002</v>
      </c>
      <c r="B530" s="329">
        <v>-54.535249999999998</v>
      </c>
      <c r="C530" s="157"/>
      <c r="D530" s="330">
        <v>651002</v>
      </c>
      <c r="E530" s="329">
        <v>-54.535249999999998</v>
      </c>
      <c r="F530" s="157"/>
      <c r="G530" s="330">
        <v>651002</v>
      </c>
      <c r="H530" s="329">
        <v>-54.535249999999998</v>
      </c>
      <c r="I530" s="157"/>
      <c r="J530" s="330">
        <v>651002</v>
      </c>
      <c r="K530" s="329">
        <v>-54.535249999999998</v>
      </c>
      <c r="L530" s="157"/>
      <c r="M530" s="360">
        <f t="shared" si="53"/>
        <v>651002</v>
      </c>
      <c r="N530" s="237">
        <f t="shared" si="54"/>
        <v>-54.535249999999998</v>
      </c>
      <c r="O530" s="361"/>
      <c r="P530" s="361"/>
      <c r="Q530" s="361" t="s">
        <v>698</v>
      </c>
      <c r="R530" s="362">
        <v>35</v>
      </c>
      <c r="S530" s="236"/>
      <c r="T530" s="364">
        <f t="shared" si="51"/>
        <v>651002</v>
      </c>
      <c r="U530" s="365">
        <f>N530</f>
        <v>-54.535249999999998</v>
      </c>
      <c r="V530" s="365">
        <f>IF($Q530="ekrk",IF($R530="data",IFERROR(INDEX(data!$A:$ALL,MATCH($M530,data!$A:$A,0),MATCH(V$2,data!$1:$1,0)),"#data"),IFERROR(U530*INDEX(indexy_SDcast!$A:$ALI,MATCH($R530,indexy_SDcast!$K:$K,0),MATCH(V$2,indexy_SDcast!$2:$2,0)),"#ekrk")),"#popis")</f>
        <v>-69.817779993316762</v>
      </c>
      <c r="W530" s="365">
        <f>IF($Q530="ekrk",IF($R530="data",IFERROR(INDEX(data!$A:$ALL,MATCH($M530,data!$A:$A,0),MATCH(W$2,data!$1:$1,0)),"#data"),IFERROR(V530*INDEX(indexy_SDcast!$A:$ALI,MATCH($R530,indexy_SDcast!$K:$K,0),MATCH(W$2,indexy_SDcast!$2:$2,0)),"#ekrk")),"#popis")</f>
        <v>-70.602622999999596</v>
      </c>
      <c r="X530" s="365">
        <f>IF($Q530="ekrk",IF($R530="data",IFERROR(INDEX(data!$A:$ALL,MATCH($M530,data!$A:$A,0),MATCH(X$2,data!$1:$1,0)),"#data"),IFERROR(W530*INDEX(indexy_SDcast!$A:$ALI,MATCH($R530,indexy_SDcast!$K:$K,0),MATCH(X$2,indexy_SDcast!$2:$2,0)),"#ekrk")),"#popis")</f>
        <v>-45.349899684790948</v>
      </c>
      <c r="Y530" s="362">
        <f>IF($Q530="ekrk",IF($R530="data",IFERROR(INDEX(data!$A:$ALL,MATCH($M530,data!$A:$A,0),MATCH(Y$2,data!$1:$1,0)),"#data"),IFERROR(X530*INDEX(indexy_SDcast!$A:$ALI,MATCH($R530,indexy_SDcast!$K:$K,0),MATCH(Y$2,indexy_SDcast!$2:$2,0)),"#ekrk")),"#popis")</f>
        <v>-61.351519480736847</v>
      </c>
    </row>
    <row r="531" spans="1:44" s="18" customFormat="1" x14ac:dyDescent="0.25">
      <c r="A531" s="333" t="s">
        <v>714</v>
      </c>
      <c r="B531" s="334">
        <v>5.2000000000000006E-4</v>
      </c>
      <c r="C531" s="164"/>
      <c r="D531" s="333" t="s">
        <v>714</v>
      </c>
      <c r="E531" s="334">
        <v>5.2000000000000006E-4</v>
      </c>
      <c r="F531" s="164"/>
      <c r="G531" s="333" t="s">
        <v>714</v>
      </c>
      <c r="H531" s="334">
        <v>5.2000000000000006E-4</v>
      </c>
      <c r="I531" s="164"/>
      <c r="J531" s="333" t="s">
        <v>714</v>
      </c>
      <c r="K531" s="334">
        <v>5.2000000000000006E-4</v>
      </c>
      <c r="L531" s="164"/>
      <c r="M531" s="358" t="str">
        <f t="shared" si="53"/>
        <v>D41PUBREC</v>
      </c>
      <c r="N531" s="239">
        <f t="shared" si="54"/>
        <v>5.2000000000000006E-4</v>
      </c>
      <c r="O531" s="243"/>
      <c r="P531" s="243">
        <f>MATCH(Q531,Q532:Q$1550,0)</f>
        <v>2</v>
      </c>
      <c r="Q531" s="243" t="s">
        <v>697</v>
      </c>
      <c r="R531" s="359" t="str">
        <f>IF(Q531="ekrk",INDEX(indexy_SDcast!$A:$C,MATCH($M531,indexy_SDcast!$A:$A,0),2),"")</f>
        <v/>
      </c>
      <c r="S531" s="240"/>
      <c r="T531" s="363" t="str">
        <f t="shared" si="51"/>
        <v>D41PUBREC</v>
      </c>
      <c r="U531" s="244">
        <f>SUM(U532:U532)</f>
        <v>5.2000000000000006E-4</v>
      </c>
      <c r="V531" s="244">
        <f>SUM(V532:V532)</f>
        <v>6.6572071451996139E-4</v>
      </c>
      <c r="W531" s="244">
        <f>SUM(W532:W532)</f>
        <v>6.7320428456823427E-4</v>
      </c>
      <c r="X531" s="244">
        <f>SUM(X532:X532)</f>
        <v>4.3241660826880406E-4</v>
      </c>
      <c r="Y531" s="359">
        <f>SUM(Y532:Y532)</f>
        <v>5.8499392833044985E-4</v>
      </c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8"/>
      <c r="AN531" s="58"/>
      <c r="AO531" s="58"/>
      <c r="AP531" s="58"/>
      <c r="AQ531" s="58"/>
      <c r="AR531" s="58"/>
    </row>
    <row r="532" spans="1:44" x14ac:dyDescent="0.25">
      <c r="A532" s="330">
        <v>243000</v>
      </c>
      <c r="B532" s="329">
        <v>5.2000000000000006E-4</v>
      </c>
      <c r="C532" s="157"/>
      <c r="D532" s="330">
        <v>243000</v>
      </c>
      <c r="E532" s="329">
        <v>5.2000000000000006E-4</v>
      </c>
      <c r="F532" s="157"/>
      <c r="G532" s="330">
        <v>243000</v>
      </c>
      <c r="H532" s="329">
        <v>5.2000000000000006E-4</v>
      </c>
      <c r="I532" s="157"/>
      <c r="J532" s="330">
        <v>243000</v>
      </c>
      <c r="K532" s="329">
        <v>5.2000000000000006E-4</v>
      </c>
      <c r="L532" s="157"/>
      <c r="M532" s="360">
        <f t="shared" si="53"/>
        <v>243000</v>
      </c>
      <c r="N532" s="237">
        <f t="shared" si="54"/>
        <v>5.2000000000000006E-4</v>
      </c>
      <c r="O532" s="361"/>
      <c r="P532" s="361"/>
      <c r="Q532" s="361" t="s">
        <v>698</v>
      </c>
      <c r="R532" s="362">
        <v>35</v>
      </c>
      <c r="S532" s="236"/>
      <c r="T532" s="364">
        <f t="shared" si="51"/>
        <v>243000</v>
      </c>
      <c r="U532" s="365">
        <f>N532</f>
        <v>5.2000000000000006E-4</v>
      </c>
      <c r="V532" s="365">
        <f>IF($Q532="ekrk",IF($R532="data",IFERROR(INDEX(data!$A:$ALL,MATCH($M532,data!$A:$A,0),MATCH(V$2,data!$1:$1,0)),"#data"),IFERROR(U532*INDEX(indexy_SDcast!$A:$ALI,MATCH($R532,indexy_SDcast!$K:$K,0),MATCH(V$2,indexy_SDcast!$2:$2,0)),"#ekrk")),"#popis")</f>
        <v>6.6572071451996139E-4</v>
      </c>
      <c r="W532" s="365">
        <f>IF($Q532="ekrk",IF($R532="data",IFERROR(INDEX(data!$A:$ALL,MATCH($M532,data!$A:$A,0),MATCH(W$2,data!$1:$1,0)),"#data"),IFERROR(V532*INDEX(indexy_SDcast!$A:$ALI,MATCH($R532,indexy_SDcast!$K:$K,0),MATCH(W$2,indexy_SDcast!$2:$2,0)),"#ekrk")),"#popis")</f>
        <v>6.7320428456823427E-4</v>
      </c>
      <c r="X532" s="365">
        <f>IF($Q532="ekrk",IF($R532="data",IFERROR(INDEX(data!$A:$ALL,MATCH($M532,data!$A:$A,0),MATCH(X$2,data!$1:$1,0)),"#data"),IFERROR(W532*INDEX(indexy_SDcast!$A:$ALI,MATCH($R532,indexy_SDcast!$K:$K,0),MATCH(X$2,indexy_SDcast!$2:$2,0)),"#ekrk")),"#popis")</f>
        <v>4.3241660826880406E-4</v>
      </c>
      <c r="Y532" s="362">
        <f>IF($Q532="ekrk",IF($R532="data",IFERROR(INDEX(data!$A:$ALL,MATCH($M532,data!$A:$A,0),MATCH(Y$2,data!$1:$1,0)),"#data"),IFERROR(X532*INDEX(indexy_SDcast!$A:$ALI,MATCH($R532,indexy_SDcast!$K:$K,0),MATCH(Y$2,indexy_SDcast!$2:$2,0)),"#ekrk")),"#popis")</f>
        <v>5.8499392833044985E-4</v>
      </c>
    </row>
    <row r="533" spans="1:44" s="18" customFormat="1" x14ac:dyDescent="0.25">
      <c r="A533" s="333" t="s">
        <v>726</v>
      </c>
      <c r="B533" s="334">
        <v>12.507619999999998</v>
      </c>
      <c r="C533" s="164"/>
      <c r="D533" s="333" t="s">
        <v>726</v>
      </c>
      <c r="E533" s="334">
        <v>12.507619999999998</v>
      </c>
      <c r="F533" s="164"/>
      <c r="G533" s="333" t="s">
        <v>726</v>
      </c>
      <c r="H533" s="334">
        <v>12.507619999999998</v>
      </c>
      <c r="I533" s="164"/>
      <c r="J533" s="333" t="s">
        <v>726</v>
      </c>
      <c r="K533" s="334">
        <v>12.507619999999998</v>
      </c>
      <c r="L533" s="164"/>
      <c r="M533" s="358" t="str">
        <f t="shared" si="53"/>
        <v>D612REC</v>
      </c>
      <c r="N533" s="239">
        <f t="shared" si="54"/>
        <v>12.507619999999998</v>
      </c>
      <c r="O533" s="243"/>
      <c r="P533" s="243">
        <f>MATCH(Q533,Q534:Q$1550,0)</f>
        <v>4</v>
      </c>
      <c r="Q533" s="243" t="s">
        <v>697</v>
      </c>
      <c r="R533" s="359" t="str">
        <f>IF(Q533="ekrk",INDEX(indexy_SDcast!$A:$C,MATCH($M533,indexy_SDcast!$A:$A,0),2),"")</f>
        <v/>
      </c>
      <c r="S533" s="240"/>
      <c r="T533" s="363" t="str">
        <f t="shared" si="51"/>
        <v>D612REC</v>
      </c>
      <c r="U533" s="244">
        <f>SUM(U534:U536)</f>
        <v>12.507619999999998</v>
      </c>
      <c r="V533" s="244">
        <f>SUM(V534:V536)</f>
        <v>16.012657160277225</v>
      </c>
      <c r="W533" s="244">
        <f>SUM(W534:W536)</f>
        <v>16.192660334137187</v>
      </c>
      <c r="X533" s="244">
        <f>SUM(X534:X536)</f>
        <v>10.400966572913573</v>
      </c>
      <c r="Y533" s="359">
        <f>SUM(Y534:Y536)</f>
        <v>14.070926457431732</v>
      </c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8"/>
      <c r="AN533" s="58"/>
      <c r="AO533" s="58"/>
      <c r="AP533" s="58"/>
      <c r="AQ533" s="58"/>
      <c r="AR533" s="58"/>
    </row>
    <row r="534" spans="1:44" x14ac:dyDescent="0.25">
      <c r="A534" s="330">
        <v>637016</v>
      </c>
      <c r="B534" s="329">
        <v>4.738999999999999</v>
      </c>
      <c r="C534" s="157"/>
      <c r="D534" s="330">
        <v>637016</v>
      </c>
      <c r="E534" s="329">
        <v>4.738999999999999</v>
      </c>
      <c r="F534" s="157"/>
      <c r="G534" s="330">
        <v>637016</v>
      </c>
      <c r="H534" s="329">
        <v>4.738999999999999</v>
      </c>
      <c r="I534" s="157"/>
      <c r="J534" s="330">
        <v>637016</v>
      </c>
      <c r="K534" s="329">
        <v>4.738999999999999</v>
      </c>
      <c r="L534" s="157"/>
      <c r="M534" s="360">
        <f t="shared" si="53"/>
        <v>637016</v>
      </c>
      <c r="N534" s="237">
        <f t="shared" si="54"/>
        <v>4.738999999999999</v>
      </c>
      <c r="O534" s="361"/>
      <c r="P534" s="361"/>
      <c r="Q534" s="361" t="s">
        <v>698</v>
      </c>
      <c r="R534" s="362">
        <v>35</v>
      </c>
      <c r="S534" s="236"/>
      <c r="T534" s="364">
        <f t="shared" si="51"/>
        <v>637016</v>
      </c>
      <c r="U534" s="365">
        <f>N534</f>
        <v>4.738999999999999</v>
      </c>
      <c r="V534" s="365">
        <f>IF($Q534="ekrk",IF($R534="data",IFERROR(INDEX(data!$A:$ALL,MATCH($M534,data!$A:$A,0),MATCH(V$2,data!$1:$1,0)),"#data"),IFERROR(U534*INDEX(indexy_SDcast!$A:$ALI,MATCH($R534,indexy_SDcast!$K:$K,0),MATCH(V$2,indexy_SDcast!$2:$2,0)),"#ekrk")),"#popis")</f>
        <v>6.0670201271347999</v>
      </c>
      <c r="W534" s="365">
        <f>IF($Q534="ekrk",IF($R534="data",IFERROR(INDEX(data!$A:$ALL,MATCH($M534,data!$A:$A,0),MATCH(W$2,data!$1:$1,0)),"#data"),IFERROR(V534*INDEX(indexy_SDcast!$A:$ALI,MATCH($R534,indexy_SDcast!$K:$K,0),MATCH(W$2,indexy_SDcast!$2:$2,0)),"#ekrk")),"#popis")</f>
        <v>6.1352213549401178</v>
      </c>
      <c r="X534" s="365">
        <f>IF($Q534="ekrk",IF($R534="data",IFERROR(INDEX(data!$A:$ALL,MATCH($M534,data!$A:$A,0),MATCH(X$2,data!$1:$1,0)),"#data"),IFERROR(W534*INDEX(indexy_SDcast!$A:$ALI,MATCH($R534,indexy_SDcast!$K:$K,0),MATCH(X$2,indexy_SDcast!$2:$2,0)),"#ekrk")),"#popis")</f>
        <v>3.9408121280497346</v>
      </c>
      <c r="Y534" s="362">
        <f>IF($Q534="ekrk",IF($R534="data",IFERROR(INDEX(data!$A:$ALL,MATCH($M534,data!$A:$A,0),MATCH(Y$2,data!$1:$1,0)),"#data"),IFERROR(X534*INDEX(indexy_SDcast!$A:$ALI,MATCH($R534,indexy_SDcast!$K:$K,0),MATCH(Y$2,indexy_SDcast!$2:$2,0)),"#ekrk")),"#popis")</f>
        <v>5.3313196660730791</v>
      </c>
    </row>
    <row r="535" spans="1:44" x14ac:dyDescent="0.25">
      <c r="A535" s="330">
        <v>642013</v>
      </c>
      <c r="B535" s="329">
        <v>6.8699999999999983E-2</v>
      </c>
      <c r="C535" s="157"/>
      <c r="D535" s="330">
        <v>642013</v>
      </c>
      <c r="E535" s="329">
        <v>6.8699999999999983E-2</v>
      </c>
      <c r="F535" s="157"/>
      <c r="G535" s="330">
        <v>642013</v>
      </c>
      <c r="H535" s="329">
        <v>6.8699999999999983E-2</v>
      </c>
      <c r="I535" s="157"/>
      <c r="J535" s="330">
        <v>642013</v>
      </c>
      <c r="K535" s="329">
        <v>6.8699999999999983E-2</v>
      </c>
      <c r="L535" s="157"/>
      <c r="M535" s="360">
        <f t="shared" si="53"/>
        <v>642013</v>
      </c>
      <c r="N535" s="237">
        <f t="shared" si="54"/>
        <v>6.8699999999999983E-2</v>
      </c>
      <c r="O535" s="361"/>
      <c r="P535" s="361"/>
      <c r="Q535" s="361" t="s">
        <v>698</v>
      </c>
      <c r="R535" s="362">
        <v>35</v>
      </c>
      <c r="S535" s="236"/>
      <c r="T535" s="364">
        <f t="shared" si="51"/>
        <v>642013</v>
      </c>
      <c r="U535" s="365">
        <f>N535</f>
        <v>6.8699999999999983E-2</v>
      </c>
      <c r="V535" s="365">
        <f>IF($Q535="ekrk",IF($R535="data",IFERROR(INDEX(data!$A:$ALL,MATCH($M535,data!$A:$A,0),MATCH(V$2,data!$1:$1,0)),"#data"),IFERROR(U535*INDEX(indexy_SDcast!$A:$ALI,MATCH($R535,indexy_SDcast!$K:$K,0),MATCH(V$2,indexy_SDcast!$2:$2,0)),"#ekrk")),"#popis")</f>
        <v>8.7951948245233322E-2</v>
      </c>
      <c r="W535" s="365">
        <f>IF($Q535="ekrk",IF($R535="data",IFERROR(INDEX(data!$A:$ALL,MATCH($M535,data!$A:$A,0),MATCH(W$2,data!$1:$1,0)),"#data"),IFERROR(V535*INDEX(indexy_SDcast!$A:$ALI,MATCH($R535,indexy_SDcast!$K:$K,0),MATCH(W$2,indexy_SDcast!$2:$2,0)),"#ekrk")),"#popis")</f>
        <v>8.8940642980457063E-2</v>
      </c>
      <c r="X535" s="365">
        <f>IF($Q535="ekrk",IF($R535="data",IFERROR(INDEX(data!$A:$ALL,MATCH($M535,data!$A:$A,0),MATCH(X$2,data!$1:$1,0)),"#data"),IFERROR(W535*INDEX(indexy_SDcast!$A:$ALI,MATCH($R535,indexy_SDcast!$K:$K,0),MATCH(X$2,indexy_SDcast!$2:$2,0)),"#ekrk")),"#popis")</f>
        <v>5.7128886515513129E-2</v>
      </c>
      <c r="Y535" s="362">
        <f>IF($Q535="ekrk",IF($R535="data",IFERROR(INDEX(data!$A:$ALL,MATCH($M535,data!$A:$A,0),MATCH(Y$2,data!$1:$1,0)),"#data"),IFERROR(X535*INDEX(indexy_SDcast!$A:$ALI,MATCH($R535,indexy_SDcast!$K:$K,0),MATCH(Y$2,indexy_SDcast!$2:$2,0)),"#ekrk")),"#popis")</f>
        <v>7.7286697839042087E-2</v>
      </c>
    </row>
    <row r="536" spans="1:44" x14ac:dyDescent="0.25">
      <c r="A536" s="330">
        <v>642015</v>
      </c>
      <c r="B536" s="329">
        <v>7.6999199999999988</v>
      </c>
      <c r="C536" s="157"/>
      <c r="D536" s="330">
        <v>642015</v>
      </c>
      <c r="E536" s="329">
        <v>7.6999199999999988</v>
      </c>
      <c r="F536" s="157"/>
      <c r="G536" s="330">
        <v>642015</v>
      </c>
      <c r="H536" s="329">
        <v>7.6999199999999988</v>
      </c>
      <c r="I536" s="157"/>
      <c r="J536" s="330">
        <v>642015</v>
      </c>
      <c r="K536" s="329">
        <v>7.6999199999999988</v>
      </c>
      <c r="L536" s="157"/>
      <c r="M536" s="360">
        <f t="shared" si="53"/>
        <v>642015</v>
      </c>
      <c r="N536" s="237">
        <f t="shared" si="54"/>
        <v>7.6999199999999988</v>
      </c>
      <c r="O536" s="361"/>
      <c r="P536" s="361"/>
      <c r="Q536" s="361" t="s">
        <v>698</v>
      </c>
      <c r="R536" s="362">
        <v>35</v>
      </c>
      <c r="S536" s="236"/>
      <c r="T536" s="364">
        <f t="shared" si="51"/>
        <v>642015</v>
      </c>
      <c r="U536" s="365">
        <f>N536</f>
        <v>7.6999199999999988</v>
      </c>
      <c r="V536" s="365">
        <f>IF($Q536="ekrk",IF($R536="data",IFERROR(INDEX(data!$A:$ALL,MATCH($M536,data!$A:$A,0),MATCH(V$2,data!$1:$1,0)),"#data"),IFERROR(U536*INDEX(indexy_SDcast!$A:$ALI,MATCH($R536,indexy_SDcast!$K:$K,0),MATCH(V$2,indexy_SDcast!$2:$2,0)),"#ekrk")),"#popis")</f>
        <v>9.8576850848971915</v>
      </c>
      <c r="W536" s="365">
        <f>IF($Q536="ekrk",IF($R536="data",IFERROR(INDEX(data!$A:$ALL,MATCH($M536,data!$A:$A,0),MATCH(W$2,data!$1:$1,0)),"#data"),IFERROR(V536*INDEX(indexy_SDcast!$A:$ALI,MATCH($R536,indexy_SDcast!$K:$K,0),MATCH(W$2,indexy_SDcast!$2:$2,0)),"#ekrk")),"#popis")</f>
        <v>9.9684983362166104</v>
      </c>
      <c r="X536" s="365">
        <f>IF($Q536="ekrk",IF($R536="data",IFERROR(INDEX(data!$A:$ALL,MATCH($M536,data!$A:$A,0),MATCH(X$2,data!$1:$1,0)),"#data"),IFERROR(W536*INDEX(indexy_SDcast!$A:$ALI,MATCH($R536,indexy_SDcast!$K:$K,0),MATCH(X$2,indexy_SDcast!$2:$2,0)),"#ekrk")),"#popis")</f>
        <v>6.4030255583483253</v>
      </c>
      <c r="Y536" s="362">
        <f>IF($Q536="ekrk",IF($R536="data",IFERROR(INDEX(data!$A:$ALL,MATCH($M536,data!$A:$A,0),MATCH(Y$2,data!$1:$1,0)),"#data"),IFERROR(X536*INDEX(indexy_SDcast!$A:$ALI,MATCH($R536,indexy_SDcast!$K:$K,0),MATCH(Y$2,indexy_SDcast!$2:$2,0)),"#ekrk")),"#popis")</f>
        <v>8.6623200935196092</v>
      </c>
    </row>
    <row r="537" spans="1:44" s="18" customFormat="1" x14ac:dyDescent="0.25">
      <c r="A537" s="333" t="s">
        <v>728</v>
      </c>
      <c r="B537" s="334">
        <v>-16313.000429999998</v>
      </c>
      <c r="C537" s="164"/>
      <c r="D537" s="333" t="s">
        <v>728</v>
      </c>
      <c r="E537" s="334">
        <v>-16313.000429999998</v>
      </c>
      <c r="F537" s="164"/>
      <c r="G537" s="333" t="s">
        <v>728</v>
      </c>
      <c r="H537" s="334">
        <v>-16313.000429999998</v>
      </c>
      <c r="I537" s="164"/>
      <c r="J537" s="333" t="s">
        <v>728</v>
      </c>
      <c r="K537" s="334">
        <v>-16313.000429999998</v>
      </c>
      <c r="L537" s="164"/>
      <c r="M537" s="358" t="str">
        <f t="shared" si="53"/>
        <v>D624PAY</v>
      </c>
      <c r="N537" s="239">
        <f t="shared" si="54"/>
        <v>-16313.000429999998</v>
      </c>
      <c r="O537" s="243"/>
      <c r="P537" s="243">
        <f>MATCH(Q537,Q538:Q$1550,0)</f>
        <v>6</v>
      </c>
      <c r="Q537" s="243" t="s">
        <v>697</v>
      </c>
      <c r="R537" s="359" t="str">
        <f>IF(Q537="ekrk",INDEX(indexy_SDcast!$A:$C,MATCH($M537,indexy_SDcast!$A:$A,0),2),"")</f>
        <v/>
      </c>
      <c r="S537" s="240"/>
      <c r="T537" s="363" t="str">
        <f t="shared" si="51"/>
        <v>D624PAY</v>
      </c>
      <c r="U537" s="244">
        <f>SUM(U538:U542)</f>
        <v>-16313.000429999998</v>
      </c>
      <c r="V537" s="244">
        <f>SUM(V538:V542)</f>
        <v>-20884.427504276988</v>
      </c>
      <c r="W537" s="244">
        <f>SUM(W538:W542)</f>
        <v>-21119.195737768165</v>
      </c>
      <c r="X537" s="244">
        <f>SUM(X538:X542)</f>
        <v>-13565.408301207963</v>
      </c>
      <c r="Y537" s="359">
        <f>SUM(Y538:Y542)</f>
        <v>-18351.935008465418</v>
      </c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8"/>
      <c r="AN537" s="58"/>
      <c r="AO537" s="58"/>
      <c r="AP537" s="58"/>
      <c r="AQ537" s="58"/>
      <c r="AR537" s="58"/>
    </row>
    <row r="538" spans="1:44" x14ac:dyDescent="0.25">
      <c r="A538" s="330">
        <v>642026</v>
      </c>
      <c r="B538" s="329">
        <v>-44.668140000000001</v>
      </c>
      <c r="C538" s="157"/>
      <c r="D538" s="330">
        <v>642026</v>
      </c>
      <c r="E538" s="329">
        <v>-44.668140000000001</v>
      </c>
      <c r="F538" s="157"/>
      <c r="G538" s="330">
        <v>642026</v>
      </c>
      <c r="H538" s="329">
        <v>-44.668140000000001</v>
      </c>
      <c r="I538" s="157"/>
      <c r="J538" s="330">
        <v>642026</v>
      </c>
      <c r="K538" s="329">
        <v>-44.668140000000001</v>
      </c>
      <c r="L538" s="157"/>
      <c r="M538" s="360">
        <f t="shared" si="53"/>
        <v>642026</v>
      </c>
      <c r="N538" s="237">
        <f t="shared" si="54"/>
        <v>-44.668140000000001</v>
      </c>
      <c r="O538" s="361"/>
      <c r="P538" s="361"/>
      <c r="Q538" s="361" t="s">
        <v>698</v>
      </c>
      <c r="R538" s="362">
        <v>35</v>
      </c>
      <c r="S538" s="236"/>
      <c r="T538" s="364">
        <f t="shared" ref="T538:T601" si="56">M538</f>
        <v>642026</v>
      </c>
      <c r="U538" s="365">
        <f>N538</f>
        <v>-44.668140000000001</v>
      </c>
      <c r="V538" s="365">
        <f>IF($Q538="ekrk",IF($R538="data",IFERROR(INDEX(data!$A:$ALL,MATCH($M538,data!$A:$A,0),MATCH(V$2,data!$1:$1,0)),"#data"),IFERROR(U538*INDEX(indexy_SDcast!$A:$ALI,MATCH($R538,indexy_SDcast!$K:$K,0),MATCH(V$2,indexy_SDcast!$2:$2,0)),"#ekrk")),"#popis")</f>
        <v>-57.185588609764736</v>
      </c>
      <c r="W538" s="365">
        <f>IF($Q538="ekrk",IF($R538="data",IFERROR(INDEX(data!$A:$ALL,MATCH($M538,data!$A:$A,0),MATCH(W$2,data!$1:$1,0)),"#data"),IFERROR(V538*INDEX(indexy_SDcast!$A:$ALI,MATCH($R538,indexy_SDcast!$K:$K,0),MATCH(W$2,indexy_SDcast!$2:$2,0)),"#ekrk")),"#popis")</f>
        <v>-57.828429291718699</v>
      </c>
      <c r="X538" s="365">
        <f>IF($Q538="ekrk",IF($R538="data",IFERROR(INDEX(data!$A:$ALL,MATCH($M538,data!$A:$A,0),MATCH(X$2,data!$1:$1,0)),"#data"),IFERROR(W538*INDEX(indexy_SDcast!$A:$ALI,MATCH($R538,indexy_SDcast!$K:$K,0),MATCH(X$2,indexy_SDcast!$2:$2,0)),"#ekrk")),"#popis")</f>
        <v>-37.144703070146335</v>
      </c>
      <c r="Y538" s="362">
        <f>IF($Q538="ekrk",IF($R538="data",IFERROR(INDEX(data!$A:$ALL,MATCH($M538,data!$A:$A,0),MATCH(Y$2,data!$1:$1,0)),"#data"),IFERROR(X538*INDEX(indexy_SDcast!$A:$ALI,MATCH($R538,indexy_SDcast!$K:$K,0),MATCH(Y$2,indexy_SDcast!$2:$2,0)),"#ekrk")),"#popis")</f>
        <v>-50.251135941950949</v>
      </c>
    </row>
    <row r="539" spans="1:44" x14ac:dyDescent="0.25">
      <c r="A539" s="330">
        <v>642030</v>
      </c>
      <c r="B539" s="329">
        <v>-531.36409000000003</v>
      </c>
      <c r="C539" s="157"/>
      <c r="D539" s="330">
        <v>642030</v>
      </c>
      <c r="E539" s="329">
        <v>-531.36409000000003</v>
      </c>
      <c r="F539" s="157"/>
      <c r="G539" s="330">
        <v>642030</v>
      </c>
      <c r="H539" s="329">
        <v>-531.36409000000003</v>
      </c>
      <c r="I539" s="157"/>
      <c r="J539" s="330">
        <v>642030</v>
      </c>
      <c r="K539" s="329">
        <v>-531.36409000000003</v>
      </c>
      <c r="L539" s="157"/>
      <c r="M539" s="360">
        <f t="shared" si="53"/>
        <v>642030</v>
      </c>
      <c r="N539" s="237">
        <f t="shared" si="54"/>
        <v>-531.36409000000003</v>
      </c>
      <c r="O539" s="361"/>
      <c r="P539" s="361"/>
      <c r="Q539" s="361" t="s">
        <v>698</v>
      </c>
      <c r="R539" s="362">
        <v>35</v>
      </c>
      <c r="S539" s="236"/>
      <c r="T539" s="364">
        <f t="shared" si="56"/>
        <v>642030</v>
      </c>
      <c r="U539" s="365">
        <f>N539</f>
        <v>-531.36409000000003</v>
      </c>
      <c r="V539" s="365">
        <f>IF($Q539="ekrk",IF($R539="data",IFERROR(INDEX(data!$A:$ALL,MATCH($M539,data!$A:$A,0),MATCH(V$2,data!$1:$1,0)),"#data"),IFERROR(U539*INDEX(indexy_SDcast!$A:$ALI,MATCH($R539,indexy_SDcast!$K:$K,0),MATCH(V$2,indexy_SDcast!$2:$2,0)),"#ekrk")),"#popis")</f>
        <v>-680.26938781740193</v>
      </c>
      <c r="W539" s="365">
        <f>IF($Q539="ekrk",IF($R539="data",IFERROR(INDEX(data!$A:$ALL,MATCH($M539,data!$A:$A,0),MATCH(W$2,data!$1:$1,0)),"#data"),IFERROR(V539*INDEX(indexy_SDcast!$A:$ALI,MATCH($R539,indexy_SDcast!$K:$K,0),MATCH(W$2,indexy_SDcast!$2:$2,0)),"#ekrk")),"#popis")</f>
        <v>-687.91650394942462</v>
      </c>
      <c r="X539" s="365">
        <f>IF($Q539="ekrk",IF($R539="data",IFERROR(INDEX(data!$A:$ALL,MATCH($M539,data!$A:$A,0),MATCH(X$2,data!$1:$1,0)),"#data"),IFERROR(W539*INDEX(indexy_SDcast!$A:$ALI,MATCH($R539,indexy_SDcast!$K:$K,0),MATCH(X$2,indexy_SDcast!$2:$2,0)),"#ekrk")),"#popis")</f>
        <v>-441.86664914161446</v>
      </c>
      <c r="Y539" s="362">
        <f>IF($Q539="ekrk",IF($R539="data",IFERROR(INDEX(data!$A:$ALL,MATCH($M539,data!$A:$A,0),MATCH(Y$2,data!$1:$1,0)),"#data"),IFERROR(X539*INDEX(indexy_SDcast!$A:$ALI,MATCH($R539,indexy_SDcast!$K:$K,0),MATCH(Y$2,indexy_SDcast!$2:$2,0)),"#ekrk")),"#popis")</f>
        <v>-597.77839689006669</v>
      </c>
    </row>
    <row r="540" spans="1:44" x14ac:dyDescent="0.25">
      <c r="A540" s="330">
        <v>642031</v>
      </c>
      <c r="B540" s="329">
        <v>-0.44847000000000004</v>
      </c>
      <c r="C540" s="157"/>
      <c r="D540" s="330">
        <v>642031</v>
      </c>
      <c r="E540" s="329">
        <v>-0.44847000000000004</v>
      </c>
      <c r="F540" s="157"/>
      <c r="G540" s="330">
        <v>642031</v>
      </c>
      <c r="H540" s="329">
        <v>-0.44847000000000004</v>
      </c>
      <c r="I540" s="157"/>
      <c r="J540" s="330">
        <v>642031</v>
      </c>
      <c r="K540" s="329">
        <v>-0.44847000000000004</v>
      </c>
      <c r="L540" s="157"/>
      <c r="M540" s="360">
        <f t="shared" si="53"/>
        <v>642031</v>
      </c>
      <c r="N540" s="237">
        <f t="shared" si="54"/>
        <v>-0.44847000000000004</v>
      </c>
      <c r="O540" s="361"/>
      <c r="P540" s="361"/>
      <c r="Q540" s="361" t="s">
        <v>698</v>
      </c>
      <c r="R540" s="362">
        <v>35</v>
      </c>
      <c r="S540" s="236"/>
      <c r="T540" s="364">
        <f t="shared" si="56"/>
        <v>642031</v>
      </c>
      <c r="U540" s="365">
        <f>N540</f>
        <v>-0.44847000000000004</v>
      </c>
      <c r="V540" s="365">
        <f>IF($Q540="ekrk",IF($R540="data",IFERROR(INDEX(data!$A:$ALL,MATCH($M540,data!$A:$A,0),MATCH(V$2,data!$1:$1,0)),"#data"),IFERROR(U540*INDEX(indexy_SDcast!$A:$ALI,MATCH($R540,indexy_SDcast!$K:$K,0),MATCH(V$2,indexy_SDcast!$2:$2,0)),"#ekrk")),"#popis")</f>
        <v>-0.57414570930916742</v>
      </c>
      <c r="W540" s="365">
        <f>IF($Q540="ekrk",IF($R540="data",IFERROR(INDEX(data!$A:$ALL,MATCH($M540,data!$A:$A,0),MATCH(W$2,data!$1:$1,0)),"#data"),IFERROR(V540*INDEX(indexy_SDcast!$A:$ALI,MATCH($R540,indexy_SDcast!$K:$K,0),MATCH(W$2,indexy_SDcast!$2:$2,0)),"#ekrk")),"#popis")</f>
        <v>-0.58059985673137693</v>
      </c>
      <c r="X540" s="365">
        <f>IF($Q540="ekrk",IF($R540="data",IFERROR(INDEX(data!$A:$ALL,MATCH($M540,data!$A:$A,0),MATCH(X$2,data!$1:$1,0)),"#data"),IFERROR(W540*INDEX(indexy_SDcast!$A:$ALI,MATCH($R540,indexy_SDcast!$K:$K,0),MATCH(X$2,indexy_SDcast!$2:$2,0)),"#ekrk")),"#popis")</f>
        <v>-0.372934377519828</v>
      </c>
      <c r="Y540" s="362">
        <f>IF($Q540="ekrk",IF($R540="data",IFERROR(INDEX(data!$A:$ALL,MATCH($M540,data!$A:$A,0),MATCH(Y$2,data!$1:$1,0)),"#data"),IFERROR(X540*INDEX(indexy_SDcast!$A:$ALI,MATCH($R540,indexy_SDcast!$K:$K,0),MATCH(Y$2,indexy_SDcast!$2:$2,0)),"#ekrk")),"#popis")</f>
        <v>-0.50452351353530167</v>
      </c>
    </row>
    <row r="541" spans="1:44" x14ac:dyDescent="0.25">
      <c r="A541" s="330">
        <v>642032</v>
      </c>
      <c r="B541" s="329">
        <v>-15735.410319999999</v>
      </c>
      <c r="C541" s="157"/>
      <c r="D541" s="330">
        <v>642032</v>
      </c>
      <c r="E541" s="329">
        <v>-15735.410319999999</v>
      </c>
      <c r="F541" s="157"/>
      <c r="G541" s="330">
        <v>642032</v>
      </c>
      <c r="H541" s="329">
        <v>-15735.410319999999</v>
      </c>
      <c r="I541" s="157"/>
      <c r="J541" s="330">
        <v>642032</v>
      </c>
      <c r="K541" s="329">
        <v>-15735.410319999999</v>
      </c>
      <c r="L541" s="157"/>
      <c r="M541" s="360">
        <f t="shared" si="53"/>
        <v>642032</v>
      </c>
      <c r="N541" s="237">
        <f t="shared" si="54"/>
        <v>-15735.410319999999</v>
      </c>
      <c r="O541" s="361"/>
      <c r="P541" s="361"/>
      <c r="Q541" s="361" t="s">
        <v>698</v>
      </c>
      <c r="R541" s="362">
        <v>35</v>
      </c>
      <c r="S541" s="236"/>
      <c r="T541" s="364">
        <f t="shared" si="56"/>
        <v>642032</v>
      </c>
      <c r="U541" s="365">
        <f>N541</f>
        <v>-15735.410319999999</v>
      </c>
      <c r="V541" s="365">
        <f>IF($Q541="ekrk",IF($R541="data",IFERROR(INDEX(data!$A:$ALL,MATCH($M541,data!$A:$A,0),MATCH(V$2,data!$1:$1,0)),"#data"),IFERROR(U541*INDEX(indexy_SDcast!$A:$ALI,MATCH($R541,indexy_SDcast!$K:$K,0),MATCH(V$2,indexy_SDcast!$2:$2,0)),"#ekrk")),"#popis")</f>
        <v>-20144.978079798406</v>
      </c>
      <c r="W541" s="365">
        <f>IF($Q541="ekrk",IF($R541="data",IFERROR(INDEX(data!$A:$ALL,MATCH($M541,data!$A:$A,0),MATCH(W$2,data!$1:$1,0)),"#data"),IFERROR(V541*INDEX(indexy_SDcast!$A:$ALI,MATCH($R541,indexy_SDcast!$K:$K,0),MATCH(W$2,indexy_SDcast!$2:$2,0)),"#ekrk")),"#popis")</f>
        <v>-20371.4339362754</v>
      </c>
      <c r="X541" s="365">
        <f>IF($Q541="ekrk",IF($R541="data",IFERROR(INDEX(data!$A:$ALL,MATCH($M541,data!$A:$A,0),MATCH(X$2,data!$1:$1,0)),"#data"),IFERROR(W541*INDEX(indexy_SDcast!$A:$ALI,MATCH($R541,indexy_SDcast!$K:$K,0),MATCH(X$2,indexy_SDcast!$2:$2,0)),"#ekrk")),"#popis")</f>
        <v>-13085.101462100645</v>
      </c>
      <c r="Y541" s="362">
        <f>IF($Q541="ekrk",IF($R541="data",IFERROR(INDEX(data!$A:$ALL,MATCH($M541,data!$A:$A,0),MATCH(Y$2,data!$1:$1,0)),"#data"),IFERROR(X541*INDEX(indexy_SDcast!$A:$ALI,MATCH($R541,indexy_SDcast!$K:$K,0),MATCH(Y$2,indexy_SDcast!$2:$2,0)),"#ekrk")),"#popis")</f>
        <v>-17702.152878823654</v>
      </c>
    </row>
    <row r="542" spans="1:44" x14ac:dyDescent="0.25">
      <c r="A542" s="330">
        <v>642036</v>
      </c>
      <c r="B542" s="329">
        <v>-1.10941</v>
      </c>
      <c r="C542" s="157"/>
      <c r="D542" s="330">
        <v>642036</v>
      </c>
      <c r="E542" s="329">
        <v>-1.10941</v>
      </c>
      <c r="F542" s="157"/>
      <c r="G542" s="330">
        <v>642036</v>
      </c>
      <c r="H542" s="329">
        <v>-1.10941</v>
      </c>
      <c r="I542" s="157"/>
      <c r="J542" s="330">
        <v>642036</v>
      </c>
      <c r="K542" s="329">
        <v>-1.10941</v>
      </c>
      <c r="L542" s="157"/>
      <c r="M542" s="360">
        <f t="shared" si="53"/>
        <v>642036</v>
      </c>
      <c r="N542" s="237">
        <f t="shared" si="54"/>
        <v>-1.10941</v>
      </c>
      <c r="O542" s="361"/>
      <c r="P542" s="361"/>
      <c r="Q542" s="361" t="s">
        <v>698</v>
      </c>
      <c r="R542" s="362">
        <v>35</v>
      </c>
      <c r="S542" s="236"/>
      <c r="T542" s="364">
        <f t="shared" si="56"/>
        <v>642036</v>
      </c>
      <c r="U542" s="365">
        <f>N542</f>
        <v>-1.10941</v>
      </c>
      <c r="V542" s="365">
        <f>IF($Q542="ekrk",IF($R542="data",IFERROR(INDEX(data!$A:$ALL,MATCH($M542,data!$A:$A,0),MATCH(V$2,data!$1:$1,0)),"#data"),IFERROR(U542*INDEX(indexy_SDcast!$A:$ALI,MATCH($R542,indexy_SDcast!$K:$K,0),MATCH(V$2,indexy_SDcast!$2:$2,0)),"#ekrk")),"#popis")</f>
        <v>-1.4203023421069043</v>
      </c>
      <c r="W542" s="365">
        <f>IF($Q542="ekrk",IF($R542="data",IFERROR(INDEX(data!$A:$ALL,MATCH($M542,data!$A:$A,0),MATCH(W$2,data!$1:$1,0)),"#data"),IFERROR(V542*INDEX(indexy_SDcast!$A:$ALI,MATCH($R542,indexy_SDcast!$K:$K,0),MATCH(W$2,indexy_SDcast!$2:$2,0)),"#ekrk")),"#popis")</f>
        <v>-1.4362683948900858</v>
      </c>
      <c r="X542" s="365">
        <f>IF($Q542="ekrk",IF($R542="data",IFERROR(INDEX(data!$A:$ALL,MATCH($M542,data!$A:$A,0),MATCH(X$2,data!$1:$1,0)),"#data"),IFERROR(W542*INDEX(indexy_SDcast!$A:$ALI,MATCH($R542,indexy_SDcast!$K:$K,0),MATCH(X$2,indexy_SDcast!$2:$2,0)),"#ekrk")),"#popis")</f>
        <v>-0.92255251803748817</v>
      </c>
      <c r="Y542" s="362">
        <f>IF($Q542="ekrk",IF($R542="data",IFERROR(INDEX(data!$A:$ALL,MATCH($M542,data!$A:$A,0),MATCH(Y$2,data!$1:$1,0)),"#data"),IFERROR(X542*INDEX(indexy_SDcast!$A:$ALI,MATCH($R542,indexy_SDcast!$K:$K,0),MATCH(Y$2,indexy_SDcast!$2:$2,0)),"#ekrk")),"#popis")</f>
        <v>-1.2480732962097774</v>
      </c>
    </row>
    <row r="543" spans="1:44" s="18" customFormat="1" x14ac:dyDescent="0.25">
      <c r="A543" s="333" t="s">
        <v>730</v>
      </c>
      <c r="B543" s="334">
        <v>-8.0974499999999985</v>
      </c>
      <c r="C543" s="164"/>
      <c r="D543" s="333" t="s">
        <v>730</v>
      </c>
      <c r="E543" s="334">
        <v>-8.0974499999999985</v>
      </c>
      <c r="F543" s="164"/>
      <c r="G543" s="333" t="s">
        <v>730</v>
      </c>
      <c r="H543" s="334">
        <v>-8.0974499999999985</v>
      </c>
      <c r="I543" s="164"/>
      <c r="J543" s="333" t="s">
        <v>730</v>
      </c>
      <c r="K543" s="334">
        <v>-8.0974499999999985</v>
      </c>
      <c r="L543" s="164"/>
      <c r="M543" s="358" t="str">
        <f t="shared" si="53"/>
        <v>D632PAY</v>
      </c>
      <c r="N543" s="239">
        <f t="shared" si="54"/>
        <v>-8.0974499999999985</v>
      </c>
      <c r="O543" s="243"/>
      <c r="P543" s="243">
        <f>MATCH(Q543,Q544:Q$1550,0)</f>
        <v>4</v>
      </c>
      <c r="Q543" s="243" t="s">
        <v>697</v>
      </c>
      <c r="R543" s="359" t="str">
        <f>IF(Q543="ekrk",INDEX(indexy_SDcast!$A:$C,MATCH($M543,indexy_SDcast!$A:$A,0),2),"")</f>
        <v/>
      </c>
      <c r="S543" s="240"/>
      <c r="T543" s="363" t="str">
        <f t="shared" si="56"/>
        <v>D632PAY</v>
      </c>
      <c r="U543" s="244">
        <f>SUM(U544:U546)</f>
        <v>-8.0974499999999985</v>
      </c>
      <c r="V543" s="244">
        <f>SUM(V544:V546)</f>
        <v>-10.366615768826268</v>
      </c>
      <c r="W543" s="244">
        <f>SUM(W544:W546)</f>
        <v>-10.483150065532783</v>
      </c>
      <c r="X543" s="244">
        <f>SUM(X544:X546)</f>
        <v>-6.73359973966582</v>
      </c>
      <c r="Y543" s="359">
        <f>SUM(Y544:Y546)</f>
        <v>-9.1095367018450002</v>
      </c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8"/>
      <c r="AN543" s="58"/>
      <c r="AO543" s="58"/>
      <c r="AP543" s="58"/>
      <c r="AQ543" s="58"/>
      <c r="AR543" s="58"/>
    </row>
    <row r="544" spans="1:44" x14ac:dyDescent="0.25">
      <c r="A544" s="330">
        <v>637016</v>
      </c>
      <c r="B544" s="329">
        <v>-4.525999999999998</v>
      </c>
      <c r="C544" s="157"/>
      <c r="D544" s="330">
        <v>637016</v>
      </c>
      <c r="E544" s="329">
        <v>-4.525999999999998</v>
      </c>
      <c r="F544" s="157"/>
      <c r="G544" s="330">
        <v>637016</v>
      </c>
      <c r="H544" s="329">
        <v>-4.525999999999998</v>
      </c>
      <c r="I544" s="157"/>
      <c r="J544" s="330">
        <v>637016</v>
      </c>
      <c r="K544" s="329">
        <v>-4.525999999999998</v>
      </c>
      <c r="L544" s="157"/>
      <c r="M544" s="360">
        <f t="shared" si="53"/>
        <v>637016</v>
      </c>
      <c r="N544" s="237">
        <f t="shared" si="54"/>
        <v>-4.525999999999998</v>
      </c>
      <c r="O544" s="361"/>
      <c r="P544" s="361"/>
      <c r="Q544" s="361" t="s">
        <v>698</v>
      </c>
      <c r="R544" s="362">
        <v>35</v>
      </c>
      <c r="S544" s="236"/>
      <c r="T544" s="364">
        <f t="shared" si="56"/>
        <v>637016</v>
      </c>
      <c r="U544" s="365">
        <f>N544</f>
        <v>-4.525999999999998</v>
      </c>
      <c r="V544" s="365">
        <f>IF($Q544="ekrk",IF($R544="data",IFERROR(INDEX(data!$A:$ALL,MATCH($M544,data!$A:$A,0),MATCH(V$2,data!$1:$1,0)),"#data"),IFERROR(U544*INDEX(indexy_SDcast!$A:$ALI,MATCH($R544,indexy_SDcast!$K:$K,0),MATCH(V$2,indexy_SDcast!$2:$2,0)),"#ekrk")),"#popis")</f>
        <v>-5.7943306806102761</v>
      </c>
      <c r="W544" s="365">
        <f>IF($Q544="ekrk",IF($R544="data",IFERROR(INDEX(data!$A:$ALL,MATCH($M544,data!$A:$A,0),MATCH(W$2,data!$1:$1,0)),"#data"),IFERROR(V544*INDEX(indexy_SDcast!$A:$ALI,MATCH($R544,indexy_SDcast!$K:$K,0),MATCH(W$2,indexy_SDcast!$2:$2,0)),"#ekrk")),"#popis")</f>
        <v>-5.8594665229919745</v>
      </c>
      <c r="X544" s="365">
        <f>IF($Q544="ekrk",IF($R544="data",IFERROR(INDEX(data!$A:$ALL,MATCH($M544,data!$A:$A,0),MATCH(X$2,data!$1:$1,0)),"#data"),IFERROR(W544*INDEX(indexy_SDcast!$A:$ALI,MATCH($R544,indexy_SDcast!$K:$K,0),MATCH(X$2,indexy_SDcast!$2:$2,0)),"#ekrk")),"#popis")</f>
        <v>-3.7636876327396274</v>
      </c>
      <c r="Y544" s="362">
        <f>IF($Q544="ekrk",IF($R544="data",IFERROR(INDEX(data!$A:$ALL,MATCH($M544,data!$A:$A,0),MATCH(Y$2,data!$1:$1,0)),"#data"),IFERROR(X544*INDEX(indexy_SDcast!$A:$ALI,MATCH($R544,indexy_SDcast!$K:$K,0),MATCH(Y$2,indexy_SDcast!$2:$2,0)),"#ekrk")),"#popis")</f>
        <v>-5.0916971531223361</v>
      </c>
    </row>
    <row r="545" spans="1:44" x14ac:dyDescent="0.25">
      <c r="A545" s="330">
        <v>642013</v>
      </c>
      <c r="B545" s="329">
        <v>-6.8699999999999983E-2</v>
      </c>
      <c r="C545" s="157"/>
      <c r="D545" s="330">
        <v>642013</v>
      </c>
      <c r="E545" s="329">
        <v>-6.8699999999999983E-2</v>
      </c>
      <c r="F545" s="157"/>
      <c r="G545" s="330">
        <v>642013</v>
      </c>
      <c r="H545" s="329">
        <v>-6.8699999999999983E-2</v>
      </c>
      <c r="I545" s="157"/>
      <c r="J545" s="330">
        <v>642013</v>
      </c>
      <c r="K545" s="329">
        <v>-6.8699999999999983E-2</v>
      </c>
      <c r="L545" s="157"/>
      <c r="M545" s="360">
        <f t="shared" si="53"/>
        <v>642013</v>
      </c>
      <c r="N545" s="237">
        <f t="shared" si="54"/>
        <v>-6.8699999999999983E-2</v>
      </c>
      <c r="O545" s="361"/>
      <c r="P545" s="361"/>
      <c r="Q545" s="361" t="s">
        <v>698</v>
      </c>
      <c r="R545" s="362">
        <v>35</v>
      </c>
      <c r="S545" s="236"/>
      <c r="T545" s="364">
        <f t="shared" si="56"/>
        <v>642013</v>
      </c>
      <c r="U545" s="365">
        <f>N545</f>
        <v>-6.8699999999999983E-2</v>
      </c>
      <c r="V545" s="365">
        <f>IF($Q545="ekrk",IF($R545="data",IFERROR(INDEX(data!$A:$ALL,MATCH($M545,data!$A:$A,0),MATCH(V$2,data!$1:$1,0)),"#data"),IFERROR(U545*INDEX(indexy_SDcast!$A:$ALI,MATCH($R545,indexy_SDcast!$K:$K,0),MATCH(V$2,indexy_SDcast!$2:$2,0)),"#ekrk")),"#popis")</f>
        <v>-8.7951948245233322E-2</v>
      </c>
      <c r="W545" s="365">
        <f>IF($Q545="ekrk",IF($R545="data",IFERROR(INDEX(data!$A:$ALL,MATCH($M545,data!$A:$A,0),MATCH(W$2,data!$1:$1,0)),"#data"),IFERROR(V545*INDEX(indexy_SDcast!$A:$ALI,MATCH($R545,indexy_SDcast!$K:$K,0),MATCH(W$2,indexy_SDcast!$2:$2,0)),"#ekrk")),"#popis")</f>
        <v>-8.8940642980457063E-2</v>
      </c>
      <c r="X545" s="365">
        <f>IF($Q545="ekrk",IF($R545="data",IFERROR(INDEX(data!$A:$ALL,MATCH($M545,data!$A:$A,0),MATCH(X$2,data!$1:$1,0)),"#data"),IFERROR(W545*INDEX(indexy_SDcast!$A:$ALI,MATCH($R545,indexy_SDcast!$K:$K,0),MATCH(X$2,indexy_SDcast!$2:$2,0)),"#ekrk")),"#popis")</f>
        <v>-5.7128886515513129E-2</v>
      </c>
      <c r="Y545" s="362">
        <f>IF($Q545="ekrk",IF($R545="data",IFERROR(INDEX(data!$A:$ALL,MATCH($M545,data!$A:$A,0),MATCH(Y$2,data!$1:$1,0)),"#data"),IFERROR(X545*INDEX(indexy_SDcast!$A:$ALI,MATCH($R545,indexy_SDcast!$K:$K,0),MATCH(Y$2,indexy_SDcast!$2:$2,0)),"#ekrk")),"#popis")</f>
        <v>-7.7286697839042087E-2</v>
      </c>
    </row>
    <row r="546" spans="1:44" x14ac:dyDescent="0.25">
      <c r="A546" s="330">
        <v>642015</v>
      </c>
      <c r="B546" s="329">
        <v>-3.5027500000000007</v>
      </c>
      <c r="C546" s="157"/>
      <c r="D546" s="330">
        <v>642015</v>
      </c>
      <c r="E546" s="329">
        <v>-3.5027500000000007</v>
      </c>
      <c r="F546" s="157"/>
      <c r="G546" s="330">
        <v>642015</v>
      </c>
      <c r="H546" s="329">
        <v>-3.5027500000000007</v>
      </c>
      <c r="I546" s="157"/>
      <c r="J546" s="330">
        <v>642015</v>
      </c>
      <c r="K546" s="329">
        <v>-3.5027500000000007</v>
      </c>
      <c r="L546" s="157"/>
      <c r="M546" s="360">
        <f t="shared" ref="M546:M609" si="57">J546</f>
        <v>642015</v>
      </c>
      <c r="N546" s="237">
        <f t="shared" ref="N546:N609" si="58">K546</f>
        <v>-3.5027500000000007</v>
      </c>
      <c r="O546" s="361"/>
      <c r="P546" s="361"/>
      <c r="Q546" s="361" t="s">
        <v>698</v>
      </c>
      <c r="R546" s="362">
        <v>35</v>
      </c>
      <c r="S546" s="236"/>
      <c r="T546" s="364">
        <f t="shared" si="56"/>
        <v>642015</v>
      </c>
      <c r="U546" s="365">
        <f>N546</f>
        <v>-3.5027500000000007</v>
      </c>
      <c r="V546" s="365">
        <f>IF($Q546="ekrk",IF($R546="data",IFERROR(INDEX(data!$A:$ALL,MATCH($M546,data!$A:$A,0),MATCH(V$2,data!$1:$1,0)),"#data"),IFERROR(U546*INDEX(indexy_SDcast!$A:$ALI,MATCH($R546,indexy_SDcast!$K:$K,0),MATCH(V$2,indexy_SDcast!$2:$2,0)),"#ekrk")),"#popis")</f>
        <v>-4.4843331399707589</v>
      </c>
      <c r="W546" s="365">
        <f>IF($Q546="ekrk",IF($R546="data",IFERROR(INDEX(data!$A:$ALL,MATCH($M546,data!$A:$A,0),MATCH(W$2,data!$1:$1,0)),"#data"),IFERROR(V546*INDEX(indexy_SDcast!$A:$ALI,MATCH($R546,indexy_SDcast!$K:$K,0),MATCH(W$2,indexy_SDcast!$2:$2,0)),"#ekrk")),"#popis")</f>
        <v>-4.5347428995603511</v>
      </c>
      <c r="X546" s="365">
        <f>IF($Q546="ekrk",IF($R546="data",IFERROR(INDEX(data!$A:$ALL,MATCH($M546,data!$A:$A,0),MATCH(X$2,data!$1:$1,0)),"#data"),IFERROR(W546*INDEX(indexy_SDcast!$A:$ALI,MATCH($R546,indexy_SDcast!$K:$K,0),MATCH(X$2,indexy_SDcast!$2:$2,0)),"#ekrk")),"#popis")</f>
        <v>-2.9127832204106796</v>
      </c>
      <c r="Y546" s="362">
        <f>IF($Q546="ekrk",IF($R546="data",IFERROR(INDEX(data!$A:$ALL,MATCH($M546,data!$A:$A,0),MATCH(Y$2,data!$1:$1,0)),"#data"),IFERROR(X546*INDEX(indexy_SDcast!$A:$ALI,MATCH($R546,indexy_SDcast!$K:$K,0),MATCH(Y$2,indexy_SDcast!$2:$2,0)),"#ekrk")),"#popis")</f>
        <v>-3.9405528508836216</v>
      </c>
    </row>
    <row r="547" spans="1:44" s="18" customFormat="1" x14ac:dyDescent="0.25">
      <c r="A547" s="333" t="s">
        <v>731</v>
      </c>
      <c r="B547" s="334">
        <v>-34.13212</v>
      </c>
      <c r="C547" s="164"/>
      <c r="D547" s="333" t="s">
        <v>731</v>
      </c>
      <c r="E547" s="334">
        <v>-34.13212</v>
      </c>
      <c r="F547" s="164"/>
      <c r="G547" s="333" t="s">
        <v>731</v>
      </c>
      <c r="H547" s="334">
        <v>-34.13212</v>
      </c>
      <c r="I547" s="164"/>
      <c r="J547" s="333" t="s">
        <v>731</v>
      </c>
      <c r="K547" s="334">
        <v>-34.13212</v>
      </c>
      <c r="L547" s="164"/>
      <c r="M547" s="358" t="str">
        <f t="shared" si="57"/>
        <v>D71PAY</v>
      </c>
      <c r="N547" s="239">
        <f t="shared" si="58"/>
        <v>-34.13212</v>
      </c>
      <c r="O547" s="243"/>
      <c r="P547" s="243">
        <f>MATCH(Q547,Q548:Q$1550,0)</f>
        <v>3</v>
      </c>
      <c r="Q547" s="243" t="s">
        <v>697</v>
      </c>
      <c r="R547" s="359" t="str">
        <f>IF(Q547="ekrk",INDEX(indexy_SDcast!$A:$C,MATCH($M547,indexy_SDcast!$A:$A,0),2),"")</f>
        <v/>
      </c>
      <c r="S547" s="240"/>
      <c r="T547" s="363" t="str">
        <f t="shared" si="56"/>
        <v>D71PAY</v>
      </c>
      <c r="U547" s="244">
        <f>SUM(U548:U549)</f>
        <v>-34.13212</v>
      </c>
      <c r="V547" s="244">
        <f>SUM(V548:V549)</f>
        <v>-43.697037143232812</v>
      </c>
      <c r="W547" s="244">
        <f>SUM(W548:W549)</f>
        <v>-44.188248894994459</v>
      </c>
      <c r="X547" s="244">
        <f>SUM(X548:X549)</f>
        <v>-28.383260698891945</v>
      </c>
      <c r="Y547" s="359">
        <f>SUM(Y548:Y549)</f>
        <v>-38.398236463550596</v>
      </c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58"/>
      <c r="AR547" s="58"/>
    </row>
    <row r="548" spans="1:44" x14ac:dyDescent="0.25">
      <c r="A548" s="330">
        <v>634003</v>
      </c>
      <c r="B548" s="329">
        <v>-0.60102</v>
      </c>
      <c r="C548" s="157"/>
      <c r="D548" s="330">
        <v>634003</v>
      </c>
      <c r="E548" s="329">
        <v>-0.60102</v>
      </c>
      <c r="F548" s="157"/>
      <c r="G548" s="330">
        <v>634003</v>
      </c>
      <c r="H548" s="329">
        <v>-0.60102</v>
      </c>
      <c r="I548" s="157"/>
      <c r="J548" s="330">
        <v>634003</v>
      </c>
      <c r="K548" s="329">
        <v>-0.60102</v>
      </c>
      <c r="L548" s="157"/>
      <c r="M548" s="360">
        <f t="shared" si="57"/>
        <v>634003</v>
      </c>
      <c r="N548" s="237">
        <f t="shared" si="58"/>
        <v>-0.60102</v>
      </c>
      <c r="O548" s="361"/>
      <c r="P548" s="361"/>
      <c r="Q548" s="361" t="s">
        <v>698</v>
      </c>
      <c r="R548" s="362">
        <v>35</v>
      </c>
      <c r="S548" s="236"/>
      <c r="T548" s="364">
        <f t="shared" si="56"/>
        <v>634003</v>
      </c>
      <c r="U548" s="365">
        <f>N548</f>
        <v>-0.60102</v>
      </c>
      <c r="V548" s="365">
        <f>IF($Q548="ekrk",IF($R548="data",IFERROR(INDEX(data!$A:$ALL,MATCH($M548,data!$A:$A,0),MATCH(V$2,data!$1:$1,0)),"#data"),IFERROR(U548*INDEX(indexy_SDcast!$A:$ALI,MATCH($R548,indexy_SDcast!$K:$K,0),MATCH(V$2,indexy_SDcast!$2:$2,0)),"#ekrk")),"#popis")</f>
        <v>-0.76944512277074451</v>
      </c>
      <c r="W548" s="365">
        <f>IF($Q548="ekrk",IF($R548="data",IFERROR(INDEX(data!$A:$ALL,MATCH($M548,data!$A:$A,0),MATCH(W$2,data!$1:$1,0)),"#data"),IFERROR(V548*INDEX(indexy_SDcast!$A:$ALI,MATCH($R548,indexy_SDcast!$K:$K,0),MATCH(W$2,indexy_SDcast!$2:$2,0)),"#ekrk")),"#popis")</f>
        <v>-0.77809469059846181</v>
      </c>
      <c r="X548" s="365">
        <f>IF($Q548="ekrk",IF($R548="data",IFERROR(INDEX(data!$A:$ALL,MATCH($M548,data!$A:$A,0),MATCH(X$2,data!$1:$1,0)),"#data"),IFERROR(W548*INDEX(indexy_SDcast!$A:$ALI,MATCH($R548,indexy_SDcast!$K:$K,0),MATCH(X$2,indexy_SDcast!$2:$2,0)),"#ekrk")),"#popis")</f>
        <v>-0.49979044211868578</v>
      </c>
      <c r="Y548" s="362">
        <f>IF($Q548="ekrk",IF($R548="data",IFERROR(INDEX(data!$A:$ALL,MATCH($M548,data!$A:$A,0),MATCH(Y$2,data!$1:$1,0)),"#data"),IFERROR(X548*INDEX(indexy_SDcast!$A:$ALI,MATCH($R548,indexy_SDcast!$K:$K,0),MATCH(Y$2,indexy_SDcast!$2:$2,0)),"#ekrk")),"#popis")</f>
        <v>-0.6761404823176288</v>
      </c>
    </row>
    <row r="549" spans="1:44" x14ac:dyDescent="0.25">
      <c r="A549" s="330">
        <v>637015</v>
      </c>
      <c r="B549" s="329">
        <v>-33.531100000000002</v>
      </c>
      <c r="C549" s="157"/>
      <c r="D549" s="330">
        <v>637015</v>
      </c>
      <c r="E549" s="329">
        <v>-33.531100000000002</v>
      </c>
      <c r="F549" s="157"/>
      <c r="G549" s="330">
        <v>637015</v>
      </c>
      <c r="H549" s="329">
        <v>-33.531100000000002</v>
      </c>
      <c r="I549" s="157"/>
      <c r="J549" s="330">
        <v>637015</v>
      </c>
      <c r="K549" s="329">
        <v>-33.531100000000002</v>
      </c>
      <c r="L549" s="157"/>
      <c r="M549" s="360">
        <f t="shared" si="57"/>
        <v>637015</v>
      </c>
      <c r="N549" s="237">
        <f t="shared" si="58"/>
        <v>-33.531100000000002</v>
      </c>
      <c r="O549" s="361"/>
      <c r="P549" s="361"/>
      <c r="Q549" s="361" t="s">
        <v>698</v>
      </c>
      <c r="R549" s="362">
        <v>35</v>
      </c>
      <c r="S549" s="236"/>
      <c r="T549" s="364">
        <f t="shared" si="56"/>
        <v>637015</v>
      </c>
      <c r="U549" s="365">
        <f>N549</f>
        <v>-33.531100000000002</v>
      </c>
      <c r="V549" s="365">
        <f>IF($Q549="ekrk",IF($R549="data",IFERROR(INDEX(data!$A:$ALL,MATCH($M549,data!$A:$A,0),MATCH(V$2,data!$1:$1,0)),"#data"),IFERROR(U549*INDEX(indexy_SDcast!$A:$ALI,MATCH($R549,indexy_SDcast!$K:$K,0),MATCH(V$2,indexy_SDcast!$2:$2,0)),"#ekrk")),"#popis")</f>
        <v>-42.927592020462065</v>
      </c>
      <c r="W549" s="365">
        <f>IF($Q549="ekrk",IF($R549="data",IFERROR(INDEX(data!$A:$ALL,MATCH($M549,data!$A:$A,0),MATCH(W$2,data!$1:$1,0)),"#data"),IFERROR(V549*INDEX(indexy_SDcast!$A:$ALI,MATCH($R549,indexy_SDcast!$K:$K,0),MATCH(W$2,indexy_SDcast!$2:$2,0)),"#ekrk")),"#popis")</f>
        <v>-43.410154204395994</v>
      </c>
      <c r="X549" s="365">
        <f>IF($Q549="ekrk",IF($R549="data",IFERROR(INDEX(data!$A:$ALL,MATCH($M549,data!$A:$A,0),MATCH(X$2,data!$1:$1,0)),"#data"),IFERROR(W549*INDEX(indexy_SDcast!$A:$ALI,MATCH($R549,indexy_SDcast!$K:$K,0),MATCH(X$2,indexy_SDcast!$2:$2,0)),"#ekrk")),"#popis")</f>
        <v>-27.883470256773258</v>
      </c>
      <c r="Y549" s="362">
        <f>IF($Q549="ekrk",IF($R549="data",IFERROR(INDEX(data!$A:$ALL,MATCH($M549,data!$A:$A,0),MATCH(Y$2,data!$1:$1,0)),"#data"),IFERROR(X549*INDEX(indexy_SDcast!$A:$ALI,MATCH($R549,indexy_SDcast!$K:$K,0),MATCH(Y$2,indexy_SDcast!$2:$2,0)),"#ekrk")),"#popis")</f>
        <v>-37.722095981232968</v>
      </c>
    </row>
    <row r="550" spans="1:44" s="18" customFormat="1" x14ac:dyDescent="0.25">
      <c r="A550" s="333" t="s">
        <v>734</v>
      </c>
      <c r="B550" s="334">
        <v>-0.21495</v>
      </c>
      <c r="C550" s="164"/>
      <c r="D550" s="333" t="s">
        <v>734</v>
      </c>
      <c r="E550" s="334">
        <v>-0.21495</v>
      </c>
      <c r="F550" s="164"/>
      <c r="G550" s="333" t="s">
        <v>734</v>
      </c>
      <c r="H550" s="334">
        <v>-0.21495</v>
      </c>
      <c r="I550" s="164"/>
      <c r="J550" s="333" t="s">
        <v>734</v>
      </c>
      <c r="K550" s="334">
        <v>-0.21495</v>
      </c>
      <c r="L550" s="164"/>
      <c r="M550" s="358" t="str">
        <f t="shared" si="57"/>
        <v>D74PAY</v>
      </c>
      <c r="N550" s="239">
        <f t="shared" si="58"/>
        <v>-0.21495</v>
      </c>
      <c r="O550" s="243"/>
      <c r="P550" s="243">
        <f>MATCH(Q550,Q551:Q$1550,0)</f>
        <v>2</v>
      </c>
      <c r="Q550" s="243" t="s">
        <v>697</v>
      </c>
      <c r="R550" s="359" t="str">
        <f>IF(Q550="ekrk",INDEX(indexy_SDcast!$A:$C,MATCH($M550,indexy_SDcast!$A:$A,0),2),"")</f>
        <v/>
      </c>
      <c r="S550" s="240"/>
      <c r="T550" s="363" t="str">
        <f t="shared" si="56"/>
        <v>D74PAY</v>
      </c>
      <c r="U550" s="244">
        <f>SUM(U551:U551)</f>
        <v>-0.21495</v>
      </c>
      <c r="V550" s="244">
        <f>SUM(V551:V551)</f>
        <v>-0.27518589920397246</v>
      </c>
      <c r="W550" s="244">
        <f>SUM(W551:W551)</f>
        <v>-0.27827934801527293</v>
      </c>
      <c r="X550" s="244">
        <f>SUM(X551:X551)</f>
        <v>-0.17874605759111425</v>
      </c>
      <c r="Y550" s="359">
        <f>SUM(Y551:Y551)</f>
        <v>-0.24181624018198108</v>
      </c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8"/>
      <c r="AN550" s="58"/>
      <c r="AO550" s="58"/>
      <c r="AP550" s="58"/>
      <c r="AQ550" s="58"/>
      <c r="AR550" s="58"/>
    </row>
    <row r="551" spans="1:44" x14ac:dyDescent="0.25">
      <c r="A551" s="330">
        <v>649003</v>
      </c>
      <c r="B551" s="329">
        <v>-0.21495</v>
      </c>
      <c r="C551" s="157"/>
      <c r="D551" s="330">
        <v>649003</v>
      </c>
      <c r="E551" s="329">
        <v>-0.21495</v>
      </c>
      <c r="F551" s="157"/>
      <c r="G551" s="330">
        <v>649003</v>
      </c>
      <c r="H551" s="329">
        <v>-0.21495</v>
      </c>
      <c r="I551" s="157"/>
      <c r="J551" s="330">
        <v>649003</v>
      </c>
      <c r="K551" s="329">
        <v>-0.21495</v>
      </c>
      <c r="L551" s="157"/>
      <c r="M551" s="360">
        <f t="shared" si="57"/>
        <v>649003</v>
      </c>
      <c r="N551" s="237">
        <f t="shared" si="58"/>
        <v>-0.21495</v>
      </c>
      <c r="O551" s="361"/>
      <c r="P551" s="361"/>
      <c r="Q551" s="361" t="s">
        <v>698</v>
      </c>
      <c r="R551" s="362">
        <v>35</v>
      </c>
      <c r="S551" s="236"/>
      <c r="T551" s="364">
        <f t="shared" si="56"/>
        <v>649003</v>
      </c>
      <c r="U551" s="365">
        <f>N551</f>
        <v>-0.21495</v>
      </c>
      <c r="V551" s="365">
        <f>IF($Q551="ekrk",IF($R551="data",IFERROR(INDEX(data!$A:$ALL,MATCH($M551,data!$A:$A,0),MATCH(V$2,data!$1:$1,0)),"#data"),IFERROR(U551*INDEX(indexy_SDcast!$A:$ALI,MATCH($R551,indexy_SDcast!$K:$K,0),MATCH(V$2,indexy_SDcast!$2:$2,0)),"#ekrk")),"#popis")</f>
        <v>-0.27518589920397246</v>
      </c>
      <c r="W551" s="365">
        <f>IF($Q551="ekrk",IF($R551="data",IFERROR(INDEX(data!$A:$ALL,MATCH($M551,data!$A:$A,0),MATCH(W$2,data!$1:$1,0)),"#data"),IFERROR(V551*INDEX(indexy_SDcast!$A:$ALI,MATCH($R551,indexy_SDcast!$K:$K,0),MATCH(W$2,indexy_SDcast!$2:$2,0)),"#ekrk")),"#popis")</f>
        <v>-0.27827934801527293</v>
      </c>
      <c r="X551" s="365">
        <f>IF($Q551="ekrk",IF($R551="data",IFERROR(INDEX(data!$A:$ALL,MATCH($M551,data!$A:$A,0),MATCH(X$2,data!$1:$1,0)),"#data"),IFERROR(W551*INDEX(indexy_SDcast!$A:$ALI,MATCH($R551,indexy_SDcast!$K:$K,0),MATCH(X$2,indexy_SDcast!$2:$2,0)),"#ekrk")),"#popis")</f>
        <v>-0.17874605759111425</v>
      </c>
      <c r="Y551" s="362">
        <f>IF($Q551="ekrk",IF($R551="data",IFERROR(INDEX(data!$A:$ALL,MATCH($M551,data!$A:$A,0),MATCH(Y$2,data!$1:$1,0)),"#data"),IFERROR(X551*INDEX(indexy_SDcast!$A:$ALI,MATCH($R551,indexy_SDcast!$K:$K,0),MATCH(Y$2,indexy_SDcast!$2:$2,0)),"#ekrk")),"#popis")</f>
        <v>-0.24181624018198108</v>
      </c>
    </row>
    <row r="552" spans="1:44" s="18" customFormat="1" x14ac:dyDescent="0.25">
      <c r="A552" s="333" t="s">
        <v>735</v>
      </c>
      <c r="B552" s="334">
        <v>5384.9518800000005</v>
      </c>
      <c r="C552" s="164"/>
      <c r="D552" s="333" t="s">
        <v>735</v>
      </c>
      <c r="E552" s="334">
        <v>5384.9518800000005</v>
      </c>
      <c r="F552" s="164"/>
      <c r="G552" s="333" t="s">
        <v>735</v>
      </c>
      <c r="H552" s="334">
        <v>5384.9518800000005</v>
      </c>
      <c r="I552" s="164"/>
      <c r="J552" s="333" t="s">
        <v>735</v>
      </c>
      <c r="K552" s="334">
        <v>5384.9518800000005</v>
      </c>
      <c r="L552" s="164"/>
      <c r="M552" s="358" t="str">
        <f t="shared" si="57"/>
        <v>D74REC</v>
      </c>
      <c r="N552" s="239">
        <f t="shared" si="58"/>
        <v>5384.9518800000005</v>
      </c>
      <c r="O552" s="243"/>
      <c r="P552" s="243">
        <f>MATCH(Q552,Q553:Q$1550,0)</f>
        <v>5</v>
      </c>
      <c r="Q552" s="243" t="s">
        <v>697</v>
      </c>
      <c r="R552" s="359" t="str">
        <f>IF(Q552="ekrk",INDEX(indexy_SDcast!$A:$C,MATCH($M552,indexy_SDcast!$A:$A,0),2),"")</f>
        <v/>
      </c>
      <c r="S552" s="240"/>
      <c r="T552" s="363" t="str">
        <f t="shared" si="56"/>
        <v>D74REC</v>
      </c>
      <c r="U552" s="244">
        <f>SUM(U553:U556)</f>
        <v>5384.9518800000005</v>
      </c>
      <c r="V552" s="244">
        <f>SUM(V553:V556)</f>
        <v>6893.988486940787</v>
      </c>
      <c r="W552" s="244">
        <f>SUM(W553:W556)</f>
        <v>6971.4859188649389</v>
      </c>
      <c r="X552" s="244">
        <f>SUM(X553:X556)</f>
        <v>4477.9665916160002</v>
      </c>
      <c r="Y552" s="359">
        <f>SUM(Y553:Y556)</f>
        <v>6058.0079887531556</v>
      </c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8"/>
      <c r="AN552" s="58"/>
      <c r="AO552" s="58"/>
      <c r="AP552" s="58"/>
      <c r="AQ552" s="58"/>
      <c r="AR552" s="58"/>
    </row>
    <row r="553" spans="1:44" x14ac:dyDescent="0.25">
      <c r="A553" s="330">
        <v>291005</v>
      </c>
      <c r="B553" s="329">
        <v>1.8037799999999997</v>
      </c>
      <c r="C553" s="157"/>
      <c r="D553" s="330">
        <v>291005</v>
      </c>
      <c r="E553" s="329">
        <v>1.8037799999999997</v>
      </c>
      <c r="F553" s="157"/>
      <c r="G553" s="330">
        <v>291005</v>
      </c>
      <c r="H553" s="329">
        <v>1.8037799999999997</v>
      </c>
      <c r="I553" s="157"/>
      <c r="J553" s="330">
        <v>291005</v>
      </c>
      <c r="K553" s="329">
        <v>1.8037799999999997</v>
      </c>
      <c r="L553" s="157"/>
      <c r="M553" s="360">
        <f t="shared" si="57"/>
        <v>291005</v>
      </c>
      <c r="N553" s="237">
        <f t="shared" si="58"/>
        <v>1.8037799999999997</v>
      </c>
      <c r="O553" s="361"/>
      <c r="P553" s="361"/>
      <c r="Q553" s="361" t="s">
        <v>698</v>
      </c>
      <c r="R553" s="362">
        <v>35</v>
      </c>
      <c r="S553" s="236"/>
      <c r="T553" s="364">
        <f t="shared" si="56"/>
        <v>291005</v>
      </c>
      <c r="U553" s="365">
        <f>N553</f>
        <v>1.8037799999999997</v>
      </c>
      <c r="V553" s="365">
        <f>IF($Q553="ekrk",IF($R553="data",IFERROR(INDEX(data!$A:$ALL,MATCH($M553,data!$A:$A,0),MATCH(V$2,data!$1:$1,0)),"#data"),IFERROR(U553*INDEX(indexy_SDcast!$A:$ALI,MATCH($R553,indexy_SDcast!$K:$K,0),MATCH(V$2,indexy_SDcast!$2:$2,0)),"#ekrk")),"#popis")</f>
        <v>2.3092571354554146</v>
      </c>
      <c r="W553" s="365">
        <f>IF($Q553="ekrk",IF($R553="data",IFERROR(INDEX(data!$A:$ALL,MATCH($M553,data!$A:$A,0),MATCH(W$2,data!$1:$1,0)),"#data"),IFERROR(V553*INDEX(indexy_SDcast!$A:$ALI,MATCH($R553,indexy_SDcast!$K:$K,0),MATCH(W$2,indexy_SDcast!$2:$2,0)),"#ekrk")),"#popis")</f>
        <v>2.335216200804787</v>
      </c>
      <c r="X553" s="365">
        <f>IF($Q553="ekrk",IF($R553="data",IFERROR(INDEX(data!$A:$ALL,MATCH($M553,data!$A:$A,0),MATCH(X$2,data!$1:$1,0)),"#data"),IFERROR(W553*INDEX(indexy_SDcast!$A:$ALI,MATCH($R553,indexy_SDcast!$K:$K,0),MATCH(X$2,indexy_SDcast!$2:$2,0)),"#ekrk")),"#popis")</f>
        <v>1.4999700570444292</v>
      </c>
      <c r="Y553" s="362">
        <f>IF($Q553="ekrk",IF($R553="data",IFERROR(INDEX(data!$A:$ALL,MATCH($M553,data!$A:$A,0),MATCH(Y$2,data!$1:$1,0)),"#data"),IFERROR(X553*INDEX(indexy_SDcast!$A:$ALI,MATCH($R553,indexy_SDcast!$K:$K,0),MATCH(Y$2,indexy_SDcast!$2:$2,0)),"#ekrk")),"#popis")</f>
        <v>2.0292314385459589</v>
      </c>
    </row>
    <row r="554" spans="1:44" x14ac:dyDescent="0.25">
      <c r="A554" s="330">
        <v>331001</v>
      </c>
      <c r="B554" s="329">
        <v>64.632379999999998</v>
      </c>
      <c r="C554" s="157"/>
      <c r="D554" s="330">
        <v>331001</v>
      </c>
      <c r="E554" s="329">
        <v>64.632379999999998</v>
      </c>
      <c r="F554" s="157"/>
      <c r="G554" s="330">
        <v>331001</v>
      </c>
      <c r="H554" s="329">
        <v>64.632379999999998</v>
      </c>
      <c r="I554" s="157"/>
      <c r="J554" s="330">
        <v>331001</v>
      </c>
      <c r="K554" s="329">
        <v>64.632379999999998</v>
      </c>
      <c r="L554" s="157"/>
      <c r="M554" s="360">
        <f t="shared" si="57"/>
        <v>331001</v>
      </c>
      <c r="N554" s="237">
        <f t="shared" si="58"/>
        <v>64.632379999999998</v>
      </c>
      <c r="O554" s="361"/>
      <c r="P554" s="361"/>
      <c r="Q554" s="361" t="s">
        <v>698</v>
      </c>
      <c r="R554" s="362">
        <v>35</v>
      </c>
      <c r="S554" s="236"/>
      <c r="T554" s="364">
        <f t="shared" si="56"/>
        <v>331001</v>
      </c>
      <c r="U554" s="365">
        <f>N554</f>
        <v>64.632379999999998</v>
      </c>
      <c r="V554" s="365">
        <f>IF($Q554="ekrk",IF($R554="data",IFERROR(INDEX(data!$A:$ALL,MATCH($M554,data!$A:$A,0),MATCH(V$2,data!$1:$1,0)),"#data"),IFERROR(U554*INDEX(indexy_SDcast!$A:$ALI,MATCH($R554,indexy_SDcast!$K:$K,0),MATCH(V$2,indexy_SDcast!$2:$2,0)),"#ekrk")),"#popis")</f>
        <v>82.744450374472407</v>
      </c>
      <c r="W554" s="365">
        <f>IF($Q554="ekrk",IF($R554="data",IFERROR(INDEX(data!$A:$ALL,MATCH($M554,data!$A:$A,0),MATCH(W$2,data!$1:$1,0)),"#data"),IFERROR(V554*INDEX(indexy_SDcast!$A:$ALI,MATCH($R554,indexy_SDcast!$K:$K,0),MATCH(W$2,indexy_SDcast!$2:$2,0)),"#ekrk")),"#popis")</f>
        <v>83.674606034312006</v>
      </c>
      <c r="X554" s="365">
        <f>IF($Q554="ekrk",IF($R554="data",IFERROR(INDEX(data!$A:$ALL,MATCH($M554,data!$A:$A,0),MATCH(X$2,data!$1:$1,0)),"#data"),IFERROR(W554*INDEX(indexy_SDcast!$A:$ALI,MATCH($R554,indexy_SDcast!$K:$K,0),MATCH(X$2,indexy_SDcast!$2:$2,0)),"#ekrk")),"#popis")</f>
        <v>53.746374122962465</v>
      </c>
      <c r="Y554" s="362">
        <f>IF($Q554="ekrk",IF($R554="data",IFERROR(INDEX(data!$A:$ALL,MATCH($M554,data!$A:$A,0),MATCH(Y$2,data!$1:$1,0)),"#data"),IFERROR(X554*INDEX(indexy_SDcast!$A:$ALI,MATCH($R554,indexy_SDcast!$K:$K,0),MATCH(Y$2,indexy_SDcast!$2:$2,0)),"#ekrk")),"#popis")</f>
        <v>72.710672833743061</v>
      </c>
    </row>
    <row r="555" spans="1:44" x14ac:dyDescent="0.25">
      <c r="A555" s="330">
        <v>331002</v>
      </c>
      <c r="B555" s="329">
        <v>0</v>
      </c>
      <c r="C555" s="157"/>
      <c r="D555" s="330">
        <v>331002</v>
      </c>
      <c r="E555" s="329">
        <v>0</v>
      </c>
      <c r="F555" s="157"/>
      <c r="G555" s="330">
        <v>331002</v>
      </c>
      <c r="H555" s="329">
        <v>0</v>
      </c>
      <c r="I555" s="157"/>
      <c r="J555" s="330">
        <v>331002</v>
      </c>
      <c r="K555" s="329">
        <v>0</v>
      </c>
      <c r="L555" s="157"/>
      <c r="M555" s="360">
        <f t="shared" si="57"/>
        <v>331002</v>
      </c>
      <c r="N555" s="237">
        <f t="shared" si="58"/>
        <v>0</v>
      </c>
      <c r="O555" s="361"/>
      <c r="P555" s="361"/>
      <c r="Q555" s="361" t="s">
        <v>698</v>
      </c>
      <c r="R555" s="362">
        <v>35</v>
      </c>
      <c r="S555" s="236"/>
      <c r="T555" s="364">
        <f t="shared" si="56"/>
        <v>331002</v>
      </c>
      <c r="U555" s="365">
        <f>N555</f>
        <v>0</v>
      </c>
      <c r="V555" s="365">
        <f>IF($Q555="ekrk",IF($R555="data",IFERROR(INDEX(data!$A:$ALL,MATCH($M555,data!$A:$A,0),MATCH(V$2,data!$1:$1,0)),"#data"),IFERROR(U555*INDEX(indexy_SDcast!$A:$ALI,MATCH($R555,indexy_SDcast!$K:$K,0),MATCH(V$2,indexy_SDcast!$2:$2,0)),"#ekrk")),"#popis")</f>
        <v>0</v>
      </c>
      <c r="W555" s="365">
        <f>IF($Q555="ekrk",IF($R555="data",IFERROR(INDEX(data!$A:$ALL,MATCH($M555,data!$A:$A,0),MATCH(W$2,data!$1:$1,0)),"#data"),IFERROR(V555*INDEX(indexy_SDcast!$A:$ALI,MATCH($R555,indexy_SDcast!$K:$K,0),MATCH(W$2,indexy_SDcast!$2:$2,0)),"#ekrk")),"#popis")</f>
        <v>0</v>
      </c>
      <c r="X555" s="365">
        <f>IF($Q555="ekrk",IF($R555="data",IFERROR(INDEX(data!$A:$ALL,MATCH($M555,data!$A:$A,0),MATCH(X$2,data!$1:$1,0)),"#data"),IFERROR(W555*INDEX(indexy_SDcast!$A:$ALI,MATCH($R555,indexy_SDcast!$K:$K,0),MATCH(X$2,indexy_SDcast!$2:$2,0)),"#ekrk")),"#popis")</f>
        <v>0</v>
      </c>
      <c r="Y555" s="362">
        <f>IF($Q555="ekrk",IF($R555="data",IFERROR(INDEX(data!$A:$ALL,MATCH($M555,data!$A:$A,0),MATCH(Y$2,data!$1:$1,0)),"#data"),IFERROR(X555*INDEX(indexy_SDcast!$A:$ALI,MATCH($R555,indexy_SDcast!$K:$K,0),MATCH(Y$2,indexy_SDcast!$2:$2,0)),"#ekrk")),"#popis")</f>
        <v>0</v>
      </c>
    </row>
    <row r="556" spans="1:44" x14ac:dyDescent="0.25">
      <c r="A556" s="330">
        <v>341000</v>
      </c>
      <c r="B556" s="329">
        <v>5318.5157200000003</v>
      </c>
      <c r="C556" s="157"/>
      <c r="D556" s="330">
        <v>341000</v>
      </c>
      <c r="E556" s="329">
        <v>5318.5157200000003</v>
      </c>
      <c r="F556" s="157"/>
      <c r="G556" s="330">
        <v>341000</v>
      </c>
      <c r="H556" s="329">
        <v>5318.5157200000003</v>
      </c>
      <c r="I556" s="157"/>
      <c r="J556" s="330">
        <v>341000</v>
      </c>
      <c r="K556" s="329">
        <v>5318.5157200000003</v>
      </c>
      <c r="L556" s="157"/>
      <c r="M556" s="360">
        <f t="shared" si="57"/>
        <v>341000</v>
      </c>
      <c r="N556" s="237">
        <f t="shared" si="58"/>
        <v>5318.5157200000003</v>
      </c>
      <c r="O556" s="361"/>
      <c r="P556" s="361"/>
      <c r="Q556" s="361" t="s">
        <v>698</v>
      </c>
      <c r="R556" s="362">
        <v>35</v>
      </c>
      <c r="S556" s="236"/>
      <c r="T556" s="364">
        <f t="shared" si="56"/>
        <v>341000</v>
      </c>
      <c r="U556" s="365">
        <f>N556</f>
        <v>5318.5157200000003</v>
      </c>
      <c r="V556" s="365">
        <f>IF($Q556="ekrk",IF($R556="data",IFERROR(INDEX(data!$A:$ALL,MATCH($M556,data!$A:$A,0),MATCH(V$2,data!$1:$1,0)),"#data"),IFERROR(U556*INDEX(indexy_SDcast!$A:$ALI,MATCH($R556,indexy_SDcast!$K:$K,0),MATCH(V$2,indexy_SDcast!$2:$2,0)),"#ekrk")),"#popis")</f>
        <v>6808.9347794308587</v>
      </c>
      <c r="W556" s="365">
        <f>IF($Q556="ekrk",IF($R556="data",IFERROR(INDEX(data!$A:$ALL,MATCH($M556,data!$A:$A,0),MATCH(W$2,data!$1:$1,0)),"#data"),IFERROR(V556*INDEX(indexy_SDcast!$A:$ALI,MATCH($R556,indexy_SDcast!$K:$K,0),MATCH(W$2,indexy_SDcast!$2:$2,0)),"#ekrk")),"#popis")</f>
        <v>6885.4760966298218</v>
      </c>
      <c r="X556" s="365">
        <f>IF($Q556="ekrk",IF($R556="data",IFERROR(INDEX(data!$A:$ALL,MATCH($M556,data!$A:$A,0),MATCH(X$2,data!$1:$1,0)),"#data"),IFERROR(W556*INDEX(indexy_SDcast!$A:$ALI,MATCH($R556,indexy_SDcast!$K:$K,0),MATCH(X$2,indexy_SDcast!$2:$2,0)),"#ekrk")),"#popis")</f>
        <v>4422.7202474359929</v>
      </c>
      <c r="Y556" s="362">
        <f>IF($Q556="ekrk",IF($R556="data",IFERROR(INDEX(data!$A:$ALL,MATCH($M556,data!$A:$A,0),MATCH(Y$2,data!$1:$1,0)),"#data"),IFERROR(X556*INDEX(indexy_SDcast!$A:$ALI,MATCH($R556,indexy_SDcast!$K:$K,0),MATCH(Y$2,indexy_SDcast!$2:$2,0)),"#ekrk")),"#popis")</f>
        <v>5983.2680844808665</v>
      </c>
    </row>
    <row r="557" spans="1:44" s="18" customFormat="1" x14ac:dyDescent="0.25">
      <c r="A557" s="333" t="s">
        <v>736</v>
      </c>
      <c r="B557" s="334">
        <v>-795.9835700000001</v>
      </c>
      <c r="C557" s="164"/>
      <c r="D557" s="333" t="s">
        <v>736</v>
      </c>
      <c r="E557" s="334">
        <v>-795.9835700000001</v>
      </c>
      <c r="F557" s="164"/>
      <c r="G557" s="333" t="s">
        <v>736</v>
      </c>
      <c r="H557" s="334">
        <v>-795.9835700000001</v>
      </c>
      <c r="I557" s="164"/>
      <c r="J557" s="333" t="s">
        <v>736</v>
      </c>
      <c r="K557" s="334">
        <v>-795.9835700000001</v>
      </c>
      <c r="L557" s="164"/>
      <c r="M557" s="358" t="str">
        <f t="shared" si="57"/>
        <v>D75PAY</v>
      </c>
      <c r="N557" s="239">
        <f t="shared" si="58"/>
        <v>-795.9835700000001</v>
      </c>
      <c r="O557" s="243"/>
      <c r="P557" s="243">
        <f>MATCH(Q557,Q558:Q$1550,0)</f>
        <v>10</v>
      </c>
      <c r="Q557" s="243" t="s">
        <v>697</v>
      </c>
      <c r="R557" s="359" t="str">
        <f>IF(Q557="ekrk",INDEX(indexy_SDcast!$A:$C,MATCH($M557,indexy_SDcast!$A:$A,0),2),"")</f>
        <v/>
      </c>
      <c r="S557" s="240"/>
      <c r="T557" s="363" t="str">
        <f t="shared" si="56"/>
        <v>D75PAY</v>
      </c>
      <c r="U557" s="244">
        <f>SUM(U558:U566)</f>
        <v>-795.9835700000001</v>
      </c>
      <c r="V557" s="244">
        <f>SUM(V558:V566)</f>
        <v>-1019.0437518587493</v>
      </c>
      <c r="W557" s="244">
        <f>SUM(W558:W566)</f>
        <v>-1030.499134172921</v>
      </c>
      <c r="X557" s="244">
        <f>SUM(X558:X566)</f>
        <v>-661.91637610979637</v>
      </c>
      <c r="Y557" s="359">
        <f>SUM(Y558:Y566)</f>
        <v>-895.47222211691462</v>
      </c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8"/>
      <c r="AN557" s="58"/>
      <c r="AO557" s="58"/>
      <c r="AP557" s="58"/>
      <c r="AQ557" s="58"/>
      <c r="AR557" s="58"/>
    </row>
    <row r="558" spans="1:44" x14ac:dyDescent="0.25">
      <c r="A558" s="330">
        <v>637031</v>
      </c>
      <c r="B558" s="329">
        <v>-6.4360000000000001E-2</v>
      </c>
      <c r="C558" s="157"/>
      <c r="D558" s="330">
        <v>637031</v>
      </c>
      <c r="E558" s="329">
        <v>-6.4360000000000001E-2</v>
      </c>
      <c r="F558" s="157"/>
      <c r="G558" s="330">
        <v>637031</v>
      </c>
      <c r="H558" s="329">
        <v>-6.4360000000000001E-2</v>
      </c>
      <c r="I558" s="157"/>
      <c r="J558" s="330">
        <v>637031</v>
      </c>
      <c r="K558" s="329">
        <v>-6.4360000000000001E-2</v>
      </c>
      <c r="L558" s="157"/>
      <c r="M558" s="360">
        <f t="shared" si="57"/>
        <v>637031</v>
      </c>
      <c r="N558" s="237">
        <f t="shared" si="58"/>
        <v>-6.4360000000000001E-2</v>
      </c>
      <c r="O558" s="361"/>
      <c r="P558" s="361"/>
      <c r="Q558" s="361" t="s">
        <v>698</v>
      </c>
      <c r="R558" s="362">
        <v>35</v>
      </c>
      <c r="S558" s="236"/>
      <c r="T558" s="364">
        <f t="shared" si="56"/>
        <v>637031</v>
      </c>
      <c r="U558" s="365">
        <f t="shared" ref="U558:U566" si="59">N558</f>
        <v>-6.4360000000000001E-2</v>
      </c>
      <c r="V558" s="365">
        <f>IF($Q558="ekrk",IF($R558="data",IFERROR(INDEX(data!$A:$ALL,MATCH($M558,data!$A:$A,0),MATCH(V$2,data!$1:$1,0)),"#data"),IFERROR(U558*INDEX(indexy_SDcast!$A:$ALI,MATCH($R558,indexy_SDcast!$K:$K,0),MATCH(V$2,indexy_SDcast!$2:$2,0)),"#ekrk")),"#popis")</f>
        <v>-8.2395740743278281E-2</v>
      </c>
      <c r="W558" s="365">
        <f>IF($Q558="ekrk",IF($R558="data",IFERROR(INDEX(data!$A:$ALL,MATCH($M558,data!$A:$A,0),MATCH(W$2,data!$1:$1,0)),"#data"),IFERROR(V558*INDEX(indexy_SDcast!$A:$ALI,MATCH($R558,indexy_SDcast!$K:$K,0),MATCH(W$2,indexy_SDcast!$2:$2,0)),"#ekrk")),"#popis")</f>
        <v>-8.332197645156067E-2</v>
      </c>
      <c r="X558" s="365">
        <f>IF($Q558="ekrk",IF($R558="data",IFERROR(INDEX(data!$A:$ALL,MATCH($M558,data!$A:$A,0),MATCH(X$2,data!$1:$1,0)),"#data"),IFERROR(W558*INDEX(indexy_SDcast!$A:$ALI,MATCH($R558,indexy_SDcast!$K:$K,0),MATCH(X$2,indexy_SDcast!$2:$2,0)),"#ekrk")),"#popis")</f>
        <v>-5.3519870977269658E-2</v>
      </c>
      <c r="Y558" s="362">
        <f>IF($Q558="ekrk",IF($R558="data",IFERROR(INDEX(data!$A:$ALL,MATCH($M558,data!$A:$A,0),MATCH(Y$2,data!$1:$1,0)),"#data"),IFERROR(X558*INDEX(indexy_SDcast!$A:$ALI,MATCH($R558,indexy_SDcast!$K:$K,0),MATCH(Y$2,indexy_SDcast!$2:$2,0)),"#ekrk")),"#popis")</f>
        <v>-7.2404248514130271E-2</v>
      </c>
    </row>
    <row r="559" spans="1:44" x14ac:dyDescent="0.25">
      <c r="A559" s="330">
        <v>637034</v>
      </c>
      <c r="B559" s="329">
        <v>-1.8800000000000001E-2</v>
      </c>
      <c r="C559" s="157"/>
      <c r="D559" s="330">
        <v>637034</v>
      </c>
      <c r="E559" s="329">
        <v>-1.8800000000000001E-2</v>
      </c>
      <c r="F559" s="157"/>
      <c r="G559" s="330">
        <v>637034</v>
      </c>
      <c r="H559" s="329">
        <v>-1.8800000000000001E-2</v>
      </c>
      <c r="I559" s="157"/>
      <c r="J559" s="330">
        <v>637034</v>
      </c>
      <c r="K559" s="329">
        <v>-1.8800000000000001E-2</v>
      </c>
      <c r="L559" s="157"/>
      <c r="M559" s="360">
        <f t="shared" si="57"/>
        <v>637034</v>
      </c>
      <c r="N559" s="237">
        <f t="shared" si="58"/>
        <v>-1.8800000000000001E-2</v>
      </c>
      <c r="O559" s="361"/>
      <c r="P559" s="361"/>
      <c r="Q559" s="361" t="s">
        <v>698</v>
      </c>
      <c r="R559" s="362">
        <v>35</v>
      </c>
      <c r="S559" s="236"/>
      <c r="T559" s="364">
        <f t="shared" si="56"/>
        <v>637034</v>
      </c>
      <c r="U559" s="365">
        <f t="shared" si="59"/>
        <v>-1.8800000000000001E-2</v>
      </c>
      <c r="V559" s="365">
        <f>IF($Q559="ekrk",IF($R559="data",IFERROR(INDEX(data!$A:$ALL,MATCH($M559,data!$A:$A,0),MATCH(V$2,data!$1:$1,0)),"#data"),IFERROR(U559*INDEX(indexy_SDcast!$A:$ALI,MATCH($R559,indexy_SDcast!$K:$K,0),MATCH(V$2,indexy_SDcast!$2:$2,0)),"#ekrk")),"#popis")</f>
        <v>-2.4068364294183214E-2</v>
      </c>
      <c r="W559" s="365">
        <f>IF($Q559="ekrk",IF($R559="data",IFERROR(INDEX(data!$A:$ALL,MATCH($M559,data!$A:$A,0),MATCH(W$2,data!$1:$1,0)),"#data"),IFERROR(V559*INDEX(indexy_SDcast!$A:$ALI,MATCH($R559,indexy_SDcast!$K:$K,0),MATCH(W$2,indexy_SDcast!$2:$2,0)),"#ekrk")),"#popis")</f>
        <v>-2.4338924134390004E-2</v>
      </c>
      <c r="X559" s="365">
        <f>IF($Q559="ekrk",IF($R559="data",IFERROR(INDEX(data!$A:$ALL,MATCH($M559,data!$A:$A,0),MATCH(X$2,data!$1:$1,0)),"#data"),IFERROR(W559*INDEX(indexy_SDcast!$A:$ALI,MATCH($R559,indexy_SDcast!$K:$K,0),MATCH(X$2,indexy_SDcast!$2:$2,0)),"#ekrk")),"#popis")</f>
        <v>-1.5633523529718297E-2</v>
      </c>
      <c r="Y559" s="362">
        <f>IF($Q559="ekrk",IF($R559="data",IFERROR(INDEX(data!$A:$ALL,MATCH($M559,data!$A:$A,0),MATCH(Y$2,data!$1:$1,0)),"#data"),IFERROR(X559*INDEX(indexy_SDcast!$A:$ALI,MATCH($R559,indexy_SDcast!$K:$K,0),MATCH(Y$2,indexy_SDcast!$2:$2,0)),"#ekrk")),"#popis")</f>
        <v>-2.114978048579318E-2</v>
      </c>
    </row>
    <row r="560" spans="1:44" x14ac:dyDescent="0.25">
      <c r="A560" s="330">
        <v>642001</v>
      </c>
      <c r="B560" s="329">
        <v>-260.88160999999997</v>
      </c>
      <c r="C560" s="157"/>
      <c r="D560" s="330">
        <v>642001</v>
      </c>
      <c r="E560" s="329">
        <v>-260.88160999999997</v>
      </c>
      <c r="F560" s="157"/>
      <c r="G560" s="330">
        <v>642001</v>
      </c>
      <c r="H560" s="329">
        <v>-260.88160999999997</v>
      </c>
      <c r="I560" s="157"/>
      <c r="J560" s="330">
        <v>642001</v>
      </c>
      <c r="K560" s="329">
        <v>-260.88160999999997</v>
      </c>
      <c r="L560" s="157"/>
      <c r="M560" s="360">
        <f t="shared" si="57"/>
        <v>642001</v>
      </c>
      <c r="N560" s="237">
        <f t="shared" si="58"/>
        <v>-260.88160999999997</v>
      </c>
      <c r="O560" s="361"/>
      <c r="P560" s="361"/>
      <c r="Q560" s="361" t="s">
        <v>698</v>
      </c>
      <c r="R560" s="362">
        <v>35</v>
      </c>
      <c r="S560" s="236"/>
      <c r="T560" s="364">
        <f t="shared" si="56"/>
        <v>642001</v>
      </c>
      <c r="U560" s="365">
        <f t="shared" si="59"/>
        <v>-260.88160999999997</v>
      </c>
      <c r="V560" s="365">
        <f>IF($Q560="ekrk",IF($R560="data",IFERROR(INDEX(data!$A:$ALL,MATCH($M560,data!$A:$A,0),MATCH(V$2,data!$1:$1,0)),"#data"),IFERROR(U560*INDEX(indexy_SDcast!$A:$ALI,MATCH($R560,indexy_SDcast!$K:$K,0),MATCH(V$2,indexy_SDcast!$2:$2,0)),"#ekrk")),"#popis")</f>
        <v>-333.98902271984201</v>
      </c>
      <c r="W560" s="365">
        <f>IF($Q560="ekrk",IF($R560="data",IFERROR(INDEX(data!$A:$ALL,MATCH($M560,data!$A:$A,0),MATCH(W$2,data!$1:$1,0)),"#data"),IFERROR(V560*INDEX(indexy_SDcast!$A:$ALI,MATCH($R560,indexy_SDcast!$K:$K,0),MATCH(W$2,indexy_SDcast!$2:$2,0)),"#ekrk")),"#popis")</f>
        <v>-337.74349541742129</v>
      </c>
      <c r="X560" s="365">
        <f>IF($Q560="ekrk",IF($R560="data",IFERROR(INDEX(data!$A:$ALL,MATCH($M560,data!$A:$A,0),MATCH(X$2,data!$1:$1,0)),"#data"),IFERROR(W560*INDEX(indexy_SDcast!$A:$ALI,MATCH($R560,indexy_SDcast!$K:$K,0),MATCH(X$2,indexy_SDcast!$2:$2,0)),"#ekrk")),"#popis")</f>
        <v>-216.94142491520171</v>
      </c>
      <c r="Y560" s="362">
        <f>IF($Q560="ekrk",IF($R560="data",IFERROR(INDEX(data!$A:$ALL,MATCH($M560,data!$A:$A,0),MATCH(Y$2,data!$1:$1,0)),"#data"),IFERROR(X560*INDEX(indexy_SDcast!$A:$ALI,MATCH($R560,indexy_SDcast!$K:$K,0),MATCH(Y$2,indexy_SDcast!$2:$2,0)),"#ekrk")),"#popis")</f>
        <v>-293.48876512129294</v>
      </c>
    </row>
    <row r="561" spans="1:44" x14ac:dyDescent="0.25">
      <c r="A561" s="330">
        <v>642002</v>
      </c>
      <c r="B561" s="329">
        <v>-361.92048000000005</v>
      </c>
      <c r="C561" s="157"/>
      <c r="D561" s="330">
        <v>642002</v>
      </c>
      <c r="E561" s="329">
        <v>-361.92048000000005</v>
      </c>
      <c r="F561" s="157"/>
      <c r="G561" s="330">
        <v>642002</v>
      </c>
      <c r="H561" s="329">
        <v>-361.92048000000005</v>
      </c>
      <c r="I561" s="157"/>
      <c r="J561" s="330">
        <v>642002</v>
      </c>
      <c r="K561" s="329">
        <v>-361.92048000000005</v>
      </c>
      <c r="L561" s="157"/>
      <c r="M561" s="360">
        <f t="shared" si="57"/>
        <v>642002</v>
      </c>
      <c r="N561" s="237">
        <f t="shared" si="58"/>
        <v>-361.92048000000005</v>
      </c>
      <c r="O561" s="361"/>
      <c r="P561" s="361"/>
      <c r="Q561" s="361" t="s">
        <v>698</v>
      </c>
      <c r="R561" s="362">
        <v>35</v>
      </c>
      <c r="S561" s="236"/>
      <c r="T561" s="364">
        <f t="shared" si="56"/>
        <v>642002</v>
      </c>
      <c r="U561" s="365">
        <f t="shared" si="59"/>
        <v>-361.92048000000005</v>
      </c>
      <c r="V561" s="365">
        <f>IF($Q561="ekrk",IF($R561="data",IFERROR(INDEX(data!$A:$ALL,MATCH($M561,data!$A:$A,0),MATCH(V$2,data!$1:$1,0)),"#data"),IFERROR(U561*INDEX(indexy_SDcast!$A:$ALI,MATCH($R561,indexy_SDcast!$K:$K,0),MATCH(V$2,indexy_SDcast!$2:$2,0)),"#ekrk")),"#popis")</f>
        <v>-463.34223181732187</v>
      </c>
      <c r="W561" s="365">
        <f>IF($Q561="ekrk",IF($R561="data",IFERROR(INDEX(data!$A:$ALL,MATCH($M561,data!$A:$A,0),MATCH(W$2,data!$1:$1,0)),"#data"),IFERROR(V561*INDEX(indexy_SDcast!$A:$ALI,MATCH($R561,indexy_SDcast!$K:$K,0),MATCH(W$2,indexy_SDcast!$2:$2,0)),"#ekrk")),"#popis")</f>
        <v>-468.55080347883063</v>
      </c>
      <c r="X561" s="365">
        <f>IF($Q561="ekrk",IF($R561="data",IFERROR(INDEX(data!$A:$ALL,MATCH($M561,data!$A:$A,0),MATCH(X$2,data!$1:$1,0)),"#data"),IFERROR(W561*INDEX(indexy_SDcast!$A:$ALI,MATCH($R561,indexy_SDcast!$K:$K,0),MATCH(X$2,indexy_SDcast!$2:$2,0)),"#ekrk")),"#popis")</f>
        <v>-300.96235850887984</v>
      </c>
      <c r="Y561" s="362">
        <f>IF($Q561="ekrk",IF($R561="data",IFERROR(INDEX(data!$A:$ALL,MATCH($M561,data!$A:$A,0),MATCH(Y$2,data!$1:$1,0)),"#data"),IFERROR(X561*INDEX(indexy_SDcast!$A:$ALI,MATCH($R561,indexy_SDcast!$K:$K,0),MATCH(Y$2,indexy_SDcast!$2:$2,0)),"#ekrk")),"#popis")</f>
        <v>-407.15631411238843</v>
      </c>
    </row>
    <row r="562" spans="1:44" x14ac:dyDescent="0.25">
      <c r="A562" s="330">
        <v>642006</v>
      </c>
      <c r="B562" s="329">
        <v>-7.1309999999999998E-2</v>
      </c>
      <c r="C562" s="157"/>
      <c r="D562" s="330">
        <v>642006</v>
      </c>
      <c r="E562" s="329">
        <v>-7.1309999999999998E-2</v>
      </c>
      <c r="F562" s="157"/>
      <c r="G562" s="330">
        <v>642006</v>
      </c>
      <c r="H562" s="329">
        <v>-7.1309999999999998E-2</v>
      </c>
      <c r="I562" s="157"/>
      <c r="J562" s="330">
        <v>642006</v>
      </c>
      <c r="K562" s="329">
        <v>-7.1309999999999998E-2</v>
      </c>
      <c r="L562" s="157"/>
      <c r="M562" s="360">
        <f t="shared" si="57"/>
        <v>642006</v>
      </c>
      <c r="N562" s="237">
        <f t="shared" si="58"/>
        <v>-7.1309999999999998E-2</v>
      </c>
      <c r="O562" s="361"/>
      <c r="P562" s="361"/>
      <c r="Q562" s="361" t="s">
        <v>698</v>
      </c>
      <c r="R562" s="362">
        <v>35</v>
      </c>
      <c r="S562" s="236"/>
      <c r="T562" s="364">
        <f t="shared" si="56"/>
        <v>642006</v>
      </c>
      <c r="U562" s="365">
        <f t="shared" si="59"/>
        <v>-7.1309999999999998E-2</v>
      </c>
      <c r="V562" s="365">
        <f>IF($Q562="ekrk",IF($R562="data",IFERROR(INDEX(data!$A:$ALL,MATCH($M562,data!$A:$A,0),MATCH(V$2,data!$1:$1,0)),"#data"),IFERROR(U562*INDEX(indexy_SDcast!$A:$ALI,MATCH($R562,indexy_SDcast!$K:$K,0),MATCH(V$2,indexy_SDcast!$2:$2,0)),"#ekrk")),"#popis")</f>
        <v>-9.1293354139266231E-2</v>
      </c>
      <c r="W562" s="365">
        <f>IF($Q562="ekrk",IF($R562="data",IFERROR(INDEX(data!$A:$ALL,MATCH($M562,data!$A:$A,0),MATCH(W$2,data!$1:$1,0)),"#data"),IFERROR(V562*INDEX(indexy_SDcast!$A:$ALI,MATCH($R562,indexy_SDcast!$K:$K,0),MATCH(W$2,indexy_SDcast!$2:$2,0)),"#ekrk")),"#popis")</f>
        <v>-9.2319610639539959E-2</v>
      </c>
      <c r="X562" s="365">
        <f>IF($Q562="ekrk",IF($R562="data",IFERROR(INDEX(data!$A:$ALL,MATCH($M562,data!$A:$A,0),MATCH(X$2,data!$1:$1,0)),"#data"),IFERROR(W562*INDEX(indexy_SDcast!$A:$ALI,MATCH($R562,indexy_SDcast!$K:$K,0),MATCH(X$2,indexy_SDcast!$2:$2,0)),"#ekrk")),"#popis")</f>
        <v>-5.9299285260862332E-2</v>
      </c>
      <c r="Y562" s="362">
        <f>IF($Q562="ekrk",IF($R562="data",IFERROR(INDEX(data!$A:$ALL,MATCH($M562,data!$A:$A,0),MATCH(Y$2,data!$1:$1,0)),"#data"),IFERROR(X562*INDEX(indexy_SDcast!$A:$ALI,MATCH($R562,indexy_SDcast!$K:$K,0),MATCH(Y$2,indexy_SDcast!$2:$2,0)),"#ekrk")),"#popis")</f>
        <v>-8.0222917363931487E-2</v>
      </c>
    </row>
    <row r="563" spans="1:44" x14ac:dyDescent="0.25">
      <c r="A563" s="330">
        <v>642007</v>
      </c>
      <c r="B563" s="329">
        <v>-43.78573999999999</v>
      </c>
      <c r="C563" s="157"/>
      <c r="D563" s="330">
        <v>642007</v>
      </c>
      <c r="E563" s="329">
        <v>-43.78573999999999</v>
      </c>
      <c r="F563" s="157"/>
      <c r="G563" s="330">
        <v>642007</v>
      </c>
      <c r="H563" s="329">
        <v>-43.78573999999999</v>
      </c>
      <c r="I563" s="157"/>
      <c r="J563" s="330">
        <v>642007</v>
      </c>
      <c r="K563" s="329">
        <v>-43.78573999999999</v>
      </c>
      <c r="L563" s="157"/>
      <c r="M563" s="360">
        <f t="shared" si="57"/>
        <v>642007</v>
      </c>
      <c r="N563" s="237">
        <f t="shared" si="58"/>
        <v>-43.78573999999999</v>
      </c>
      <c r="O563" s="361"/>
      <c r="P563" s="361"/>
      <c r="Q563" s="361" t="s">
        <v>698</v>
      </c>
      <c r="R563" s="362">
        <v>35</v>
      </c>
      <c r="S563" s="236"/>
      <c r="T563" s="364">
        <f t="shared" si="56"/>
        <v>642007</v>
      </c>
      <c r="U563" s="365">
        <f t="shared" si="59"/>
        <v>-43.78573999999999</v>
      </c>
      <c r="V563" s="365">
        <f>IF($Q563="ekrk",IF($R563="data",IFERROR(INDEX(data!$A:$ALL,MATCH($M563,data!$A:$A,0),MATCH(V$2,data!$1:$1,0)),"#data"),IFERROR(U563*INDEX(indexy_SDcast!$A:$ALI,MATCH($R563,indexy_SDcast!$K:$K,0),MATCH(V$2,indexy_SDcast!$2:$2,0)),"#ekrk")),"#popis")</f>
        <v>-56.055911766510079</v>
      </c>
      <c r="W563" s="365">
        <f>IF($Q563="ekrk",IF($R563="data",IFERROR(INDEX(data!$A:$ALL,MATCH($M563,data!$A:$A,0),MATCH(W$2,data!$1:$1,0)),"#data"),IFERROR(V563*INDEX(indexy_SDcast!$A:$ALI,MATCH($R563,indexy_SDcast!$K:$K,0),MATCH(W$2,indexy_SDcast!$2:$2,0)),"#ekrk")),"#popis")</f>
        <v>-56.686053405751359</v>
      </c>
      <c r="X563" s="365">
        <f>IF($Q563="ekrk",IF($R563="data",IFERROR(INDEX(data!$A:$ALL,MATCH($M563,data!$A:$A,0),MATCH(X$2,data!$1:$1,0)),"#data"),IFERROR(W563*INDEX(indexy_SDcast!$A:$ALI,MATCH($R563,indexy_SDcast!$K:$K,0),MATCH(X$2,indexy_SDcast!$2:$2,0)),"#ekrk")),"#popis")</f>
        <v>-36.410925348730188</v>
      </c>
      <c r="Y563" s="362">
        <f>IF($Q563="ekrk",IF($R563="data",IFERROR(INDEX(data!$A:$ALL,MATCH($M563,data!$A:$A,0),MATCH(Y$2,data!$1:$1,0)),"#data"),IFERROR(X563*INDEX(indexy_SDcast!$A:$ALI,MATCH($R563,indexy_SDcast!$K:$K,0),MATCH(Y$2,indexy_SDcast!$2:$2,0)),"#ekrk")),"#popis")</f>
        <v>-49.258446245107116</v>
      </c>
    </row>
    <row r="564" spans="1:44" x14ac:dyDescent="0.25">
      <c r="A564" s="330">
        <v>642009</v>
      </c>
      <c r="B564" s="329">
        <v>-112.78467999999998</v>
      </c>
      <c r="C564" s="157"/>
      <c r="D564" s="330">
        <v>642009</v>
      </c>
      <c r="E564" s="329">
        <v>-112.78467999999998</v>
      </c>
      <c r="F564" s="157"/>
      <c r="G564" s="330">
        <v>642009</v>
      </c>
      <c r="H564" s="329">
        <v>-112.78467999999998</v>
      </c>
      <c r="I564" s="157"/>
      <c r="J564" s="330">
        <v>642009</v>
      </c>
      <c r="K564" s="329">
        <v>-112.78467999999998</v>
      </c>
      <c r="L564" s="157"/>
      <c r="M564" s="360">
        <f t="shared" si="57"/>
        <v>642009</v>
      </c>
      <c r="N564" s="237">
        <f t="shared" si="58"/>
        <v>-112.78467999999998</v>
      </c>
      <c r="O564" s="361"/>
      <c r="P564" s="361"/>
      <c r="Q564" s="361" t="s">
        <v>698</v>
      </c>
      <c r="R564" s="362">
        <v>35</v>
      </c>
      <c r="S564" s="236"/>
      <c r="T564" s="364">
        <f t="shared" si="56"/>
        <v>642009</v>
      </c>
      <c r="U564" s="365">
        <f t="shared" si="59"/>
        <v>-112.78467999999998</v>
      </c>
      <c r="V564" s="365">
        <f>IF($Q564="ekrk",IF($R564="data",IFERROR(INDEX(data!$A:$ALL,MATCH($M564,data!$A:$A,0),MATCH(V$2,data!$1:$1,0)),"#data"),IFERROR(U564*INDEX(indexy_SDcast!$A:$ALI,MATCH($R564,indexy_SDcast!$K:$K,0),MATCH(V$2,indexy_SDcast!$2:$2,0)),"#ekrk")),"#popis")</f>
        <v>-144.3905726086638</v>
      </c>
      <c r="W564" s="365">
        <f>IF($Q564="ekrk",IF($R564="data",IFERROR(INDEX(data!$A:$ALL,MATCH($M564,data!$A:$A,0),MATCH(W$2,data!$1:$1,0)),"#data"),IFERROR(V564*INDEX(indexy_SDcast!$A:$ALI,MATCH($R564,indexy_SDcast!$K:$K,0),MATCH(W$2,indexy_SDcast!$2:$2,0)),"#ekrk")),"#popis")</f>
        <v>-146.01371117241774</v>
      </c>
      <c r="X564" s="365">
        <f>IF($Q564="ekrk",IF($R564="data",IFERROR(INDEX(data!$A:$ALL,MATCH($M564,data!$A:$A,0),MATCH(X$2,data!$1:$1,0)),"#data"),IFERROR(W564*INDEX(indexy_SDcast!$A:$ALI,MATCH($R564,indexy_SDcast!$K:$K,0),MATCH(X$2,indexy_SDcast!$2:$2,0)),"#ekrk")),"#popis")</f>
        <v>-93.788401519773871</v>
      </c>
      <c r="Y564" s="362">
        <f>IF($Q564="ekrk",IF($R564="data",IFERROR(INDEX(data!$A:$ALL,MATCH($M564,data!$A:$A,0),MATCH(Y$2,data!$1:$1,0)),"#data"),IFERROR(X564*INDEX(indexy_SDcast!$A:$ALI,MATCH($R564,indexy_SDcast!$K:$K,0),MATCH(Y$2,indexy_SDcast!$2:$2,0)),"#ekrk")),"#popis")</f>
        <v>-126.88144809363983</v>
      </c>
    </row>
    <row r="565" spans="1:44" x14ac:dyDescent="0.25">
      <c r="A565" s="330">
        <v>642200</v>
      </c>
      <c r="B565" s="329">
        <v>-16.456590000000002</v>
      </c>
      <c r="C565" s="157"/>
      <c r="D565" s="330">
        <v>642200</v>
      </c>
      <c r="E565" s="329">
        <v>-16.456590000000002</v>
      </c>
      <c r="F565" s="157"/>
      <c r="G565" s="330">
        <v>642200</v>
      </c>
      <c r="H565" s="329">
        <v>-16.456590000000002</v>
      </c>
      <c r="I565" s="157"/>
      <c r="J565" s="330">
        <v>642200</v>
      </c>
      <c r="K565" s="329">
        <v>-16.456590000000002</v>
      </c>
      <c r="L565" s="157"/>
      <c r="M565" s="360">
        <f t="shared" si="57"/>
        <v>642200</v>
      </c>
      <c r="N565" s="237">
        <f t="shared" si="58"/>
        <v>-16.456590000000002</v>
      </c>
      <c r="O565" s="361"/>
      <c r="P565" s="361"/>
      <c r="Q565" s="361" t="s">
        <v>698</v>
      </c>
      <c r="R565" s="362">
        <v>35</v>
      </c>
      <c r="S565" s="236"/>
      <c r="T565" s="364">
        <f t="shared" si="56"/>
        <v>642200</v>
      </c>
      <c r="U565" s="365">
        <f t="shared" si="59"/>
        <v>-16.456590000000002</v>
      </c>
      <c r="V565" s="365">
        <f>IF($Q565="ekrk",IF($R565="data",IFERROR(INDEX(data!$A:$ALL,MATCH($M565,data!$A:$A,0),MATCH(V$2,data!$1:$1,0)),"#data"),IFERROR(U565*INDEX(indexy_SDcast!$A:$ALI,MATCH($R565,indexy_SDcast!$K:$K,0),MATCH(V$2,indexy_SDcast!$2:$2,0)),"#ekrk")),"#popis")</f>
        <v>-21.068255487234712</v>
      </c>
      <c r="W565" s="365">
        <f>IF($Q565="ekrk",IF($R565="data",IFERROR(INDEX(data!$A:$ALL,MATCH($M565,data!$A:$A,0),MATCH(W$2,data!$1:$1,0)),"#data"),IFERROR(V565*INDEX(indexy_SDcast!$A:$ALI,MATCH($R565,indexy_SDcast!$K:$K,0),MATCH(W$2,indexy_SDcast!$2:$2,0)),"#ekrk")),"#popis")</f>
        <v>-21.305090187274534</v>
      </c>
      <c r="X565" s="365">
        <f>IF($Q565="ekrk",IF($R565="data",IFERROR(INDEX(data!$A:$ALL,MATCH($M565,data!$A:$A,0),MATCH(X$2,data!$1:$1,0)),"#data"),IFERROR(W565*INDEX(indexy_SDcast!$A:$ALI,MATCH($R565,indexy_SDcast!$K:$K,0),MATCH(X$2,indexy_SDcast!$2:$2,0)),"#ekrk")),"#popis")</f>
        <v>-13.684813137442919</v>
      </c>
      <c r="Y565" s="362">
        <f>IF($Q565="ekrk",IF($R565="data",IFERROR(INDEX(data!$A:$ALL,MATCH($M565,data!$A:$A,0),MATCH(Y$2,data!$1:$1,0)),"#data"),IFERROR(X565*INDEX(indexy_SDcast!$A:$ALI,MATCH($R565,indexy_SDcast!$K:$K,0),MATCH(Y$2,indexy_SDcast!$2:$2,0)),"#ekrk")),"#popis")</f>
        <v>-18.513471598122301</v>
      </c>
    </row>
    <row r="566" spans="1:44" x14ac:dyDescent="0.25">
      <c r="A566" s="330">
        <v>649002</v>
      </c>
      <c r="B566" s="329">
        <v>0</v>
      </c>
      <c r="C566" s="157"/>
      <c r="D566" s="330">
        <v>649002</v>
      </c>
      <c r="E566" s="329">
        <v>0</v>
      </c>
      <c r="F566" s="157"/>
      <c r="G566" s="330">
        <v>649002</v>
      </c>
      <c r="H566" s="329">
        <v>0</v>
      </c>
      <c r="I566" s="157"/>
      <c r="J566" s="330">
        <v>649002</v>
      </c>
      <c r="K566" s="329">
        <v>0</v>
      </c>
      <c r="L566" s="157"/>
      <c r="M566" s="360">
        <f t="shared" si="57"/>
        <v>649002</v>
      </c>
      <c r="N566" s="237">
        <f t="shared" si="58"/>
        <v>0</v>
      </c>
      <c r="O566" s="361"/>
      <c r="P566" s="361"/>
      <c r="Q566" s="361" t="s">
        <v>698</v>
      </c>
      <c r="R566" s="362">
        <v>35</v>
      </c>
      <c r="S566" s="236"/>
      <c r="T566" s="364">
        <f t="shared" si="56"/>
        <v>649002</v>
      </c>
      <c r="U566" s="365">
        <f t="shared" si="59"/>
        <v>0</v>
      </c>
      <c r="V566" s="365">
        <f>IF($Q566="ekrk",IF($R566="data",IFERROR(INDEX(data!$A:$ALL,MATCH($M566,data!$A:$A,0),MATCH(V$2,data!$1:$1,0)),"#data"),IFERROR(U566*INDEX(indexy_SDcast!$A:$ALI,MATCH($R566,indexy_SDcast!$K:$K,0),MATCH(V$2,indexy_SDcast!$2:$2,0)),"#ekrk")),"#popis")</f>
        <v>0</v>
      </c>
      <c r="W566" s="365">
        <f>IF($Q566="ekrk",IF($R566="data",IFERROR(INDEX(data!$A:$ALL,MATCH($M566,data!$A:$A,0),MATCH(W$2,data!$1:$1,0)),"#data"),IFERROR(V566*INDEX(indexy_SDcast!$A:$ALI,MATCH($R566,indexy_SDcast!$K:$K,0),MATCH(W$2,indexy_SDcast!$2:$2,0)),"#ekrk")),"#popis")</f>
        <v>0</v>
      </c>
      <c r="X566" s="365">
        <f>IF($Q566="ekrk",IF($R566="data",IFERROR(INDEX(data!$A:$ALL,MATCH($M566,data!$A:$A,0),MATCH(X$2,data!$1:$1,0)),"#data"),IFERROR(W566*INDEX(indexy_SDcast!$A:$ALI,MATCH($R566,indexy_SDcast!$K:$K,0),MATCH(X$2,indexy_SDcast!$2:$2,0)),"#ekrk")),"#popis")</f>
        <v>0</v>
      </c>
      <c r="Y566" s="362">
        <f>IF($Q566="ekrk",IF($R566="data",IFERROR(INDEX(data!$A:$ALL,MATCH($M566,data!$A:$A,0),MATCH(Y$2,data!$1:$1,0)),"#data"),IFERROR(X566*INDEX(indexy_SDcast!$A:$ALI,MATCH($R566,indexy_SDcast!$K:$K,0),MATCH(Y$2,indexy_SDcast!$2:$2,0)),"#ekrk")),"#popis")</f>
        <v>0</v>
      </c>
    </row>
    <row r="567" spans="1:44" s="18" customFormat="1" x14ac:dyDescent="0.25">
      <c r="A567" s="333" t="s">
        <v>737</v>
      </c>
      <c r="B567" s="334">
        <v>71194.951489999992</v>
      </c>
      <c r="C567" s="164"/>
      <c r="D567" s="333" t="s">
        <v>737</v>
      </c>
      <c r="E567" s="334">
        <v>71194.951489999992</v>
      </c>
      <c r="F567" s="164"/>
      <c r="G567" s="333" t="s">
        <v>737</v>
      </c>
      <c r="H567" s="334">
        <v>71194.951489999992</v>
      </c>
      <c r="I567" s="164"/>
      <c r="J567" s="333" t="s">
        <v>737</v>
      </c>
      <c r="K567" s="334">
        <v>71194.951489999992</v>
      </c>
      <c r="L567" s="164"/>
      <c r="M567" s="358" t="str">
        <f t="shared" si="57"/>
        <v>D75REC</v>
      </c>
      <c r="N567" s="239">
        <f t="shared" si="58"/>
        <v>71194.951489999992</v>
      </c>
      <c r="O567" s="243"/>
      <c r="P567" s="243">
        <f>MATCH(Q567,Q568:Q$1550,0)</f>
        <v>17</v>
      </c>
      <c r="Q567" s="243" t="s">
        <v>697</v>
      </c>
      <c r="R567" s="359" t="str">
        <f>IF(Q567="ekrk",INDEX(indexy_SDcast!$A:$C,MATCH($M567,indexy_SDcast!$A:$A,0),2),"")</f>
        <v/>
      </c>
      <c r="S567" s="240"/>
      <c r="T567" s="363" t="str">
        <f t="shared" si="56"/>
        <v>D75REC</v>
      </c>
      <c r="U567" s="244">
        <f>SUM(U568:U583)</f>
        <v>71194.951489999992</v>
      </c>
      <c r="V567" s="244">
        <f>SUM(V568:V583)</f>
        <v>91146.065338724584</v>
      </c>
      <c r="W567" s="244">
        <f>SUM(W568:W583)</f>
        <v>92170.66612056845</v>
      </c>
      <c r="X567" s="244">
        <f>SUM(X568:X583)</f>
        <v>59203.614325322756</v>
      </c>
      <c r="Y567" s="359">
        <f>SUM(Y568:Y583)</f>
        <v>80093.489133520969</v>
      </c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8"/>
      <c r="AN567" s="58"/>
      <c r="AO567" s="58"/>
      <c r="AP567" s="58"/>
      <c r="AQ567" s="58"/>
      <c r="AR567" s="58"/>
    </row>
    <row r="568" spans="1:44" x14ac:dyDescent="0.25">
      <c r="A568" s="330">
        <v>222001</v>
      </c>
      <c r="B568" s="329">
        <v>4.5100000000000001E-2</v>
      </c>
      <c r="C568" s="157"/>
      <c r="D568" s="330">
        <v>222001</v>
      </c>
      <c r="E568" s="329">
        <v>4.5100000000000001E-2</v>
      </c>
      <c r="F568" s="157"/>
      <c r="G568" s="330">
        <v>222001</v>
      </c>
      <c r="H568" s="329">
        <v>4.5100000000000001E-2</v>
      </c>
      <c r="I568" s="157"/>
      <c r="J568" s="330">
        <v>222001</v>
      </c>
      <c r="K568" s="329">
        <v>4.5100000000000001E-2</v>
      </c>
      <c r="L568" s="157"/>
      <c r="M568" s="360">
        <f t="shared" si="57"/>
        <v>222001</v>
      </c>
      <c r="N568" s="237">
        <f t="shared" si="58"/>
        <v>4.5100000000000001E-2</v>
      </c>
      <c r="O568" s="361"/>
      <c r="P568" s="361"/>
      <c r="Q568" s="361" t="s">
        <v>698</v>
      </c>
      <c r="R568" s="362">
        <v>35</v>
      </c>
      <c r="S568" s="236"/>
      <c r="T568" s="364">
        <f t="shared" si="56"/>
        <v>222001</v>
      </c>
      <c r="U568" s="365">
        <f t="shared" ref="U568:U583" si="60">N568</f>
        <v>4.5100000000000001E-2</v>
      </c>
      <c r="V568" s="365">
        <f>IF($Q568="ekrk",IF($R568="data",IFERROR(INDEX(data!$A:$ALL,MATCH($M568,data!$A:$A,0),MATCH(V$2,data!$1:$1,0)),"#data"),IFERROR(U568*INDEX(indexy_SDcast!$A:$ALI,MATCH($R568,indexy_SDcast!$K:$K,0),MATCH(V$2,indexy_SDcast!$2:$2,0)),"#ekrk")),"#popis")</f>
        <v>5.7738469663173565E-2</v>
      </c>
      <c r="W568" s="365">
        <f>IF($Q568="ekrk",IF($R568="data",IFERROR(INDEX(data!$A:$ALL,MATCH($M568,data!$A:$A,0),MATCH(W$2,data!$1:$1,0)),"#data"),IFERROR(V568*INDEX(indexy_SDcast!$A:$ALI,MATCH($R568,indexy_SDcast!$K:$K,0),MATCH(W$2,indexy_SDcast!$2:$2,0)),"#ekrk")),"#popis")</f>
        <v>5.8387525450052616E-2</v>
      </c>
      <c r="X568" s="365">
        <f>IF($Q568="ekrk",IF($R568="data",IFERROR(INDEX(data!$A:$ALL,MATCH($M568,data!$A:$A,0),MATCH(X$2,data!$1:$1,0)),"#data"),IFERROR(W568*INDEX(indexy_SDcast!$A:$ALI,MATCH($R568,indexy_SDcast!$K:$K,0),MATCH(X$2,indexy_SDcast!$2:$2,0)),"#ekrk")),"#popis")</f>
        <v>3.7503825063313574E-2</v>
      </c>
      <c r="Y568" s="362">
        <f>IF($Q568="ekrk",IF($R568="data",IFERROR(INDEX(data!$A:$ALL,MATCH($M568,data!$A:$A,0),MATCH(Y$2,data!$1:$1,0)),"#data"),IFERROR(X568*INDEX(indexy_SDcast!$A:$ALI,MATCH($R568,indexy_SDcast!$K:$K,0),MATCH(Y$2,indexy_SDcast!$2:$2,0)),"#ekrk")),"#popis")</f>
        <v>5.073697339942939E-2</v>
      </c>
    </row>
    <row r="569" spans="1:44" x14ac:dyDescent="0.25">
      <c r="A569" s="330">
        <v>291001</v>
      </c>
      <c r="B569" s="329">
        <v>76.741810000000001</v>
      </c>
      <c r="C569" s="157"/>
      <c r="D569" s="330">
        <v>291001</v>
      </c>
      <c r="E569" s="329">
        <v>76.741810000000001</v>
      </c>
      <c r="F569" s="157"/>
      <c r="G569" s="330">
        <v>291001</v>
      </c>
      <c r="H569" s="329">
        <v>76.741810000000001</v>
      </c>
      <c r="I569" s="157"/>
      <c r="J569" s="330">
        <v>291001</v>
      </c>
      <c r="K569" s="329">
        <v>76.741810000000001</v>
      </c>
      <c r="L569" s="157"/>
      <c r="M569" s="360">
        <f t="shared" si="57"/>
        <v>291001</v>
      </c>
      <c r="N569" s="237">
        <f t="shared" si="58"/>
        <v>76.741810000000001</v>
      </c>
      <c r="O569" s="361"/>
      <c r="P569" s="361"/>
      <c r="Q569" s="361" t="s">
        <v>698</v>
      </c>
      <c r="R569" s="362">
        <v>35</v>
      </c>
      <c r="S569" s="236"/>
      <c r="T569" s="364">
        <f t="shared" si="56"/>
        <v>291001</v>
      </c>
      <c r="U569" s="365">
        <f t="shared" si="60"/>
        <v>76.741810000000001</v>
      </c>
      <c r="V569" s="365">
        <f>IF($Q569="ekrk",IF($R569="data",IFERROR(INDEX(data!$A:$ALL,MATCH($M569,data!$A:$A,0),MATCH(V$2,data!$1:$1,0)),"#data"),IFERROR(U569*INDEX(indexy_SDcast!$A:$ALI,MATCH($R569,indexy_SDcast!$K:$K,0),MATCH(V$2,indexy_SDcast!$2:$2,0)),"#ekrk")),"#popis")</f>
        <v>98.247331897605974</v>
      </c>
      <c r="W569" s="365">
        <f>IF($Q569="ekrk",IF($R569="data",IFERROR(INDEX(data!$A:$ALL,MATCH($M569,data!$A:$A,0),MATCH(W$2,data!$1:$1,0)),"#data"),IFERROR(V569*INDEX(indexy_SDcast!$A:$ALI,MATCH($R569,indexy_SDcast!$K:$K,0),MATCH(W$2,indexy_SDcast!$2:$2,0)),"#ekrk")),"#popis")</f>
        <v>99.351760187541075</v>
      </c>
      <c r="X569" s="365">
        <f>IF($Q569="ekrk",IF($R569="data",IFERROR(INDEX(data!$A:$ALL,MATCH($M569,data!$A:$A,0),MATCH(X$2,data!$1:$1,0)),"#data"),IFERROR(W569*INDEX(indexy_SDcast!$A:$ALI,MATCH($R569,indexy_SDcast!$K:$K,0),MATCH(X$2,indexy_SDcast!$2:$2,0)),"#ekrk")),"#popis")</f>
        <v>63.816217678094205</v>
      </c>
      <c r="Y569" s="362">
        <f>IF($Q569="ekrk",IF($R569="data",IFERROR(INDEX(data!$A:$ALL,MATCH($M569,data!$A:$A,0),MATCH(Y$2,data!$1:$1,0)),"#data"),IFERROR(X569*INDEX(indexy_SDcast!$A:$ALI,MATCH($R569,indexy_SDcast!$K:$K,0),MATCH(Y$2,indexy_SDcast!$2:$2,0)),"#ekrk")),"#popis")</f>
        <v>86.333640190555755</v>
      </c>
    </row>
    <row r="570" spans="1:44" x14ac:dyDescent="0.25">
      <c r="A570" s="330">
        <v>291003</v>
      </c>
      <c r="B570" s="329">
        <v>1.0500000000000001E-2</v>
      </c>
      <c r="C570" s="157"/>
      <c r="D570" s="330">
        <v>291003</v>
      </c>
      <c r="E570" s="329">
        <v>1.0500000000000001E-2</v>
      </c>
      <c r="F570" s="157"/>
      <c r="G570" s="330">
        <v>291003</v>
      </c>
      <c r="H570" s="329">
        <v>1.0500000000000001E-2</v>
      </c>
      <c r="I570" s="157"/>
      <c r="J570" s="330">
        <v>291003</v>
      </c>
      <c r="K570" s="329">
        <v>1.0500000000000001E-2</v>
      </c>
      <c r="L570" s="157"/>
      <c r="M570" s="360">
        <f t="shared" si="57"/>
        <v>291003</v>
      </c>
      <c r="N570" s="237">
        <f t="shared" si="58"/>
        <v>1.0500000000000001E-2</v>
      </c>
      <c r="O570" s="361"/>
      <c r="P570" s="361"/>
      <c r="Q570" s="361" t="s">
        <v>698</v>
      </c>
      <c r="R570" s="362">
        <v>35</v>
      </c>
      <c r="S570" s="236"/>
      <c r="T570" s="364">
        <f t="shared" si="56"/>
        <v>291003</v>
      </c>
      <c r="U570" s="365">
        <f t="shared" si="60"/>
        <v>1.0500000000000001E-2</v>
      </c>
      <c r="V570" s="365">
        <f>IF($Q570="ekrk",IF($R570="data",IFERROR(INDEX(data!$A:$ALL,MATCH($M570,data!$A:$A,0),MATCH(V$2,data!$1:$1,0)),"#data"),IFERROR(U570*INDEX(indexy_SDcast!$A:$ALI,MATCH($R570,indexy_SDcast!$K:$K,0),MATCH(V$2,indexy_SDcast!$2:$2,0)),"#ekrk")),"#popis")</f>
        <v>1.3442437504729988E-2</v>
      </c>
      <c r="W570" s="365">
        <f>IF($Q570="ekrk",IF($R570="data",IFERROR(INDEX(data!$A:$ALL,MATCH($M570,data!$A:$A,0),MATCH(W$2,data!$1:$1,0)),"#data"),IFERROR(V570*INDEX(indexy_SDcast!$A:$ALI,MATCH($R570,indexy_SDcast!$K:$K,0),MATCH(W$2,indexy_SDcast!$2:$2,0)),"#ekrk")),"#popis")</f>
        <v>1.3593548053781653E-2</v>
      </c>
      <c r="X570" s="365">
        <f>IF($Q570="ekrk",IF($R570="data",IFERROR(INDEX(data!$A:$ALL,MATCH($M570,data!$A:$A,0),MATCH(X$2,data!$1:$1,0)),"#data"),IFERROR(W570*INDEX(indexy_SDcast!$A:$ALI,MATCH($R570,indexy_SDcast!$K:$K,0),MATCH(X$2,indexy_SDcast!$2:$2,0)),"#ekrk")),"#popis")</f>
        <v>8.731489205427774E-3</v>
      </c>
      <c r="Y570" s="362">
        <f>IF($Q570="ekrk",IF($R570="data",IFERROR(INDEX(data!$A:$ALL,MATCH($M570,data!$A:$A,0),MATCH(Y$2,data!$1:$1,0)),"#data"),IFERROR(X570*INDEX(indexy_SDcast!$A:$ALI,MATCH($R570,indexy_SDcast!$K:$K,0),MATCH(Y$2,indexy_SDcast!$2:$2,0)),"#ekrk")),"#popis")</f>
        <v>1.1812377398980237E-2</v>
      </c>
    </row>
    <row r="571" spans="1:44" x14ac:dyDescent="0.25">
      <c r="A571" s="330">
        <v>291004</v>
      </c>
      <c r="B571" s="329">
        <v>93.722510000000014</v>
      </c>
      <c r="C571" s="157"/>
      <c r="D571" s="330">
        <v>291004</v>
      </c>
      <c r="E571" s="329">
        <v>93.722510000000014</v>
      </c>
      <c r="F571" s="157"/>
      <c r="G571" s="330">
        <v>291004</v>
      </c>
      <c r="H571" s="329">
        <v>93.722510000000014</v>
      </c>
      <c r="I571" s="157"/>
      <c r="J571" s="330">
        <v>291004</v>
      </c>
      <c r="K571" s="329">
        <v>93.722510000000014</v>
      </c>
      <c r="L571" s="157"/>
      <c r="M571" s="360">
        <f t="shared" si="57"/>
        <v>291004</v>
      </c>
      <c r="N571" s="237">
        <f t="shared" si="58"/>
        <v>93.722510000000014</v>
      </c>
      <c r="O571" s="361"/>
      <c r="P571" s="361"/>
      <c r="Q571" s="361" t="s">
        <v>698</v>
      </c>
      <c r="R571" s="362">
        <v>35</v>
      </c>
      <c r="S571" s="236"/>
      <c r="T571" s="364">
        <f t="shared" si="56"/>
        <v>291004</v>
      </c>
      <c r="U571" s="365">
        <f t="shared" si="60"/>
        <v>93.722510000000014</v>
      </c>
      <c r="V571" s="365">
        <f>IF($Q571="ekrk",IF($R571="data",IFERROR(INDEX(data!$A:$ALL,MATCH($M571,data!$A:$A,0),MATCH(V$2,data!$1:$1,0)),"#data"),IFERROR(U571*INDEX(indexy_SDcast!$A:$ALI,MATCH($R571,indexy_SDcast!$K:$K,0),MATCH(V$2,indexy_SDcast!$2:$2,0)),"#ekrk")),"#popis")</f>
        <v>119.98656985346966</v>
      </c>
      <c r="W571" s="365">
        <f>IF($Q571="ekrk",IF($R571="data",IFERROR(INDEX(data!$A:$ALL,MATCH($M571,data!$A:$A,0),MATCH(W$2,data!$1:$1,0)),"#data"),IFERROR(V571*INDEX(indexy_SDcast!$A:$ALI,MATCH($R571,indexy_SDcast!$K:$K,0),MATCH(W$2,indexy_SDcast!$2:$2,0)),"#ekrk")),"#popis")</f>
        <v>121.3353755624792</v>
      </c>
      <c r="X571" s="365">
        <f>IF($Q571="ekrk",IF($R571="data",IFERROR(INDEX(data!$A:$ALL,MATCH($M571,data!$A:$A,0),MATCH(X$2,data!$1:$1,0)),"#data"),IFERROR(W571*INDEX(indexy_SDcast!$A:$ALI,MATCH($R571,indexy_SDcast!$K:$K,0),MATCH(X$2,indexy_SDcast!$2:$2,0)),"#ekrk")),"#popis")</f>
        <v>77.936865178152061</v>
      </c>
      <c r="Y571" s="362">
        <f>IF($Q571="ekrk",IF($R571="data",IFERROR(INDEX(data!$A:$ALL,MATCH($M571,data!$A:$A,0),MATCH(Y$2,data!$1:$1,0)),"#data"),IFERROR(X571*INDEX(indexy_SDcast!$A:$ALI,MATCH($R571,indexy_SDcast!$K:$K,0),MATCH(Y$2,indexy_SDcast!$2:$2,0)),"#ekrk")),"#popis")</f>
        <v>105.43672941901897</v>
      </c>
    </row>
    <row r="572" spans="1:44" x14ac:dyDescent="0.25">
      <c r="A572" s="330">
        <v>291007</v>
      </c>
      <c r="B572" s="329">
        <v>475.84424000000001</v>
      </c>
      <c r="C572" s="157"/>
      <c r="D572" s="330">
        <v>291007</v>
      </c>
      <c r="E572" s="329">
        <v>475.84424000000001</v>
      </c>
      <c r="F572" s="157"/>
      <c r="G572" s="330">
        <v>291007</v>
      </c>
      <c r="H572" s="329">
        <v>475.84424000000001</v>
      </c>
      <c r="I572" s="157"/>
      <c r="J572" s="330">
        <v>291007</v>
      </c>
      <c r="K572" s="329">
        <v>475.84424000000001</v>
      </c>
      <c r="L572" s="157"/>
      <c r="M572" s="360">
        <f t="shared" si="57"/>
        <v>291007</v>
      </c>
      <c r="N572" s="237">
        <f t="shared" si="58"/>
        <v>475.84424000000001</v>
      </c>
      <c r="O572" s="361"/>
      <c r="P572" s="361"/>
      <c r="Q572" s="361" t="s">
        <v>698</v>
      </c>
      <c r="R572" s="362">
        <v>35</v>
      </c>
      <c r="S572" s="236"/>
      <c r="T572" s="364">
        <f t="shared" si="56"/>
        <v>291007</v>
      </c>
      <c r="U572" s="365">
        <f t="shared" si="60"/>
        <v>475.84424000000001</v>
      </c>
      <c r="V572" s="365">
        <f>IF($Q572="ekrk",IF($R572="data",IFERROR(INDEX(data!$A:$ALL,MATCH($M572,data!$A:$A,0),MATCH(V$2,data!$1:$1,0)),"#data"),IFERROR(U572*INDEX(indexy_SDcast!$A:$ALI,MATCH($R572,indexy_SDcast!$K:$K,0),MATCH(V$2,indexy_SDcast!$2:$2,0)),"#ekrk")),"#popis")</f>
        <v>609.1910912557845</v>
      </c>
      <c r="W572" s="365">
        <f>IF($Q572="ekrk",IF($R572="data",IFERROR(INDEX(data!$A:$ALL,MATCH($M572,data!$A:$A,0),MATCH(W$2,data!$1:$1,0)),"#data"),IFERROR(V572*INDEX(indexy_SDcast!$A:$ALI,MATCH($R572,indexy_SDcast!$K:$K,0),MATCH(W$2,indexy_SDcast!$2:$2,0)),"#ekrk")),"#popis")</f>
        <v>616.03919452906757</v>
      </c>
      <c r="X572" s="365">
        <f>IF($Q572="ekrk",IF($R572="data",IFERROR(INDEX(data!$A:$ALL,MATCH($M572,data!$A:$A,0),MATCH(X$2,data!$1:$1,0)),"#data"),IFERROR(W572*INDEX(indexy_SDcast!$A:$ALI,MATCH($R572,indexy_SDcast!$K:$K,0),MATCH(X$2,indexy_SDcast!$2:$2,0)),"#ekrk")),"#popis")</f>
        <v>395.69798524047457</v>
      </c>
      <c r="Y572" s="362">
        <f>IF($Q572="ekrk",IF($R572="data",IFERROR(INDEX(data!$A:$ALL,MATCH($M572,data!$A:$A,0),MATCH(Y$2,data!$1:$1,0)),"#data"),IFERROR(X572*INDEX(indexy_SDcast!$A:$ALI,MATCH($R572,indexy_SDcast!$K:$K,0),MATCH(Y$2,indexy_SDcast!$2:$2,0)),"#ekrk")),"#popis")</f>
        <v>535.3192139058026</v>
      </c>
    </row>
    <row r="573" spans="1:44" x14ac:dyDescent="0.25">
      <c r="A573" s="330">
        <v>292012</v>
      </c>
      <c r="B573" s="329">
        <v>12.821620000000001</v>
      </c>
      <c r="C573" s="157"/>
      <c r="D573" s="330">
        <v>292012</v>
      </c>
      <c r="E573" s="329">
        <v>12.821620000000001</v>
      </c>
      <c r="F573" s="157"/>
      <c r="G573" s="330">
        <v>292012</v>
      </c>
      <c r="H573" s="329">
        <v>12.821620000000001</v>
      </c>
      <c r="I573" s="157"/>
      <c r="J573" s="330">
        <v>292012</v>
      </c>
      <c r="K573" s="329">
        <v>12.821620000000001</v>
      </c>
      <c r="L573" s="157"/>
      <c r="M573" s="360">
        <f t="shared" si="57"/>
        <v>292012</v>
      </c>
      <c r="N573" s="237">
        <f t="shared" si="58"/>
        <v>12.821620000000001</v>
      </c>
      <c r="O573" s="361"/>
      <c r="P573" s="361"/>
      <c r="Q573" s="361" t="s">
        <v>698</v>
      </c>
      <c r="R573" s="362">
        <v>35</v>
      </c>
      <c r="S573" s="236"/>
      <c r="T573" s="364">
        <f t="shared" si="56"/>
        <v>292012</v>
      </c>
      <c r="U573" s="365">
        <f t="shared" si="60"/>
        <v>12.821620000000001</v>
      </c>
      <c r="V573" s="365">
        <f>IF($Q573="ekrk",IF($R573="data",IFERROR(INDEX(data!$A:$ALL,MATCH($M573,data!$A:$A,0),MATCH(V$2,data!$1:$1,0)),"#data"),IFERROR(U573*INDEX(indexy_SDcast!$A:$ALI,MATCH($R573,indexy_SDcast!$K:$K,0),MATCH(V$2,indexy_SDcast!$2:$2,0)),"#ekrk")),"#popis")</f>
        <v>16.414650053275821</v>
      </c>
      <c r="W573" s="365">
        <f>IF($Q573="ekrk",IF($R573="data",IFERROR(INDEX(data!$A:$ALL,MATCH($M573,data!$A:$A,0),MATCH(W$2,data!$1:$1,0)),"#data"),IFERROR(V573*INDEX(indexy_SDcast!$A:$ALI,MATCH($R573,indexy_SDcast!$K:$K,0),MATCH(W$2,indexy_SDcast!$2:$2,0)),"#ekrk")),"#popis")</f>
        <v>16.599172152126467</v>
      </c>
      <c r="X573" s="365">
        <f>IF($Q573="ekrk",IF($R573="data",IFERROR(INDEX(data!$A:$ALL,MATCH($M573,data!$A:$A,0),MATCH(X$2,data!$1:$1,0)),"#data"),IFERROR(W573*INDEX(indexy_SDcast!$A:$ALI,MATCH($R573,indexy_SDcast!$K:$K,0),MATCH(X$2,indexy_SDcast!$2:$2,0)),"#ekrk")),"#popis")</f>
        <v>10.662079678675891</v>
      </c>
      <c r="Y573" s="362">
        <f>IF($Q573="ekrk",IF($R573="data",IFERROR(INDEX(data!$A:$ALL,MATCH($M573,data!$A:$A,0),MATCH(Y$2,data!$1:$1,0)),"#data"),IFERROR(X573*INDEX(indexy_SDcast!$A:$ALI,MATCH($R573,indexy_SDcast!$K:$K,0),MATCH(Y$2,indexy_SDcast!$2:$2,0)),"#ekrk")),"#popis")</f>
        <v>14.424172791077426</v>
      </c>
    </row>
    <row r="574" spans="1:44" x14ac:dyDescent="0.25">
      <c r="A574" s="330">
        <v>292017</v>
      </c>
      <c r="B574" s="329">
        <v>7729.0762800000011</v>
      </c>
      <c r="C574" s="157"/>
      <c r="D574" s="330">
        <v>292017</v>
      </c>
      <c r="E574" s="329">
        <v>7729.0762800000011</v>
      </c>
      <c r="F574" s="157"/>
      <c r="G574" s="330">
        <v>292017</v>
      </c>
      <c r="H574" s="329">
        <v>7729.0762800000011</v>
      </c>
      <c r="I574" s="157"/>
      <c r="J574" s="330">
        <v>292017</v>
      </c>
      <c r="K574" s="329">
        <v>7729.0762800000011</v>
      </c>
      <c r="L574" s="157"/>
      <c r="M574" s="360">
        <f t="shared" si="57"/>
        <v>292017</v>
      </c>
      <c r="N574" s="237">
        <f t="shared" si="58"/>
        <v>7729.0762800000011</v>
      </c>
      <c r="O574" s="361"/>
      <c r="P574" s="361"/>
      <c r="Q574" s="361" t="s">
        <v>698</v>
      </c>
      <c r="R574" s="362">
        <v>35</v>
      </c>
      <c r="S574" s="236"/>
      <c r="T574" s="364">
        <f t="shared" si="56"/>
        <v>292017</v>
      </c>
      <c r="U574" s="365">
        <f t="shared" si="60"/>
        <v>7729.0762800000011</v>
      </c>
      <c r="V574" s="365">
        <f>IF($Q574="ekrk",IF($R574="data",IFERROR(INDEX(data!$A:$ALL,MATCH($M574,data!$A:$A,0),MATCH(V$2,data!$1:$1,0)),"#data"),IFERROR(U574*INDEX(indexy_SDcast!$A:$ALI,MATCH($R574,indexy_SDcast!$K:$K,0),MATCH(V$2,indexy_SDcast!$2:$2,0)),"#ekrk")),"#popis")</f>
        <v>9895.0118917324708</v>
      </c>
      <c r="W574" s="365">
        <f>IF($Q574="ekrk",IF($R574="data",IFERROR(INDEX(data!$A:$ALL,MATCH($M574,data!$A:$A,0),MATCH(W$2,data!$1:$1,0)),"#data"),IFERROR(V574*INDEX(indexy_SDcast!$A:$ALI,MATCH($R574,indexy_SDcast!$K:$K,0),MATCH(W$2,indexy_SDcast!$2:$2,0)),"#ekrk")),"#popis")</f>
        <v>10006.244745097518</v>
      </c>
      <c r="X574" s="365">
        <f>IF($Q574="ekrk",IF($R574="data",IFERROR(INDEX(data!$A:$ALL,MATCH($M574,data!$A:$A,0),MATCH(X$2,data!$1:$1,0)),"#data"),IFERROR(W574*INDEX(indexy_SDcast!$A:$ALI,MATCH($R574,indexy_SDcast!$K:$K,0),MATCH(X$2,indexy_SDcast!$2:$2,0)),"#ekrk")),"#popis")</f>
        <v>6427.2710577855096</v>
      </c>
      <c r="Y574" s="362">
        <f>IF($Q574="ekrk",IF($R574="data",IFERROR(INDEX(data!$A:$ALL,MATCH($M574,data!$A:$A,0),MATCH(Y$2,data!$1:$1,0)),"#data"),IFERROR(X574*INDEX(indexy_SDcast!$A:$ALI,MATCH($R574,indexy_SDcast!$K:$K,0),MATCH(Y$2,indexy_SDcast!$2:$2,0)),"#ekrk")),"#popis")</f>
        <v>8695.1205680824987</v>
      </c>
    </row>
    <row r="575" spans="1:44" x14ac:dyDescent="0.25">
      <c r="A575" s="330">
        <v>292019</v>
      </c>
      <c r="B575" s="329">
        <v>2533.6149000000005</v>
      </c>
      <c r="C575" s="157"/>
      <c r="D575" s="330">
        <v>292019</v>
      </c>
      <c r="E575" s="329">
        <v>2533.6149000000005</v>
      </c>
      <c r="F575" s="157"/>
      <c r="G575" s="330">
        <v>292019</v>
      </c>
      <c r="H575" s="329">
        <v>2533.6149000000005</v>
      </c>
      <c r="I575" s="157"/>
      <c r="J575" s="330">
        <v>292019</v>
      </c>
      <c r="K575" s="329">
        <v>2533.6149000000005</v>
      </c>
      <c r="L575" s="157"/>
      <c r="M575" s="360">
        <f t="shared" si="57"/>
        <v>292019</v>
      </c>
      <c r="N575" s="237">
        <f t="shared" si="58"/>
        <v>2533.6149000000005</v>
      </c>
      <c r="O575" s="361"/>
      <c r="P575" s="361"/>
      <c r="Q575" s="361" t="s">
        <v>698</v>
      </c>
      <c r="R575" s="362">
        <v>35</v>
      </c>
      <c r="S575" s="236"/>
      <c r="T575" s="364">
        <f t="shared" si="56"/>
        <v>292019</v>
      </c>
      <c r="U575" s="365">
        <f t="shared" si="60"/>
        <v>2533.6149000000005</v>
      </c>
      <c r="V575" s="365">
        <f>IF($Q575="ekrk",IF($R575="data",IFERROR(INDEX(data!$A:$ALL,MATCH($M575,data!$A:$A,0),MATCH(V$2,data!$1:$1,0)),"#data"),IFERROR(U575*INDEX(indexy_SDcast!$A:$ALI,MATCH($R575,indexy_SDcast!$K:$K,0),MATCH(V$2,indexy_SDcast!$2:$2,0)),"#ekrk")),"#popis")</f>
        <v>3243.6152337431163</v>
      </c>
      <c r="W575" s="365">
        <f>IF($Q575="ekrk",IF($R575="data",IFERROR(INDEX(data!$A:$ALL,MATCH($M575,data!$A:$A,0),MATCH(W$2,data!$1:$1,0)),"#data"),IFERROR(V575*INDEX(indexy_SDcast!$A:$ALI,MATCH($R575,indexy_SDcast!$K:$K,0),MATCH(W$2,indexy_SDcast!$2:$2,0)),"#ekrk")),"#popis")</f>
        <v>3280.0777040883045</v>
      </c>
      <c r="X575" s="365">
        <f>IF($Q575="ekrk",IF($R575="data",IFERROR(INDEX(data!$A:$ALL,MATCH($M575,data!$A:$A,0),MATCH(X$2,data!$1:$1,0)),"#data"),IFERROR(W575*INDEX(indexy_SDcast!$A:$ALI,MATCH($R575,indexy_SDcast!$K:$K,0),MATCH(X$2,indexy_SDcast!$2:$2,0)),"#ekrk")),"#popis")</f>
        <v>2106.8791571486636</v>
      </c>
      <c r="Y575" s="362">
        <f>IF($Q575="ekrk",IF($R575="data",IFERROR(INDEX(data!$A:$ALL,MATCH($M575,data!$A:$A,0),MATCH(Y$2,data!$1:$1,0)),"#data"),IFERROR(X575*INDEX(indexy_SDcast!$A:$ALI,MATCH($R575,indexy_SDcast!$K:$K,0),MATCH(Y$2,indexy_SDcast!$2:$2,0)),"#ekrk")),"#popis")</f>
        <v>2850.2871792837686</v>
      </c>
    </row>
    <row r="576" spans="1:44" x14ac:dyDescent="0.25">
      <c r="A576" s="330">
        <v>292027</v>
      </c>
      <c r="B576" s="329">
        <v>124.09389000000002</v>
      </c>
      <c r="C576" s="157"/>
      <c r="D576" s="330">
        <v>292027</v>
      </c>
      <c r="E576" s="329">
        <v>124.09389000000002</v>
      </c>
      <c r="F576" s="157"/>
      <c r="G576" s="330">
        <v>292027</v>
      </c>
      <c r="H576" s="329">
        <v>124.09389000000002</v>
      </c>
      <c r="I576" s="157"/>
      <c r="J576" s="330">
        <v>292027</v>
      </c>
      <c r="K576" s="329">
        <v>124.09389000000002</v>
      </c>
      <c r="L576" s="157"/>
      <c r="M576" s="360">
        <f t="shared" si="57"/>
        <v>292027</v>
      </c>
      <c r="N576" s="237">
        <f t="shared" si="58"/>
        <v>124.09389000000002</v>
      </c>
      <c r="O576" s="361"/>
      <c r="P576" s="361"/>
      <c r="Q576" s="361" t="s">
        <v>698</v>
      </c>
      <c r="R576" s="362">
        <v>35</v>
      </c>
      <c r="S576" s="236"/>
      <c r="T576" s="364">
        <f t="shared" si="56"/>
        <v>292027</v>
      </c>
      <c r="U576" s="365">
        <f t="shared" si="60"/>
        <v>124.09389000000002</v>
      </c>
      <c r="V576" s="365">
        <f>IF($Q576="ekrk",IF($R576="data",IFERROR(INDEX(data!$A:$ALL,MATCH($M576,data!$A:$A,0),MATCH(V$2,data!$1:$1,0)),"#data"),IFERROR(U576*INDEX(indexy_SDcast!$A:$ALI,MATCH($R576,indexy_SDcast!$K:$K,0),MATCH(V$2,indexy_SDcast!$2:$2,0)),"#ekrk")),"#popis")</f>
        <v>158.86898676607979</v>
      </c>
      <c r="W576" s="365">
        <f>IF($Q576="ekrk",IF($R576="data",IFERROR(INDEX(data!$A:$ALL,MATCH($M576,data!$A:$A,0),MATCH(W$2,data!$1:$1,0)),"#data"),IFERROR(V576*INDEX(indexy_SDcast!$A:$ALI,MATCH($R576,indexy_SDcast!$K:$K,0),MATCH(W$2,indexy_SDcast!$2:$2,0)),"#ekrk")),"#popis")</f>
        <v>160.65488160911377</v>
      </c>
      <c r="X576" s="365">
        <f>IF($Q576="ekrk",IF($R576="data",IFERROR(INDEX(data!$A:$ALL,MATCH($M576,data!$A:$A,0),MATCH(X$2,data!$1:$1,0)),"#data"),IFERROR(W576*INDEX(indexy_SDcast!$A:$ALI,MATCH($R576,indexy_SDcast!$K:$K,0),MATCH(X$2,indexy_SDcast!$2:$2,0)),"#ekrk")),"#popis")</f>
        <v>103.19280580900397</v>
      </c>
      <c r="Y576" s="362">
        <f>IF($Q576="ekrk",IF($R576="data",IFERROR(INDEX(data!$A:$ALL,MATCH($M576,data!$A:$A,0),MATCH(Y$2,data!$1:$1,0)),"#data"),IFERROR(X576*INDEX(indexy_SDcast!$A:$ALI,MATCH($R576,indexy_SDcast!$K:$K,0),MATCH(Y$2,indexy_SDcast!$2:$2,0)),"#ekrk")),"#popis")</f>
        <v>139.6041772940514</v>
      </c>
    </row>
    <row r="577" spans="1:44" x14ac:dyDescent="0.25">
      <c r="A577" s="330">
        <v>311000</v>
      </c>
      <c r="B577" s="329">
        <v>1710.8664399999996</v>
      </c>
      <c r="C577" s="157"/>
      <c r="D577" s="330">
        <v>311000</v>
      </c>
      <c r="E577" s="329">
        <v>1710.8664399999996</v>
      </c>
      <c r="F577" s="157"/>
      <c r="G577" s="330">
        <v>311000</v>
      </c>
      <c r="H577" s="329">
        <v>1710.8664399999996</v>
      </c>
      <c r="I577" s="157"/>
      <c r="J577" s="330">
        <v>311000</v>
      </c>
      <c r="K577" s="329">
        <v>1710.8664399999996</v>
      </c>
      <c r="L577" s="157"/>
      <c r="M577" s="360">
        <f t="shared" si="57"/>
        <v>311000</v>
      </c>
      <c r="N577" s="237">
        <f t="shared" si="58"/>
        <v>1710.8664399999996</v>
      </c>
      <c r="O577" s="361"/>
      <c r="P577" s="361"/>
      <c r="Q577" s="361" t="s">
        <v>698</v>
      </c>
      <c r="R577" s="362">
        <v>35</v>
      </c>
      <c r="S577" s="236"/>
      <c r="T577" s="364">
        <f t="shared" si="56"/>
        <v>311000</v>
      </c>
      <c r="U577" s="365">
        <f t="shared" si="60"/>
        <v>1710.8664399999996</v>
      </c>
      <c r="V577" s="365">
        <f>IF($Q577="ekrk",IF($R577="data",IFERROR(INDEX(data!$A:$ALL,MATCH($M577,data!$A:$A,0),MATCH(V$2,data!$1:$1,0)),"#data"),IFERROR(U577*INDEX(indexy_SDcast!$A:$ALI,MATCH($R577,indexy_SDcast!$K:$K,0),MATCH(V$2,indexy_SDcast!$2:$2,0)),"#ekrk")),"#popis")</f>
        <v>2190.3062093942735</v>
      </c>
      <c r="W577" s="365">
        <f>IF($Q577="ekrk",IF($R577="data",IFERROR(INDEX(data!$A:$ALL,MATCH($M577,data!$A:$A,0),MATCH(W$2,data!$1:$1,0)),"#data"),IFERROR(V577*INDEX(indexy_SDcast!$A:$ALI,MATCH($R577,indexy_SDcast!$K:$K,0),MATCH(W$2,indexy_SDcast!$2:$2,0)),"#ekrk")),"#popis")</f>
        <v>2214.92811102308</v>
      </c>
      <c r="X577" s="365">
        <f>IF($Q577="ekrk",IF($R577="data",IFERROR(INDEX(data!$A:$ALL,MATCH($M577,data!$A:$A,0),MATCH(X$2,data!$1:$1,0)),"#data"),IFERROR(W577*INDEX(indexy_SDcast!$A:$ALI,MATCH($R577,indexy_SDcast!$K:$K,0),MATCH(X$2,indexy_SDcast!$2:$2,0)),"#ekrk")),"#popis")</f>
        <v>1422.7058907417754</v>
      </c>
      <c r="Y577" s="362">
        <f>IF($Q577="ekrk",IF($R577="data",IFERROR(INDEX(data!$A:$ALL,MATCH($M577,data!$A:$A,0),MATCH(Y$2,data!$1:$1,0)),"#data"),IFERROR(X577*INDEX(indexy_SDcast!$A:$ALI,MATCH($R577,indexy_SDcast!$K:$K,0),MATCH(Y$2,indexy_SDcast!$2:$2,0)),"#ekrk")),"#popis")</f>
        <v>1924.704768431407</v>
      </c>
    </row>
    <row r="578" spans="1:44" x14ac:dyDescent="0.25">
      <c r="A578" s="330">
        <v>321000</v>
      </c>
      <c r="B578" s="329">
        <v>3173.7879500000004</v>
      </c>
      <c r="C578" s="157"/>
      <c r="D578" s="330">
        <v>321000</v>
      </c>
      <c r="E578" s="329">
        <v>3173.7879500000004</v>
      </c>
      <c r="F578" s="157"/>
      <c r="G578" s="330">
        <v>321000</v>
      </c>
      <c r="H578" s="329">
        <v>3173.7879500000004</v>
      </c>
      <c r="I578" s="157"/>
      <c r="J578" s="330">
        <v>321000</v>
      </c>
      <c r="K578" s="329">
        <v>3173.7879500000004</v>
      </c>
      <c r="L578" s="157"/>
      <c r="M578" s="360">
        <f t="shared" si="57"/>
        <v>321000</v>
      </c>
      <c r="N578" s="237">
        <f t="shared" si="58"/>
        <v>3173.7879500000004</v>
      </c>
      <c r="O578" s="361"/>
      <c r="P578" s="361"/>
      <c r="Q578" s="361" t="s">
        <v>698</v>
      </c>
      <c r="R578" s="362">
        <v>35</v>
      </c>
      <c r="S578" s="236"/>
      <c r="T578" s="364">
        <f t="shared" si="56"/>
        <v>321000</v>
      </c>
      <c r="U578" s="365">
        <f t="shared" si="60"/>
        <v>3173.7879500000004</v>
      </c>
      <c r="V578" s="365">
        <f>IF($Q578="ekrk",IF($R578="data",IFERROR(INDEX(data!$A:$ALL,MATCH($M578,data!$A:$A,0),MATCH(V$2,data!$1:$1,0)),"#data"),IFERROR(U578*INDEX(indexy_SDcast!$A:$ALI,MATCH($R578,indexy_SDcast!$K:$K,0),MATCH(V$2,indexy_SDcast!$2:$2,0)),"#ekrk")),"#popis")</f>
        <v>4063.1853496323911</v>
      </c>
      <c r="W578" s="365">
        <f>IF($Q578="ekrk",IF($R578="data",IFERROR(INDEX(data!$A:$ALL,MATCH($M578,data!$A:$A,0),MATCH(W$2,data!$1:$1,0)),"#data"),IFERROR(V578*INDEX(indexy_SDcast!$A:$ALI,MATCH($R578,indexy_SDcast!$K:$K,0),MATCH(W$2,indexy_SDcast!$2:$2,0)),"#ekrk")),"#popis")</f>
        <v>4108.8608581750632</v>
      </c>
      <c r="X578" s="365">
        <f>IF($Q578="ekrk",IF($R578="data",IFERROR(INDEX(data!$A:$ALL,MATCH($M578,data!$A:$A,0),MATCH(X$2,data!$1:$1,0)),"#data"),IFERROR(W578*INDEX(indexy_SDcast!$A:$ALI,MATCH($R578,indexy_SDcast!$K:$K,0),MATCH(X$2,indexy_SDcast!$2:$2,0)),"#ekrk")),"#popis")</f>
        <v>2639.2281167373089</v>
      </c>
      <c r="Y578" s="362">
        <f>IF($Q578="ekrk",IF($R578="data",IFERROR(INDEX(data!$A:$ALL,MATCH($M578,data!$A:$A,0),MATCH(Y$2,data!$1:$1,0)),"#data"),IFERROR(X578*INDEX(indexy_SDcast!$A:$ALI,MATCH($R578,indexy_SDcast!$K:$K,0),MATCH(Y$2,indexy_SDcast!$2:$2,0)),"#ekrk")),"#popis")</f>
        <v>3570.4743856891255</v>
      </c>
    </row>
    <row r="579" spans="1:44" x14ac:dyDescent="0.25">
      <c r="A579" s="330">
        <v>322001</v>
      </c>
      <c r="B579" s="329">
        <v>51116.283080000001</v>
      </c>
      <c r="C579" s="157"/>
      <c r="D579" s="330">
        <v>322001</v>
      </c>
      <c r="E579" s="329">
        <v>51116.283080000001</v>
      </c>
      <c r="F579" s="157"/>
      <c r="G579" s="330">
        <v>322001</v>
      </c>
      <c r="H579" s="329">
        <v>51116.283080000001</v>
      </c>
      <c r="I579" s="157"/>
      <c r="J579" s="330">
        <v>322001</v>
      </c>
      <c r="K579" s="329">
        <v>51116.283080000001</v>
      </c>
      <c r="L579" s="157"/>
      <c r="M579" s="360">
        <f t="shared" si="57"/>
        <v>322001</v>
      </c>
      <c r="N579" s="237">
        <f t="shared" si="58"/>
        <v>51116.283080000001</v>
      </c>
      <c r="O579" s="361"/>
      <c r="P579" s="361"/>
      <c r="Q579" s="361" t="s">
        <v>698</v>
      </c>
      <c r="R579" s="362">
        <v>35</v>
      </c>
      <c r="S579" s="236"/>
      <c r="T579" s="364">
        <f t="shared" si="56"/>
        <v>322001</v>
      </c>
      <c r="U579" s="365">
        <f t="shared" si="60"/>
        <v>51116.283080000001</v>
      </c>
      <c r="V579" s="365">
        <f>IF($Q579="ekrk",IF($R579="data",IFERROR(INDEX(data!$A:$ALL,MATCH($M579,data!$A:$A,0),MATCH(V$2,data!$1:$1,0)),"#data"),IFERROR(U579*INDEX(indexy_SDcast!$A:$ALI,MATCH($R579,indexy_SDcast!$K:$K,0),MATCH(V$2,indexy_SDcast!$2:$2,0)),"#ekrk")),"#popis")</f>
        <v>65440.708645427323</v>
      </c>
      <c r="W579" s="365">
        <f>IF($Q579="ekrk",IF($R579="data",IFERROR(INDEX(data!$A:$ALL,MATCH($M579,data!$A:$A,0),MATCH(W$2,data!$1:$1,0)),"#data"),IFERROR(V579*INDEX(indexy_SDcast!$A:$ALI,MATCH($R579,indexy_SDcast!$K:$K,0),MATCH(W$2,indexy_SDcast!$2:$2,0)),"#ekrk")),"#popis")</f>
        <v>66176.347655112957</v>
      </c>
      <c r="X579" s="365">
        <f>IF($Q579="ekrk",IF($R579="data",IFERROR(INDEX(data!$A:$ALL,MATCH($M579,data!$A:$A,0),MATCH(X$2,data!$1:$1,0)),"#data"),IFERROR(W579*INDEX(indexy_SDcast!$A:$ALI,MATCH($R579,indexy_SDcast!$K:$K,0),MATCH(X$2,indexy_SDcast!$2:$2,0)),"#ekrk")),"#popis")</f>
        <v>42506.787993772414</v>
      </c>
      <c r="Y579" s="362">
        <f>IF($Q579="ekrk",IF($R579="data",IFERROR(INDEX(data!$A:$ALL,MATCH($M579,data!$A:$A,0),MATCH(Y$2,data!$1:$1,0)),"#data"),IFERROR(X579*INDEX(indexy_SDcast!$A:$ALI,MATCH($R579,indexy_SDcast!$K:$K,0),MATCH(Y$2,indexy_SDcast!$2:$2,0)),"#ekrk")),"#popis")</f>
        <v>57505.221616577888</v>
      </c>
    </row>
    <row r="580" spans="1:44" x14ac:dyDescent="0.25">
      <c r="A580" s="330">
        <v>322002</v>
      </c>
      <c r="B580" s="329">
        <v>1658.4593100000002</v>
      </c>
      <c r="C580" s="157"/>
      <c r="D580" s="330">
        <v>322002</v>
      </c>
      <c r="E580" s="329">
        <v>1658.4593100000002</v>
      </c>
      <c r="F580" s="157"/>
      <c r="G580" s="330">
        <v>322002</v>
      </c>
      <c r="H580" s="329">
        <v>1658.4593100000002</v>
      </c>
      <c r="I580" s="157"/>
      <c r="J580" s="330">
        <v>322002</v>
      </c>
      <c r="K580" s="329">
        <v>1658.4593100000002</v>
      </c>
      <c r="L580" s="157"/>
      <c r="M580" s="360">
        <f t="shared" si="57"/>
        <v>322002</v>
      </c>
      <c r="N580" s="237">
        <f t="shared" si="58"/>
        <v>1658.4593100000002</v>
      </c>
      <c r="O580" s="361"/>
      <c r="P580" s="361"/>
      <c r="Q580" s="361" t="s">
        <v>698</v>
      </c>
      <c r="R580" s="362">
        <v>35</v>
      </c>
      <c r="S580" s="236"/>
      <c r="T580" s="364">
        <f t="shared" si="56"/>
        <v>322002</v>
      </c>
      <c r="U580" s="365">
        <f t="shared" si="60"/>
        <v>1658.4593100000002</v>
      </c>
      <c r="V580" s="365">
        <f>IF($Q580="ekrk",IF($R580="data",IFERROR(INDEX(data!$A:$ALL,MATCH($M580,data!$A:$A,0),MATCH(V$2,data!$1:$1,0)),"#data"),IFERROR(U580*INDEX(indexy_SDcast!$A:$ALI,MATCH($R580,indexy_SDcast!$K:$K,0),MATCH(V$2,indexy_SDcast!$2:$2,0)),"#ekrk")),"#popis")</f>
        <v>2123.2129170297731</v>
      </c>
      <c r="W580" s="365">
        <f>IF($Q580="ekrk",IF($R580="data",IFERROR(INDEX(data!$A:$ALL,MATCH($M580,data!$A:$A,0),MATCH(W$2,data!$1:$1,0)),"#data"),IFERROR(V580*INDEX(indexy_SDcast!$A:$ALI,MATCH($R580,indexy_SDcast!$K:$K,0),MATCH(W$2,indexy_SDcast!$2:$2,0)),"#ekrk")),"#popis")</f>
        <v>2147.0806024501485</v>
      </c>
      <c r="X580" s="365">
        <f>IF($Q580="ekrk",IF($R580="data",IFERROR(INDEX(data!$A:$ALL,MATCH($M580,data!$A:$A,0),MATCH(X$2,data!$1:$1,0)),"#data"),IFERROR(W580*INDEX(indexy_SDcast!$A:$ALI,MATCH($R580,indexy_SDcast!$K:$K,0),MATCH(X$2,indexy_SDcast!$2:$2,0)),"#ekrk")),"#popis")</f>
        <v>1379.1256726577326</v>
      </c>
      <c r="Y580" s="362">
        <f>IF($Q580="ekrk",IF($R580="data",IFERROR(INDEX(data!$A:$ALL,MATCH($M580,data!$A:$A,0),MATCH(Y$2,data!$1:$1,0)),"#data"),IFERROR(X580*INDEX(indexy_SDcast!$A:$ALI,MATCH($R580,indexy_SDcast!$K:$K,0),MATCH(Y$2,indexy_SDcast!$2:$2,0)),"#ekrk")),"#popis")</f>
        <v>1865.7473591021292</v>
      </c>
    </row>
    <row r="581" spans="1:44" x14ac:dyDescent="0.25">
      <c r="A581" s="330">
        <v>322006</v>
      </c>
      <c r="B581" s="329">
        <v>57.301270000000002</v>
      </c>
      <c r="C581" s="157"/>
      <c r="D581" s="330">
        <v>322006</v>
      </c>
      <c r="E581" s="329">
        <v>57.301270000000002</v>
      </c>
      <c r="F581" s="157"/>
      <c r="G581" s="330">
        <v>322006</v>
      </c>
      <c r="H581" s="329">
        <v>57.301270000000002</v>
      </c>
      <c r="I581" s="157"/>
      <c r="J581" s="330">
        <v>322006</v>
      </c>
      <c r="K581" s="329">
        <v>57.301270000000002</v>
      </c>
      <c r="L581" s="157"/>
      <c r="M581" s="360">
        <f t="shared" si="57"/>
        <v>322006</v>
      </c>
      <c r="N581" s="237">
        <f t="shared" si="58"/>
        <v>57.301270000000002</v>
      </c>
      <c r="O581" s="361"/>
      <c r="P581" s="361"/>
      <c r="Q581" s="361" t="s">
        <v>698</v>
      </c>
      <c r="R581" s="362">
        <v>35</v>
      </c>
      <c r="S581" s="236"/>
      <c r="T581" s="364">
        <f t="shared" si="56"/>
        <v>322006</v>
      </c>
      <c r="U581" s="365">
        <f t="shared" si="60"/>
        <v>57.301270000000002</v>
      </c>
      <c r="V581" s="365">
        <f>IF($Q581="ekrk",IF($R581="data",IFERROR(INDEX(data!$A:$ALL,MATCH($M581,data!$A:$A,0),MATCH(V$2,data!$1:$1,0)),"#data"),IFERROR(U581*INDEX(indexy_SDcast!$A:$ALI,MATCH($R581,indexy_SDcast!$K:$K,0),MATCH(V$2,indexy_SDcast!$2:$2,0)),"#ekrk")),"#popis")</f>
        <v>73.35892770634851</v>
      </c>
      <c r="W581" s="365">
        <f>IF($Q581="ekrk",IF($R581="data",IFERROR(INDEX(data!$A:$ALL,MATCH($M581,data!$A:$A,0),MATCH(W$2,data!$1:$1,0)),"#data"),IFERROR(V581*INDEX(indexy_SDcast!$A:$ALI,MATCH($R581,indexy_SDcast!$K:$K,0),MATCH(W$2,indexy_SDcast!$2:$2,0)),"#ekrk")),"#popis")</f>
        <v>74.183577836925423</v>
      </c>
      <c r="X581" s="365">
        <f>IF($Q581="ekrk",IF($R581="data",IFERROR(INDEX(data!$A:$ALL,MATCH($M581,data!$A:$A,0),MATCH(X$2,data!$1:$1,0)),"#data"),IFERROR(W581*INDEX(indexy_SDcast!$A:$ALI,MATCH($R581,indexy_SDcast!$K:$K,0),MATCH(X$2,indexy_SDcast!$2:$2,0)),"#ekrk")),"#popis")</f>
        <v>47.650040044028792</v>
      </c>
      <c r="Y581" s="362">
        <f>IF($Q581="ekrk",IF($R581="data",IFERROR(INDEX(data!$A:$ALL,MATCH($M581,data!$A:$A,0),MATCH(Y$2,data!$1:$1,0)),"#data"),IFERROR(X581*INDEX(indexy_SDcast!$A:$ALI,MATCH($R581,indexy_SDcast!$K:$K,0),MATCH(Y$2,indexy_SDcast!$2:$2,0)),"#ekrk")),"#popis")</f>
        <v>64.463259683891835</v>
      </c>
    </row>
    <row r="582" spans="1:44" x14ac:dyDescent="0.25">
      <c r="A582" s="330">
        <v>322008</v>
      </c>
      <c r="B582" s="329">
        <v>2428.9809</v>
      </c>
      <c r="C582" s="157"/>
      <c r="D582" s="330">
        <v>322008</v>
      </c>
      <c r="E582" s="329">
        <v>2428.9809</v>
      </c>
      <c r="F582" s="157"/>
      <c r="G582" s="330">
        <v>322008</v>
      </c>
      <c r="H582" s="329">
        <v>2428.9809</v>
      </c>
      <c r="I582" s="157"/>
      <c r="J582" s="330">
        <v>322008</v>
      </c>
      <c r="K582" s="329">
        <v>2428.9809</v>
      </c>
      <c r="L582" s="157"/>
      <c r="M582" s="360">
        <f t="shared" si="57"/>
        <v>322008</v>
      </c>
      <c r="N582" s="237">
        <f t="shared" si="58"/>
        <v>2428.9809</v>
      </c>
      <c r="O582" s="361"/>
      <c r="P582" s="361"/>
      <c r="Q582" s="361" t="s">
        <v>698</v>
      </c>
      <c r="R582" s="362">
        <v>35</v>
      </c>
      <c r="S582" s="236"/>
      <c r="T582" s="364">
        <f t="shared" si="56"/>
        <v>322008</v>
      </c>
      <c r="U582" s="365">
        <f t="shared" si="60"/>
        <v>2428.9809</v>
      </c>
      <c r="V582" s="365">
        <f>IF($Q582="ekrk",IF($R582="data",IFERROR(INDEX(data!$A:$ALL,MATCH($M582,data!$A:$A,0),MATCH(V$2,data!$1:$1,0)),"#data"),IFERROR(U582*INDEX(indexy_SDcast!$A:$ALI,MATCH($R582,indexy_SDcast!$K:$K,0),MATCH(V$2,indexy_SDcast!$2:$2,0)),"#ekrk")),"#popis")</f>
        <v>3109.6594236602664</v>
      </c>
      <c r="W582" s="365">
        <f>IF($Q582="ekrk",IF($R582="data",IFERROR(INDEX(data!$A:$ALL,MATCH($M582,data!$A:$A,0),MATCH(W$2,data!$1:$1,0)),"#data"),IFERROR(V582*INDEX(indexy_SDcast!$A:$ALI,MATCH($R582,indexy_SDcast!$K:$K,0),MATCH(W$2,indexy_SDcast!$2:$2,0)),"#ekrk")),"#popis")</f>
        <v>3144.6160557969338</v>
      </c>
      <c r="X582" s="365">
        <f>IF($Q582="ekrk",IF($R582="data",IFERROR(INDEX(data!$A:$ALL,MATCH($M582,data!$A:$A,0),MATCH(X$2,data!$1:$1,0)),"#data"),IFERROR(W582*INDEX(indexy_SDcast!$A:$ALI,MATCH($R582,indexy_SDcast!$K:$K,0),MATCH(X$2,indexy_SDcast!$2:$2,0)),"#ekrk")),"#popis")</f>
        <v>2019.8686198609751</v>
      </c>
      <c r="Y582" s="362">
        <f>IF($Q582="ekrk",IF($R582="data",IFERROR(INDEX(data!$A:$ALL,MATCH($M582,data!$A:$A,0),MATCH(Y$2,data!$1:$1,0)),"#data"),IFERROR(X582*INDEX(indexy_SDcast!$A:$ALI,MATCH($R582,indexy_SDcast!$K:$K,0),MATCH(Y$2,indexy_SDcast!$2:$2,0)),"#ekrk")),"#popis")</f>
        <v>2732.575151020445</v>
      </c>
    </row>
    <row r="583" spans="1:44" x14ac:dyDescent="0.25">
      <c r="A583" s="330">
        <v>324000</v>
      </c>
      <c r="B583" s="329">
        <v>3.3016900000000002</v>
      </c>
      <c r="C583" s="157"/>
      <c r="D583" s="330">
        <v>324000</v>
      </c>
      <c r="E583" s="329">
        <v>3.3016900000000002</v>
      </c>
      <c r="F583" s="157"/>
      <c r="G583" s="330">
        <v>324000</v>
      </c>
      <c r="H583" s="329">
        <v>3.3016900000000002</v>
      </c>
      <c r="I583" s="157"/>
      <c r="J583" s="330">
        <v>324000</v>
      </c>
      <c r="K583" s="329">
        <v>3.3016900000000002</v>
      </c>
      <c r="L583" s="157"/>
      <c r="M583" s="360">
        <f t="shared" si="57"/>
        <v>324000</v>
      </c>
      <c r="N583" s="237">
        <f t="shared" si="58"/>
        <v>3.3016900000000002</v>
      </c>
      <c r="O583" s="361"/>
      <c r="P583" s="361"/>
      <c r="Q583" s="361" t="s">
        <v>698</v>
      </c>
      <c r="R583" s="362">
        <v>35</v>
      </c>
      <c r="S583" s="236"/>
      <c r="T583" s="364">
        <f t="shared" si="56"/>
        <v>324000</v>
      </c>
      <c r="U583" s="365">
        <f t="shared" si="60"/>
        <v>3.3016900000000002</v>
      </c>
      <c r="V583" s="365">
        <f>IF($Q583="ekrk",IF($R583="data",IFERROR(INDEX(data!$A:$ALL,MATCH($M583,data!$A:$A,0),MATCH(V$2,data!$1:$1,0)),"#data"),IFERROR(U583*INDEX(indexy_SDcast!$A:$ALI,MATCH($R583,indexy_SDcast!$K:$K,0),MATCH(V$2,indexy_SDcast!$2:$2,0)),"#ekrk")),"#popis")</f>
        <v>4.2269296652373294</v>
      </c>
      <c r="W583" s="365">
        <f>IF($Q583="ekrk",IF($R583="data",IFERROR(INDEX(data!$A:$ALL,MATCH($M583,data!$A:$A,0),MATCH(W$2,data!$1:$1,0)),"#data"),IFERROR(V583*INDEX(indexy_SDcast!$A:$ALI,MATCH($R583,indexy_SDcast!$K:$K,0),MATCH(W$2,indexy_SDcast!$2:$2,0)),"#ekrk")),"#popis")</f>
        <v>4.2744458736847948</v>
      </c>
      <c r="X583" s="365">
        <f>IF($Q583="ekrk",IF($R583="data",IFERROR(INDEX(data!$A:$ALL,MATCH($M583,data!$A:$A,0),MATCH(X$2,data!$1:$1,0)),"#data"),IFERROR(W583*INDEX(indexy_SDcast!$A:$ALI,MATCH($R583,indexy_SDcast!$K:$K,0),MATCH(X$2,indexy_SDcast!$2:$2,0)),"#ekrk")),"#popis")</f>
        <v>2.7455876756827453</v>
      </c>
      <c r="Y583" s="362">
        <f>IF($Q583="ekrk",IF($R583="data",IFERROR(INDEX(data!$A:$ALL,MATCH($M583,data!$A:$A,0),MATCH(Y$2,data!$1:$1,0)),"#data"),IFERROR(X583*INDEX(indexy_SDcast!$A:$ALI,MATCH($R583,indexy_SDcast!$K:$K,0),MATCH(Y$2,indexy_SDcast!$2:$2,0)),"#ekrk")),"#popis")</f>
        <v>3.7143626985180052</v>
      </c>
    </row>
    <row r="584" spans="1:44" s="18" customFormat="1" x14ac:dyDescent="0.25">
      <c r="A584" s="333" t="s">
        <v>741</v>
      </c>
      <c r="B584" s="334">
        <v>-127251.23868999998</v>
      </c>
      <c r="C584" s="164"/>
      <c r="D584" s="333" t="s">
        <v>741</v>
      </c>
      <c r="E584" s="334">
        <v>-127251.23868999998</v>
      </c>
      <c r="F584" s="164"/>
      <c r="G584" s="333" t="s">
        <v>741</v>
      </c>
      <c r="H584" s="334">
        <v>-127251.23868999998</v>
      </c>
      <c r="I584" s="164"/>
      <c r="J584" s="333" t="s">
        <v>741</v>
      </c>
      <c r="K584" s="334">
        <v>-127251.23868999998</v>
      </c>
      <c r="L584" s="164"/>
      <c r="M584" s="358" t="str">
        <f t="shared" si="57"/>
        <v>D92PAY</v>
      </c>
      <c r="N584" s="239">
        <f t="shared" si="58"/>
        <v>-127251.23868999998</v>
      </c>
      <c r="O584" s="243"/>
      <c r="P584" s="243">
        <f>MATCH(Q584,Q585:Q$1550,0)</f>
        <v>10</v>
      </c>
      <c r="Q584" s="243" t="s">
        <v>697</v>
      </c>
      <c r="R584" s="359" t="str">
        <f>IF(Q584="ekrk",INDEX(indexy_SDcast!$A:$C,MATCH($M584,indexy_SDcast!$A:$A,0),2),"")</f>
        <v/>
      </c>
      <c r="S584" s="240"/>
      <c r="T584" s="363" t="str">
        <f t="shared" si="56"/>
        <v>D92PAY</v>
      </c>
      <c r="U584" s="244">
        <f>SUM(U585:U593)</f>
        <v>-127251.23868999998</v>
      </c>
      <c r="V584" s="244">
        <f>SUM(V585:V593)</f>
        <v>-162911.12604664793</v>
      </c>
      <c r="W584" s="244">
        <f>SUM(W585:W593)</f>
        <v>-164742.45981292889</v>
      </c>
      <c r="X584" s="244">
        <f>SUM(X585:X593)</f>
        <v>-105818.36352371883</v>
      </c>
      <c r="Y584" s="359">
        <f>SUM(Y585:Y593)</f>
        <v>-143156.15770418997</v>
      </c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8"/>
      <c r="AN584" s="58"/>
      <c r="AO584" s="58"/>
      <c r="AP584" s="58"/>
      <c r="AQ584" s="58"/>
      <c r="AR584" s="58"/>
    </row>
    <row r="585" spans="1:44" x14ac:dyDescent="0.25">
      <c r="A585" s="330">
        <v>722001</v>
      </c>
      <c r="B585" s="329">
        <v>-94.884209999999996</v>
      </c>
      <c r="C585" s="157"/>
      <c r="D585" s="330">
        <v>722001</v>
      </c>
      <c r="E585" s="329">
        <v>-94.884209999999996</v>
      </c>
      <c r="F585" s="157"/>
      <c r="G585" s="330">
        <v>722001</v>
      </c>
      <c r="H585" s="329">
        <v>-94.884209999999996</v>
      </c>
      <c r="I585" s="157"/>
      <c r="J585" s="330">
        <v>722001</v>
      </c>
      <c r="K585" s="329">
        <v>-94.884209999999996</v>
      </c>
      <c r="L585" s="157"/>
      <c r="M585" s="360">
        <f t="shared" si="57"/>
        <v>722001</v>
      </c>
      <c r="N585" s="237">
        <f t="shared" si="58"/>
        <v>-94.884209999999996</v>
      </c>
      <c r="O585" s="361"/>
      <c r="P585" s="361"/>
      <c r="Q585" s="361" t="s">
        <v>698</v>
      </c>
      <c r="R585" s="362">
        <v>35</v>
      </c>
      <c r="S585" s="236"/>
      <c r="T585" s="364">
        <f t="shared" si="56"/>
        <v>722001</v>
      </c>
      <c r="U585" s="365">
        <f t="shared" ref="U585:U592" si="61">N585</f>
        <v>-94.884209999999996</v>
      </c>
      <c r="V585" s="365">
        <f>IF($Q585="ekrk",IF($R585="data",IFERROR(INDEX(data!$A:$ALL,MATCH($M585,data!$A:$A,0),MATCH(V$2,data!$1:$1,0)),"#data"),IFERROR(U585*INDEX(indexy_SDcast!$A:$ALI,MATCH($R585,indexy_SDcast!$K:$K,0),MATCH(V$2,indexy_SDcast!$2:$2,0)),"#ekrk")),"#popis")</f>
        <v>-121.47381553435009</v>
      </c>
      <c r="W585" s="365">
        <f>IF($Q585="ekrk",IF($R585="data",IFERROR(INDEX(data!$A:$ALL,MATCH($M585,data!$A:$A,0),MATCH(W$2,data!$1:$1,0)),"#data"),IFERROR(V585*INDEX(indexy_SDcast!$A:$ALI,MATCH($R585,indexy_SDcast!$K:$K,0),MATCH(W$2,indexy_SDcast!$2:$2,0)),"#ekrk")),"#popis")</f>
        <v>-122.83933982667709</v>
      </c>
      <c r="X585" s="365">
        <f>IF($Q585="ekrk",IF($R585="data",IFERROR(INDEX(data!$A:$ALL,MATCH($M585,data!$A:$A,0),MATCH(X$2,data!$1:$1,0)),"#data"),IFERROR(W585*INDEX(indexy_SDcast!$A:$ALI,MATCH($R585,indexy_SDcast!$K:$K,0),MATCH(X$2,indexy_SDcast!$2:$2,0)),"#ekrk")),"#popis")</f>
        <v>-78.902900512432566</v>
      </c>
      <c r="Y585" s="362">
        <f>IF($Q585="ekrk",IF($R585="data",IFERROR(INDEX(data!$A:$ALL,MATCH($M585,data!$A:$A,0),MATCH(Y$2,data!$1:$1,0)),"#data"),IFERROR(X585*INDEX(indexy_SDcast!$A:$ALI,MATCH($R585,indexy_SDcast!$K:$K,0),MATCH(Y$2,indexy_SDcast!$2:$2,0)),"#ekrk")),"#popis")</f>
        <v>-106.74362835467566</v>
      </c>
    </row>
    <row r="586" spans="1:44" x14ac:dyDescent="0.25">
      <c r="A586" s="330">
        <v>722002</v>
      </c>
      <c r="B586" s="329">
        <v>-572.20926000000009</v>
      </c>
      <c r="C586" s="157"/>
      <c r="D586" s="330">
        <v>722002</v>
      </c>
      <c r="E586" s="329">
        <v>-572.20926000000009</v>
      </c>
      <c r="F586" s="157"/>
      <c r="G586" s="330">
        <v>722002</v>
      </c>
      <c r="H586" s="329">
        <v>-572.20926000000009</v>
      </c>
      <c r="I586" s="157"/>
      <c r="J586" s="330">
        <v>722002</v>
      </c>
      <c r="K586" s="329">
        <v>-572.20926000000009</v>
      </c>
      <c r="L586" s="157"/>
      <c r="M586" s="360">
        <f t="shared" si="57"/>
        <v>722002</v>
      </c>
      <c r="N586" s="237">
        <f t="shared" si="58"/>
        <v>-572.20926000000009</v>
      </c>
      <c r="O586" s="361"/>
      <c r="P586" s="361"/>
      <c r="Q586" s="361" t="s">
        <v>698</v>
      </c>
      <c r="R586" s="362">
        <v>35</v>
      </c>
      <c r="S586" s="236"/>
      <c r="T586" s="364">
        <f t="shared" si="56"/>
        <v>722002</v>
      </c>
      <c r="U586" s="365">
        <f t="shared" si="61"/>
        <v>-572.20926000000009</v>
      </c>
      <c r="V586" s="365">
        <f>IF($Q586="ekrk",IF($R586="data",IFERROR(INDEX(data!$A:$ALL,MATCH($M586,data!$A:$A,0),MATCH(V$2,data!$1:$1,0)),"#data"),IFERROR(U586*INDEX(indexy_SDcast!$A:$ALI,MATCH($R586,indexy_SDcast!$K:$K,0),MATCH(V$2,indexy_SDcast!$2:$2,0)),"#ekrk")),"#popis")</f>
        <v>-732.56068735026599</v>
      </c>
      <c r="W586" s="365">
        <f>IF($Q586="ekrk",IF($R586="data",IFERROR(INDEX(data!$A:$ALL,MATCH($M586,data!$A:$A,0),MATCH(W$2,data!$1:$1,0)),"#data"),IFERROR(V586*INDEX(indexy_SDcast!$A:$ALI,MATCH($R586,indexy_SDcast!$K:$K,0),MATCH(W$2,indexy_SDcast!$2:$2,0)),"#ekrk")),"#popis")</f>
        <v>-740.79562596465132</v>
      </c>
      <c r="X586" s="365">
        <f>IF($Q586="ekrk",IF($R586="data",IFERROR(INDEX(data!$A:$ALL,MATCH($M586,data!$A:$A,0),MATCH(X$2,data!$1:$1,0)),"#data"),IFERROR(W586*INDEX(indexy_SDcast!$A:$ALI,MATCH($R586,indexy_SDcast!$K:$K,0),MATCH(X$2,indexy_SDcast!$2:$2,0)),"#ekrk")),"#popis")</f>
        <v>-475.83228351769657</v>
      </c>
      <c r="Y586" s="362">
        <f>IF($Q586="ekrk",IF($R586="data",IFERROR(INDEX(data!$A:$ALL,MATCH($M586,data!$A:$A,0),MATCH(Y$2,data!$1:$1,0)),"#data"),IFERROR(X586*INDEX(indexy_SDcast!$A:$ALI,MATCH($R586,indexy_SDcast!$K:$K,0),MATCH(Y$2,indexy_SDcast!$2:$2,0)),"#ekrk")),"#popis")</f>
        <v>-643.7287362201148</v>
      </c>
    </row>
    <row r="587" spans="1:44" x14ac:dyDescent="0.25">
      <c r="A587" s="330">
        <v>722003</v>
      </c>
      <c r="B587" s="329">
        <v>-3141.4315700000002</v>
      </c>
      <c r="C587" s="157"/>
      <c r="D587" s="330">
        <v>722003</v>
      </c>
      <c r="E587" s="329">
        <v>-3141.4315700000002</v>
      </c>
      <c r="F587" s="157"/>
      <c r="G587" s="330">
        <v>722003</v>
      </c>
      <c r="H587" s="329">
        <v>-3141.4315700000002</v>
      </c>
      <c r="I587" s="157"/>
      <c r="J587" s="330">
        <v>722003</v>
      </c>
      <c r="K587" s="329">
        <v>-3141.4315700000002</v>
      </c>
      <c r="L587" s="157"/>
      <c r="M587" s="360">
        <f t="shared" si="57"/>
        <v>722003</v>
      </c>
      <c r="N587" s="237">
        <f t="shared" si="58"/>
        <v>-3141.4315700000002</v>
      </c>
      <c r="O587" s="361"/>
      <c r="P587" s="361"/>
      <c r="Q587" s="361" t="s">
        <v>698</v>
      </c>
      <c r="R587" s="362">
        <v>35</v>
      </c>
      <c r="S587" s="236"/>
      <c r="T587" s="364">
        <f t="shared" si="56"/>
        <v>722003</v>
      </c>
      <c r="U587" s="365">
        <f t="shared" si="61"/>
        <v>-3141.4315700000002</v>
      </c>
      <c r="V587" s="365">
        <f>IF($Q587="ekrk",IF($R587="data",IFERROR(INDEX(data!$A:$ALL,MATCH($M587,data!$A:$A,0),MATCH(V$2,data!$1:$1,0)),"#data"),IFERROR(U587*INDEX(indexy_SDcast!$A:$ALI,MATCH($R587,indexy_SDcast!$K:$K,0),MATCH(V$2,indexy_SDcast!$2:$2,0)),"#ekrk")),"#popis")</f>
        <v>-4021.7616719153152</v>
      </c>
      <c r="W587" s="365">
        <f>IF($Q587="ekrk",IF($R587="data",IFERROR(INDEX(data!$A:$ALL,MATCH($M587,data!$A:$A,0),MATCH(W$2,data!$1:$1,0)),"#data"),IFERROR(V587*INDEX(indexy_SDcast!$A:$ALI,MATCH($R587,indexy_SDcast!$K:$K,0),MATCH(W$2,indexy_SDcast!$2:$2,0)),"#ekrk")),"#popis")</f>
        <v>-4066.9715242344514</v>
      </c>
      <c r="X587" s="365">
        <f>IF($Q587="ekrk",IF($R587="data",IFERROR(INDEX(data!$A:$ALL,MATCH($M587,data!$A:$A,0),MATCH(X$2,data!$1:$1,0)),"#data"),IFERROR(W587*INDEX(indexy_SDcast!$A:$ALI,MATCH($R587,indexy_SDcast!$K:$K,0),MATCH(X$2,indexy_SDcast!$2:$2,0)),"#ekrk")),"#popis")</f>
        <v>-2612.3215088614306</v>
      </c>
      <c r="Y587" s="362">
        <f>IF($Q587="ekrk",IF($R587="data",IFERROR(INDEX(data!$A:$ALL,MATCH($M587,data!$A:$A,0),MATCH(Y$2,data!$1:$1,0)),"#data"),IFERROR(X587*INDEX(indexy_SDcast!$A:$ALI,MATCH($R587,indexy_SDcast!$K:$K,0),MATCH(Y$2,indexy_SDcast!$2:$2,0)),"#ekrk")),"#popis")</f>
        <v>-3534.0738359915235</v>
      </c>
    </row>
    <row r="588" spans="1:44" x14ac:dyDescent="0.25">
      <c r="A588" s="330">
        <v>723001</v>
      </c>
      <c r="B588" s="329">
        <v>-79387.582339999994</v>
      </c>
      <c r="C588" s="157"/>
      <c r="D588" s="330">
        <v>723001</v>
      </c>
      <c r="E588" s="329">
        <v>-79387.582339999994</v>
      </c>
      <c r="F588" s="157"/>
      <c r="G588" s="330">
        <v>723001</v>
      </c>
      <c r="H588" s="349">
        <f>E588+E593</f>
        <v>-80400.131909999967</v>
      </c>
      <c r="I588" s="157"/>
      <c r="J588" s="330">
        <v>723001</v>
      </c>
      <c r="K588" s="329">
        <f>H588+H593</f>
        <v>-80400.131909999967</v>
      </c>
      <c r="L588" s="157"/>
      <c r="M588" s="360">
        <f t="shared" si="57"/>
        <v>723001</v>
      </c>
      <c r="N588" s="237">
        <f t="shared" si="58"/>
        <v>-80400.131909999967</v>
      </c>
      <c r="O588" s="361"/>
      <c r="P588" s="361"/>
      <c r="Q588" s="361" t="s">
        <v>698</v>
      </c>
      <c r="R588" s="362">
        <v>35</v>
      </c>
      <c r="S588" s="236"/>
      <c r="T588" s="364">
        <f t="shared" si="56"/>
        <v>723001</v>
      </c>
      <c r="U588" s="365">
        <f t="shared" si="61"/>
        <v>-80400.131909999967</v>
      </c>
      <c r="V588" s="365">
        <f>IF($Q588="ekrk",IF($R588="data",IFERROR(INDEX(data!$A:$ALL,MATCH($M588,data!$A:$A,0),MATCH(V$2,data!$1:$1,0)),"#data"),IFERROR(U588*INDEX(indexy_SDcast!$A:$ALI,MATCH($R588,indexy_SDcast!$K:$K,0),MATCH(V$2,indexy_SDcast!$2:$2,0)),"#ekrk")),"#popis")</f>
        <v>-102930.83319735446</v>
      </c>
      <c r="W588" s="365">
        <f>IF($Q588="ekrk",IF($R588="data",IFERROR(INDEX(data!$A:$ALL,MATCH($M588,data!$A:$A,0),MATCH(W$2,data!$1:$1,0)),"#data"),IFERROR(V588*INDEX(indexy_SDcast!$A:$ALI,MATCH($R588,indexy_SDcast!$K:$K,0),MATCH(W$2,indexy_SDcast!$2:$2,0)),"#ekrk")),"#popis")</f>
        <v>-104087.91015704458</v>
      </c>
      <c r="X588" s="365">
        <f>IF($Q588="ekrk",IF($R588="data",IFERROR(INDEX(data!$A:$ALL,MATCH($M588,data!$A:$A,0),MATCH(X$2,data!$1:$1,0)),"#data"),IFERROR(W588*INDEX(indexy_SDcast!$A:$ALI,MATCH($R588,indexy_SDcast!$K:$K,0),MATCH(X$2,indexy_SDcast!$2:$2,0)),"#ekrk")),"#popis")</f>
        <v>-66858.369894012736</v>
      </c>
      <c r="Y588" s="362">
        <f>IF($Q588="ekrk",IF($R588="data",IFERROR(INDEX(data!$A:$ALL,MATCH($M588,data!$A:$A,0),MATCH(Y$2,data!$1:$1,0)),"#data"),IFERROR(X588*INDEX(indexy_SDcast!$A:$ALI,MATCH($R588,indexy_SDcast!$K:$K,0),MATCH(Y$2,indexy_SDcast!$2:$2,0)),"#ekrk")),"#popis")</f>
        <v>-90449.209623686969</v>
      </c>
    </row>
    <row r="589" spans="1:44" x14ac:dyDescent="0.25">
      <c r="A589" s="330">
        <v>723002</v>
      </c>
      <c r="B589" s="329">
        <v>-35062.592730000004</v>
      </c>
      <c r="C589" s="157"/>
      <c r="D589" s="330">
        <v>723002</v>
      </c>
      <c r="E589" s="329">
        <v>-35062.592730000004</v>
      </c>
      <c r="F589" s="157"/>
      <c r="G589" s="330">
        <v>723002</v>
      </c>
      <c r="H589" s="329">
        <v>-35062.592730000004</v>
      </c>
      <c r="I589" s="157"/>
      <c r="J589" s="330">
        <v>723002</v>
      </c>
      <c r="K589" s="329">
        <v>-35062.592730000004</v>
      </c>
      <c r="L589" s="157"/>
      <c r="M589" s="360">
        <f t="shared" si="57"/>
        <v>723002</v>
      </c>
      <c r="N589" s="237">
        <f t="shared" si="58"/>
        <v>-35062.592730000004</v>
      </c>
      <c r="O589" s="361"/>
      <c r="P589" s="361"/>
      <c r="Q589" s="361" t="s">
        <v>698</v>
      </c>
      <c r="R589" s="362">
        <v>35</v>
      </c>
      <c r="S589" s="236"/>
      <c r="T589" s="364">
        <f t="shared" si="56"/>
        <v>723002</v>
      </c>
      <c r="U589" s="365">
        <f t="shared" si="61"/>
        <v>-35062.592730000004</v>
      </c>
      <c r="V589" s="365">
        <f>IF($Q589="ekrk",IF($R589="data",IFERROR(INDEX(data!$A:$ALL,MATCH($M589,data!$A:$A,0),MATCH(V$2,data!$1:$1,0)),"#data"),IFERROR(U589*INDEX(indexy_SDcast!$A:$ALI,MATCH($R589,indexy_SDcast!$K:$K,0),MATCH(V$2,indexy_SDcast!$2:$2,0)),"#ekrk")),"#popis")</f>
        <v>-44888.258240650001</v>
      </c>
      <c r="W589" s="365">
        <f>IF($Q589="ekrk",IF($R589="data",IFERROR(INDEX(data!$A:$ALL,MATCH($M589,data!$A:$A,0),MATCH(W$2,data!$1:$1,0)),"#data"),IFERROR(V589*INDEX(indexy_SDcast!$A:$ALI,MATCH($R589,indexy_SDcast!$K:$K,0),MATCH(W$2,indexy_SDcast!$2:$2,0)),"#ekrk")),"#popis")</f>
        <v>-45392.860872898113</v>
      </c>
      <c r="X589" s="365">
        <f>IF($Q589="ekrk",IF($R589="data",IFERROR(INDEX(data!$A:$ALL,MATCH($M589,data!$A:$A,0),MATCH(X$2,data!$1:$1,0)),"#data"),IFERROR(W589*INDEX(indexy_SDcast!$A:$ALI,MATCH($R589,indexy_SDcast!$K:$K,0),MATCH(X$2,indexy_SDcast!$2:$2,0)),"#ekrk")),"#popis")</f>
        <v>-29157.014279648127</v>
      </c>
      <c r="Y589" s="362">
        <f>IF($Q589="ekrk",IF($R589="data",IFERROR(INDEX(data!$A:$ALL,MATCH($M589,data!$A:$A,0),MATCH(Y$2,data!$1:$1,0)),"#data"),IFERROR(X589*INDEX(indexy_SDcast!$A:$ALI,MATCH($R589,indexy_SDcast!$K:$K,0),MATCH(Y$2,indexy_SDcast!$2:$2,0)),"#ekrk")),"#popis")</f>
        <v>-39445.007420333401</v>
      </c>
    </row>
    <row r="590" spans="1:44" x14ac:dyDescent="0.25">
      <c r="A590" s="330">
        <v>723003</v>
      </c>
      <c r="B590" s="329">
        <v>-3020.1077299999993</v>
      </c>
      <c r="C590" s="157"/>
      <c r="D590" s="330">
        <v>723003</v>
      </c>
      <c r="E590" s="329">
        <v>-3020.1077299999993</v>
      </c>
      <c r="F590" s="157"/>
      <c r="G590" s="330">
        <v>723003</v>
      </c>
      <c r="H590" s="329">
        <v>-3020.1077299999993</v>
      </c>
      <c r="I590" s="157"/>
      <c r="J590" s="330">
        <v>723003</v>
      </c>
      <c r="K590" s="329">
        <v>-3020.1077299999993</v>
      </c>
      <c r="L590" s="157"/>
      <c r="M590" s="360">
        <f t="shared" si="57"/>
        <v>723003</v>
      </c>
      <c r="N590" s="237">
        <f t="shared" si="58"/>
        <v>-3020.1077299999993</v>
      </c>
      <c r="O590" s="361"/>
      <c r="P590" s="361"/>
      <c r="Q590" s="361" t="s">
        <v>698</v>
      </c>
      <c r="R590" s="362">
        <v>35</v>
      </c>
      <c r="S590" s="236"/>
      <c r="T590" s="364">
        <f t="shared" si="56"/>
        <v>723003</v>
      </c>
      <c r="U590" s="365">
        <f t="shared" si="61"/>
        <v>-3020.1077299999993</v>
      </c>
      <c r="V590" s="365">
        <f>IF($Q590="ekrk",IF($R590="data",IFERROR(INDEX(data!$A:$ALL,MATCH($M590,data!$A:$A,0),MATCH(V$2,data!$1:$1,0)),"#data"),IFERROR(U590*INDEX(indexy_SDcast!$A:$ALI,MATCH($R590,indexy_SDcast!$K:$K,0),MATCH(V$2,indexy_SDcast!$2:$2,0)),"#ekrk")),"#popis")</f>
        <v>-3866.4389921978031</v>
      </c>
      <c r="W590" s="365">
        <f>IF($Q590="ekrk",IF($R590="data",IFERROR(INDEX(data!$A:$ALL,MATCH($M590,data!$A:$A,0),MATCH(W$2,data!$1:$1,0)),"#data"),IFERROR(V590*INDEX(indexy_SDcast!$A:$ALI,MATCH($R590,indexy_SDcast!$K:$K,0),MATCH(W$2,indexy_SDcast!$2:$2,0)),"#ekrk")),"#popis")</f>
        <v>-3909.9028147954673</v>
      </c>
      <c r="X590" s="365">
        <f>IF($Q590="ekrk",IF($R590="data",IFERROR(INDEX(data!$A:$ALL,MATCH($M590,data!$A:$A,0),MATCH(X$2,data!$1:$1,0)),"#data"),IFERROR(W590*INDEX(indexy_SDcast!$A:$ALI,MATCH($R590,indexy_SDcast!$K:$K,0),MATCH(X$2,indexy_SDcast!$2:$2,0)),"#ekrk")),"#popis")</f>
        <v>-2511.4321946403779</v>
      </c>
      <c r="Y590" s="362">
        <f>IF($Q590="ekrk",IF($R590="data",IFERROR(INDEX(data!$A:$ALL,MATCH($M590,data!$A:$A,0),MATCH(Y$2,data!$1:$1,0)),"#data"),IFERROR(X590*INDEX(indexy_SDcast!$A:$ALI,MATCH($R590,indexy_SDcast!$K:$K,0),MATCH(Y$2,indexy_SDcast!$2:$2,0)),"#ekrk")),"#popis")</f>
        <v>-3397.5859326035707</v>
      </c>
    </row>
    <row r="591" spans="1:44" x14ac:dyDescent="0.25">
      <c r="A591" s="330">
        <v>723005</v>
      </c>
      <c r="B591" s="329">
        <v>-4959.8812799999996</v>
      </c>
      <c r="C591" s="157"/>
      <c r="D591" s="330">
        <v>723005</v>
      </c>
      <c r="E591" s="329">
        <v>-4959.8812799999996</v>
      </c>
      <c r="F591" s="157"/>
      <c r="G591" s="330">
        <v>723005</v>
      </c>
      <c r="H591" s="329">
        <v>-4959.8812799999996</v>
      </c>
      <c r="I591" s="157"/>
      <c r="J591" s="330">
        <v>723005</v>
      </c>
      <c r="K591" s="329">
        <v>-4959.8812799999996</v>
      </c>
      <c r="L591" s="157"/>
      <c r="M591" s="360">
        <f t="shared" si="57"/>
        <v>723005</v>
      </c>
      <c r="N591" s="237">
        <f t="shared" si="58"/>
        <v>-4959.8812799999996</v>
      </c>
      <c r="O591" s="361"/>
      <c r="P591" s="361"/>
      <c r="Q591" s="361" t="s">
        <v>698</v>
      </c>
      <c r="R591" s="362">
        <v>35</v>
      </c>
      <c r="S591" s="236"/>
      <c r="T591" s="364">
        <f t="shared" si="56"/>
        <v>723005</v>
      </c>
      <c r="U591" s="365">
        <f t="shared" si="61"/>
        <v>-4959.8812799999996</v>
      </c>
      <c r="V591" s="365">
        <f>IF($Q591="ekrk",IF($R591="data",IFERROR(INDEX(data!$A:$ALL,MATCH($M591,data!$A:$A,0),MATCH(V$2,data!$1:$1,0)),"#data"),IFERROR(U591*INDEX(indexy_SDcast!$A:$ALI,MATCH($R591,indexy_SDcast!$K:$K,0),MATCH(V$2,indexy_SDcast!$2:$2,0)),"#ekrk")),"#popis")</f>
        <v>-6349.7994416457304</v>
      </c>
      <c r="W591" s="365">
        <f>IF($Q591="ekrk",IF($R591="data",IFERROR(INDEX(data!$A:$ALL,MATCH($M591,data!$A:$A,0),MATCH(W$2,data!$1:$1,0)),"#data"),IFERROR(V591*INDEX(indexy_SDcast!$A:$ALI,MATCH($R591,indexy_SDcast!$K:$K,0),MATCH(W$2,indexy_SDcast!$2:$2,0)),"#ekrk")),"#popis")</f>
        <v>-6421.179478164956</v>
      </c>
      <c r="X591" s="365">
        <f>IF($Q591="ekrk",IF($R591="data",IFERROR(INDEX(data!$A:$ALL,MATCH($M591,data!$A:$A,0),MATCH(X$2,data!$1:$1,0)),"#data"),IFERROR(W591*INDEX(indexy_SDcast!$A:$ALI,MATCH($R591,indexy_SDcast!$K:$K,0),MATCH(X$2,indexy_SDcast!$2:$2,0)),"#ekrk")),"#popis")</f>
        <v>-4124.4904625260269</v>
      </c>
      <c r="Y591" s="362">
        <f>IF($Q591="ekrk",IF($R591="data",IFERROR(INDEX(data!$A:$ALL,MATCH($M591,data!$A:$A,0),MATCH(Y$2,data!$1:$1,0)),"#data"),IFERROR(X591*INDEX(indexy_SDcast!$A:$ALI,MATCH($R591,indexy_SDcast!$K:$K,0),MATCH(Y$2,indexy_SDcast!$2:$2,0)),"#ekrk")),"#popis")</f>
        <v>-5579.8085269997291</v>
      </c>
    </row>
    <row r="592" spans="1:44" x14ac:dyDescent="0.25">
      <c r="A592" s="330">
        <v>725001</v>
      </c>
      <c r="B592" s="329">
        <v>0</v>
      </c>
      <c r="C592" s="157"/>
      <c r="D592" s="330">
        <v>725001</v>
      </c>
      <c r="E592" s="329">
        <v>0</v>
      </c>
      <c r="F592" s="157"/>
      <c r="G592" s="330">
        <v>725001</v>
      </c>
      <c r="H592" s="329">
        <v>0</v>
      </c>
      <c r="I592" s="157"/>
      <c r="J592" s="330">
        <v>725001</v>
      </c>
      <c r="K592" s="329">
        <v>0</v>
      </c>
      <c r="L592" s="157"/>
      <c r="M592" s="360">
        <f t="shared" si="57"/>
        <v>725001</v>
      </c>
      <c r="N592" s="237">
        <f t="shared" si="58"/>
        <v>0</v>
      </c>
      <c r="O592" s="361"/>
      <c r="P592" s="361"/>
      <c r="Q592" s="361" t="s">
        <v>698</v>
      </c>
      <c r="R592" s="362">
        <v>35</v>
      </c>
      <c r="S592" s="236"/>
      <c r="T592" s="364">
        <f t="shared" si="56"/>
        <v>725001</v>
      </c>
      <c r="U592" s="365">
        <f t="shared" si="61"/>
        <v>0</v>
      </c>
      <c r="V592" s="365">
        <f>IF($Q592="ekrk",IF($R592="data",IFERROR(INDEX(data!$A:$ALL,MATCH($M592,data!$A:$A,0),MATCH(V$2,data!$1:$1,0)),"#data"),IFERROR(U592*INDEX(indexy_SDcast!$A:$ALI,MATCH($R592,indexy_SDcast!$K:$K,0),MATCH(V$2,indexy_SDcast!$2:$2,0)),"#ekrk")),"#popis")</f>
        <v>0</v>
      </c>
      <c r="W592" s="365">
        <f>IF($Q592="ekrk",IF($R592="data",IFERROR(INDEX(data!$A:$ALL,MATCH($M592,data!$A:$A,0),MATCH(W$2,data!$1:$1,0)),"#data"),IFERROR(V592*INDEX(indexy_SDcast!$A:$ALI,MATCH($R592,indexy_SDcast!$K:$K,0),MATCH(W$2,indexy_SDcast!$2:$2,0)),"#ekrk")),"#popis")</f>
        <v>0</v>
      </c>
      <c r="X592" s="365">
        <f>IF($Q592="ekrk",IF($R592="data",IFERROR(INDEX(data!$A:$ALL,MATCH($M592,data!$A:$A,0),MATCH(X$2,data!$1:$1,0)),"#data"),IFERROR(W592*INDEX(indexy_SDcast!$A:$ALI,MATCH($R592,indexy_SDcast!$K:$K,0),MATCH(X$2,indexy_SDcast!$2:$2,0)),"#ekrk")),"#popis")</f>
        <v>0</v>
      </c>
      <c r="Y592" s="362">
        <f>IF($Q592="ekrk",IF($R592="data",IFERROR(INDEX(data!$A:$ALL,MATCH($M592,data!$A:$A,0),MATCH(Y$2,data!$1:$1,0)),"#data"),IFERROR(X592*INDEX(indexy_SDcast!$A:$ALI,MATCH($R592,indexy_SDcast!$K:$K,0),MATCH(Y$2,indexy_SDcast!$2:$2,0)),"#ekrk")),"#popis")</f>
        <v>0</v>
      </c>
    </row>
    <row r="593" spans="1:44" x14ac:dyDescent="0.25">
      <c r="A593" s="330" t="s">
        <v>991</v>
      </c>
      <c r="B593" s="329">
        <v>-1012.54956999997</v>
      </c>
      <c r="C593" s="157"/>
      <c r="D593" s="348">
        <v>723001</v>
      </c>
      <c r="E593" s="329">
        <v>-1012.54956999997</v>
      </c>
      <c r="F593" s="157"/>
      <c r="G593" s="330"/>
      <c r="H593" s="329"/>
      <c r="I593" s="157"/>
      <c r="J593" s="330"/>
      <c r="K593" s="329"/>
      <c r="L593" s="157"/>
      <c r="M593" s="360">
        <f t="shared" si="57"/>
        <v>0</v>
      </c>
      <c r="N593" s="237">
        <f t="shared" si="58"/>
        <v>0</v>
      </c>
      <c r="O593" s="361"/>
      <c r="P593" s="361"/>
      <c r="Q593" s="361" t="s">
        <v>573</v>
      </c>
      <c r="R593" s="362" t="str">
        <f>IF(Q593="ekrk",INDEX(indexy_SDcast!$A:$C,MATCH($M593,indexy_SDcast!$A:$A,0),2),"")</f>
        <v/>
      </c>
      <c r="S593" s="236"/>
      <c r="T593" s="364">
        <f t="shared" si="56"/>
        <v>0</v>
      </c>
      <c r="U593" s="365"/>
      <c r="V593" s="365"/>
      <c r="W593" s="365"/>
      <c r="X593" s="365"/>
      <c r="Y593" s="362"/>
    </row>
    <row r="594" spans="1:44" s="18" customFormat="1" x14ac:dyDescent="0.25">
      <c r="A594" s="333" t="s">
        <v>742</v>
      </c>
      <c r="B594" s="334">
        <v>-67322.660909999991</v>
      </c>
      <c r="C594" s="164"/>
      <c r="D594" s="333" t="s">
        <v>742</v>
      </c>
      <c r="E594" s="334">
        <v>-67322.660909999991</v>
      </c>
      <c r="F594" s="164"/>
      <c r="G594" s="333" t="s">
        <v>742</v>
      </c>
      <c r="H594" s="334">
        <v>-67322.660909999991</v>
      </c>
      <c r="I594" s="164"/>
      <c r="J594" s="333" t="s">
        <v>742</v>
      </c>
      <c r="K594" s="334">
        <v>-67322.660909999991</v>
      </c>
      <c r="L594" s="164"/>
      <c r="M594" s="358" t="str">
        <f t="shared" si="57"/>
        <v>D92REC</v>
      </c>
      <c r="N594" s="239">
        <f t="shared" si="58"/>
        <v>-67322.660909999991</v>
      </c>
      <c r="O594" s="243"/>
      <c r="P594" s="243">
        <f>MATCH(Q594,Q595:Q$1550,0)</f>
        <v>2</v>
      </c>
      <c r="Q594" s="243" t="s">
        <v>697</v>
      </c>
      <c r="R594" s="359" t="str">
        <f>IF(Q594="ekrk",INDEX(indexy_SDcast!$A:$C,MATCH($M594,indexy_SDcast!$A:$A,0),2),"")</f>
        <v/>
      </c>
      <c r="S594" s="240"/>
      <c r="T594" s="363" t="str">
        <f t="shared" si="56"/>
        <v>D92REC</v>
      </c>
      <c r="U594" s="244">
        <f>SUM(U595:U595)</f>
        <v>-67322.660909999991</v>
      </c>
      <c r="V594" s="244">
        <f>SUM(V595:V595)</f>
        <v>-86188.634469981262</v>
      </c>
      <c r="W594" s="244">
        <f>SUM(W595:W595)</f>
        <v>-87157.507256050696</v>
      </c>
      <c r="X594" s="244">
        <f>SUM(X595:X595)</f>
        <v>-55983.532096794203</v>
      </c>
      <c r="Y594" s="359">
        <f>SUM(Y595:Y595)</f>
        <v>-75737.207444999425</v>
      </c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8"/>
      <c r="AN594" s="58"/>
      <c r="AO594" s="58"/>
      <c r="AP594" s="58"/>
      <c r="AQ594" s="58"/>
      <c r="AR594" s="58"/>
    </row>
    <row r="595" spans="1:44" x14ac:dyDescent="0.25">
      <c r="A595" s="330" t="s">
        <v>991</v>
      </c>
      <c r="B595" s="329">
        <v>-67322.660909999991</v>
      </c>
      <c r="C595" s="157"/>
      <c r="D595" s="348">
        <v>321000</v>
      </c>
      <c r="E595" s="329">
        <v>-67322.660909999991</v>
      </c>
      <c r="F595" s="157"/>
      <c r="G595" s="330">
        <v>321000</v>
      </c>
      <c r="H595" s="329">
        <v>-67322.660909999991</v>
      </c>
      <c r="I595" s="157"/>
      <c r="J595" s="330">
        <v>321000</v>
      </c>
      <c r="K595" s="329">
        <v>-67322.660909999991</v>
      </c>
      <c r="L595" s="157"/>
      <c r="M595" s="360">
        <f t="shared" si="57"/>
        <v>321000</v>
      </c>
      <c r="N595" s="237">
        <f t="shared" si="58"/>
        <v>-67322.660909999991</v>
      </c>
      <c r="O595" s="361"/>
      <c r="P595" s="361"/>
      <c r="Q595" s="361" t="s">
        <v>698</v>
      </c>
      <c r="R595" s="362">
        <v>35</v>
      </c>
      <c r="S595" s="236"/>
      <c r="T595" s="364">
        <f t="shared" si="56"/>
        <v>321000</v>
      </c>
      <c r="U595" s="365">
        <f>N595</f>
        <v>-67322.660909999991</v>
      </c>
      <c r="V595" s="365">
        <f>IF($Q595="ekrk",IF($R595="data",IFERROR(INDEX(data!$A:$ALL,MATCH($M595,data!$A:$A,0),MATCH(V$2,data!$1:$1,0)),"#data"),IFERROR(U595*INDEX(indexy_SDcast!$A:$ALI,MATCH($R595,indexy_SDcast!$K:$K,0),MATCH(V$2,indexy_SDcast!$2:$2,0)),"#ekrk")),"#popis")</f>
        <v>-86188.634469981262</v>
      </c>
      <c r="W595" s="365">
        <f>IF($Q595="ekrk",IF($R595="data",IFERROR(INDEX(data!$A:$ALL,MATCH($M595,data!$A:$A,0),MATCH(W$2,data!$1:$1,0)),"#data"),IFERROR(V595*INDEX(indexy_SDcast!$A:$ALI,MATCH($R595,indexy_SDcast!$K:$K,0),MATCH(W$2,indexy_SDcast!$2:$2,0)),"#ekrk")),"#popis")</f>
        <v>-87157.507256050696</v>
      </c>
      <c r="X595" s="365">
        <f>IF($Q595="ekrk",IF($R595="data",IFERROR(INDEX(data!$A:$ALL,MATCH($M595,data!$A:$A,0),MATCH(X$2,data!$1:$1,0)),"#data"),IFERROR(W595*INDEX(indexy_SDcast!$A:$ALI,MATCH($R595,indexy_SDcast!$K:$K,0),MATCH(X$2,indexy_SDcast!$2:$2,0)),"#ekrk")),"#popis")</f>
        <v>-55983.532096794203</v>
      </c>
      <c r="Y595" s="362">
        <f>IF($Q595="ekrk",IF($R595="data",IFERROR(INDEX(data!$A:$ALL,MATCH($M595,data!$A:$A,0),MATCH(Y$2,data!$1:$1,0)),"#data"),IFERROR(X595*INDEX(indexy_SDcast!$A:$ALI,MATCH($R595,indexy_SDcast!$K:$K,0),MATCH(Y$2,indexy_SDcast!$2:$2,0)),"#ekrk")),"#popis")</f>
        <v>-75737.207444999425</v>
      </c>
    </row>
    <row r="596" spans="1:44" s="18" customFormat="1" x14ac:dyDescent="0.25">
      <c r="A596" s="333" t="s">
        <v>743</v>
      </c>
      <c r="B596" s="334">
        <v>-11.296520000000001</v>
      </c>
      <c r="C596" s="164"/>
      <c r="D596" s="333" t="s">
        <v>743</v>
      </c>
      <c r="E596" s="334">
        <v>-11.296520000000001</v>
      </c>
      <c r="F596" s="164"/>
      <c r="G596" s="333" t="s">
        <v>743</v>
      </c>
      <c r="H596" s="334">
        <v>-11.296520000000001</v>
      </c>
      <c r="I596" s="164"/>
      <c r="J596" s="333" t="s">
        <v>743</v>
      </c>
      <c r="K596" s="334">
        <v>-11.296520000000001</v>
      </c>
      <c r="L596" s="164"/>
      <c r="M596" s="358" t="str">
        <f t="shared" si="57"/>
        <v>D99PAY</v>
      </c>
      <c r="N596" s="239">
        <f t="shared" si="58"/>
        <v>-11.296520000000001</v>
      </c>
      <c r="O596" s="243"/>
      <c r="P596" s="243">
        <f>MATCH(Q596,Q597:Q$1550,0)</f>
        <v>2</v>
      </c>
      <c r="Q596" s="243" t="s">
        <v>697</v>
      </c>
      <c r="R596" s="359" t="str">
        <f>IF(Q596="ekrk",INDEX(indexy_SDcast!$A:$C,MATCH($M596,indexy_SDcast!$A:$A,0),2),"")</f>
        <v/>
      </c>
      <c r="S596" s="240"/>
      <c r="T596" s="363" t="str">
        <f t="shared" si="56"/>
        <v>D99PAY</v>
      </c>
      <c r="U596" s="244">
        <f>SUM(U597:U597)</f>
        <v>-11.296520000000001</v>
      </c>
      <c r="V596" s="244">
        <f>SUM(V597:V597)</f>
        <v>-14.462168011517372</v>
      </c>
      <c r="W596" s="244">
        <f>SUM(W597:W597)</f>
        <v>-14.624741662905286</v>
      </c>
      <c r="X596" s="244">
        <f>SUM(X597:X597)</f>
        <v>-9.3938516608475187</v>
      </c>
      <c r="Y596" s="359">
        <f>SUM(Y597:Y597)</f>
        <v>-12.708453098583639</v>
      </c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8"/>
      <c r="AN596" s="58"/>
      <c r="AO596" s="58"/>
      <c r="AP596" s="58"/>
      <c r="AQ596" s="58"/>
      <c r="AR596" s="58"/>
    </row>
    <row r="597" spans="1:44" x14ac:dyDescent="0.25">
      <c r="A597" s="330">
        <v>723002</v>
      </c>
      <c r="B597" s="329">
        <v>-11.296520000000001</v>
      </c>
      <c r="C597" s="157"/>
      <c r="D597" s="330">
        <v>723002</v>
      </c>
      <c r="E597" s="329">
        <v>-11.296520000000001</v>
      </c>
      <c r="F597" s="157"/>
      <c r="G597" s="330">
        <v>723002</v>
      </c>
      <c r="H597" s="329">
        <v>-11.296520000000001</v>
      </c>
      <c r="I597" s="157"/>
      <c r="J597" s="330">
        <v>723002</v>
      </c>
      <c r="K597" s="329">
        <v>-11.296520000000001</v>
      </c>
      <c r="L597" s="157"/>
      <c r="M597" s="360">
        <f t="shared" si="57"/>
        <v>723002</v>
      </c>
      <c r="N597" s="237">
        <f t="shared" si="58"/>
        <v>-11.296520000000001</v>
      </c>
      <c r="O597" s="361"/>
      <c r="P597" s="361"/>
      <c r="Q597" s="361" t="s">
        <v>698</v>
      </c>
      <c r="R597" s="362">
        <v>35</v>
      </c>
      <c r="S597" s="236"/>
      <c r="T597" s="364">
        <f t="shared" si="56"/>
        <v>723002</v>
      </c>
      <c r="U597" s="365">
        <f>N597</f>
        <v>-11.296520000000001</v>
      </c>
      <c r="V597" s="365">
        <f>IF($Q597="ekrk",IF($R597="data",IFERROR(INDEX(data!$A:$ALL,MATCH($M597,data!$A:$A,0),MATCH(V$2,data!$1:$1,0)),"#data"),IFERROR(U597*INDEX(indexy_SDcast!$A:$ALI,MATCH($R597,indexy_SDcast!$K:$K,0),MATCH(V$2,indexy_SDcast!$2:$2,0)),"#ekrk")),"#popis")</f>
        <v>-14.462168011517372</v>
      </c>
      <c r="W597" s="365">
        <f>IF($Q597="ekrk",IF($R597="data",IFERROR(INDEX(data!$A:$ALL,MATCH($M597,data!$A:$A,0),MATCH(W$2,data!$1:$1,0)),"#data"),IFERROR(V597*INDEX(indexy_SDcast!$A:$ALI,MATCH($R597,indexy_SDcast!$K:$K,0),MATCH(W$2,indexy_SDcast!$2:$2,0)),"#ekrk")),"#popis")</f>
        <v>-14.624741662905286</v>
      </c>
      <c r="X597" s="365">
        <f>IF($Q597="ekrk",IF($R597="data",IFERROR(INDEX(data!$A:$ALL,MATCH($M597,data!$A:$A,0),MATCH(X$2,data!$1:$1,0)),"#data"),IFERROR(W597*INDEX(indexy_SDcast!$A:$ALI,MATCH($R597,indexy_SDcast!$K:$K,0),MATCH(X$2,indexy_SDcast!$2:$2,0)),"#ekrk")),"#popis")</f>
        <v>-9.3938516608475187</v>
      </c>
      <c r="Y597" s="362">
        <f>IF($Q597="ekrk",IF($R597="data",IFERROR(INDEX(data!$A:$ALL,MATCH($M597,data!$A:$A,0),MATCH(Y$2,data!$1:$1,0)),"#data"),IFERROR(X597*INDEX(indexy_SDcast!$A:$ALI,MATCH($R597,indexy_SDcast!$K:$K,0),MATCH(Y$2,indexy_SDcast!$2:$2,0)),"#ekrk")),"#popis")</f>
        <v>-12.708453098583639</v>
      </c>
    </row>
    <row r="598" spans="1:44" s="18" customFormat="1" x14ac:dyDescent="0.25">
      <c r="A598" s="333" t="s">
        <v>744</v>
      </c>
      <c r="B598" s="334">
        <v>352.38715999999829</v>
      </c>
      <c r="C598" s="164"/>
      <c r="D598" s="333" t="s">
        <v>744</v>
      </c>
      <c r="E598" s="334">
        <v>352.38715999999829</v>
      </c>
      <c r="F598" s="164"/>
      <c r="G598" s="333" t="s">
        <v>744</v>
      </c>
      <c r="H598" s="334">
        <v>352.38715999999829</v>
      </c>
      <c r="I598" s="164"/>
      <c r="J598" s="333" t="s">
        <v>744</v>
      </c>
      <c r="K598" s="334">
        <v>352.38715999999829</v>
      </c>
      <c r="L598" s="164"/>
      <c r="M598" s="358" t="str">
        <f t="shared" si="57"/>
        <v>D99REC</v>
      </c>
      <c r="N598" s="239">
        <f t="shared" si="58"/>
        <v>352.38715999999829</v>
      </c>
      <c r="O598" s="243"/>
      <c r="P598" s="243">
        <f>MATCH(Q598,Q599:Q$1550,0)</f>
        <v>9</v>
      </c>
      <c r="Q598" s="243" t="s">
        <v>697</v>
      </c>
      <c r="R598" s="359" t="str">
        <f>IF(Q598="ekrk",INDEX(indexy_SDcast!$A:$C,MATCH($M598,indexy_SDcast!$A:$A,0),2),"")</f>
        <v/>
      </c>
      <c r="S598" s="240"/>
      <c r="T598" s="363" t="str">
        <f t="shared" si="56"/>
        <v>D99REC</v>
      </c>
      <c r="U598" s="244">
        <f>SUM(U599:U606)</f>
        <v>352.38715999999829</v>
      </c>
      <c r="V598" s="244">
        <f>SUM(V599:V606)</f>
        <v>451.13736912088223</v>
      </c>
      <c r="W598" s="244">
        <f>SUM(W599:W606)</f>
        <v>456.20874219005907</v>
      </c>
      <c r="X598" s="244">
        <f>SUM(X599:X606)</f>
        <v>293.03473177822235</v>
      </c>
      <c r="Y598" s="359">
        <f>SUM(Y599:Y606)</f>
        <v>396.43144042617257</v>
      </c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8"/>
      <c r="AN598" s="58"/>
      <c r="AO598" s="58"/>
      <c r="AP598" s="58"/>
      <c r="AQ598" s="58"/>
      <c r="AR598" s="58"/>
    </row>
    <row r="599" spans="1:44" x14ac:dyDescent="0.25">
      <c r="A599" s="330">
        <v>321000</v>
      </c>
      <c r="B599" s="329">
        <v>-1.1368683772161603E-13</v>
      </c>
      <c r="C599" s="157"/>
      <c r="D599" s="330">
        <v>321000</v>
      </c>
      <c r="E599" s="329">
        <v>-1.1368683772161603E-13</v>
      </c>
      <c r="F599" s="157"/>
      <c r="G599" s="330">
        <v>321000</v>
      </c>
      <c r="H599" s="329">
        <v>-1.1368683772161603E-13</v>
      </c>
      <c r="I599" s="157"/>
      <c r="J599" s="330">
        <v>321000</v>
      </c>
      <c r="K599" s="329">
        <v>-1.1368683772161603E-13</v>
      </c>
      <c r="L599" s="157"/>
      <c r="M599" s="360">
        <f t="shared" si="57"/>
        <v>321000</v>
      </c>
      <c r="N599" s="237">
        <f t="shared" si="58"/>
        <v>-1.1368683772161603E-13</v>
      </c>
      <c r="O599" s="361"/>
      <c r="P599" s="361"/>
      <c r="Q599" s="361" t="s">
        <v>698</v>
      </c>
      <c r="R599" s="362">
        <v>35</v>
      </c>
      <c r="S599" s="236"/>
      <c r="T599" s="364">
        <f t="shared" si="56"/>
        <v>321000</v>
      </c>
      <c r="U599" s="365">
        <f t="shared" ref="U599:U606" si="62">N599</f>
        <v>-1.1368683772161603E-13</v>
      </c>
      <c r="V599" s="365">
        <f>IF($Q599="ekrk",IF($R599="data",IFERROR(INDEX(data!$A:$ALL,MATCH($M599,data!$A:$A,0),MATCH(V$2,data!$1:$1,0)),"#data"),IFERROR(U599*INDEX(indexy_SDcast!$A:$ALI,MATCH($R599,indexy_SDcast!$K:$K,0),MATCH(V$2,indexy_SDcast!$2:$2,0)),"#ekrk")),"#popis")</f>
        <v>-1.4554554392220982E-13</v>
      </c>
      <c r="W599" s="365">
        <f>IF($Q599="ekrk",IF($R599="data",IFERROR(INDEX(data!$A:$ALL,MATCH($M599,data!$A:$A,0),MATCH(W$2,data!$1:$1,0)),"#data"),IFERROR(V599*INDEX(indexy_SDcast!$A:$ALI,MATCH($R599,indexy_SDcast!$K:$K,0),MATCH(W$2,indexy_SDcast!$2:$2,0)),"#ekrk")),"#popis")</f>
        <v>-1.4718166587154896E-13</v>
      </c>
      <c r="X599" s="365">
        <f>IF($Q599="ekrk",IF($R599="data",IFERROR(INDEX(data!$A:$ALL,MATCH($M599,data!$A:$A,0),MATCH(X$2,data!$1:$1,0)),"#data"),IFERROR(W599*INDEX(indexy_SDcast!$A:$ALI,MATCH($R599,indexy_SDcast!$K:$K,0),MATCH(X$2,indexy_SDcast!$2:$2,0)),"#ekrk")),"#popis")</f>
        <v>-9.4538609177667554E-14</v>
      </c>
      <c r="Y599" s="362">
        <f>IF($Q599="ekrk",IF($R599="data",IFERROR(INDEX(data!$A:$ALL,MATCH($M599,data!$A:$A,0),MATCH(Y$2,data!$1:$1,0)),"#data"),IFERROR(X599*INDEX(indexy_SDcast!$A:$ALI,MATCH($R599,indexy_SDcast!$K:$K,0),MATCH(Y$2,indexy_SDcast!$2:$2,0)),"#ekrk")),"#popis")</f>
        <v>-1.2789636499660485E-13</v>
      </c>
    </row>
    <row r="600" spans="1:44" x14ac:dyDescent="0.25">
      <c r="A600" s="330">
        <v>322001</v>
      </c>
      <c r="B600" s="329">
        <v>-1.7053025658242404E-12</v>
      </c>
      <c r="C600" s="157"/>
      <c r="D600" s="330">
        <v>322001</v>
      </c>
      <c r="E600" s="329">
        <v>-1.7053025658242404E-12</v>
      </c>
      <c r="F600" s="157"/>
      <c r="G600" s="330">
        <v>322001</v>
      </c>
      <c r="H600" s="329">
        <v>-1.7053025658242404E-12</v>
      </c>
      <c r="I600" s="157"/>
      <c r="J600" s="330">
        <v>322001</v>
      </c>
      <c r="K600" s="329">
        <v>-1.7053025658242404E-12</v>
      </c>
      <c r="L600" s="157"/>
      <c r="M600" s="360">
        <f t="shared" si="57"/>
        <v>322001</v>
      </c>
      <c r="N600" s="237">
        <f t="shared" si="58"/>
        <v>-1.7053025658242404E-12</v>
      </c>
      <c r="O600" s="361"/>
      <c r="P600" s="361"/>
      <c r="Q600" s="361" t="s">
        <v>698</v>
      </c>
      <c r="R600" s="362">
        <v>35</v>
      </c>
      <c r="S600" s="236"/>
      <c r="T600" s="364">
        <f t="shared" si="56"/>
        <v>322001</v>
      </c>
      <c r="U600" s="365">
        <f t="shared" si="62"/>
        <v>-1.7053025658242404E-12</v>
      </c>
      <c r="V600" s="365">
        <f>IF($Q600="ekrk",IF($R600="data",IFERROR(INDEX(data!$A:$ALL,MATCH($M600,data!$A:$A,0),MATCH(V$2,data!$1:$1,0)),"#data"),IFERROR(U600*INDEX(indexy_SDcast!$A:$ALI,MATCH($R600,indexy_SDcast!$K:$K,0),MATCH(V$2,indexy_SDcast!$2:$2,0)),"#ekrk")),"#popis")</f>
        <v>-2.1831831588331473E-12</v>
      </c>
      <c r="W600" s="365">
        <f>IF($Q600="ekrk",IF($R600="data",IFERROR(INDEX(data!$A:$ALL,MATCH($M600,data!$A:$A,0),MATCH(W$2,data!$1:$1,0)),"#data"),IFERROR(V600*INDEX(indexy_SDcast!$A:$ALI,MATCH($R600,indexy_SDcast!$K:$K,0),MATCH(W$2,indexy_SDcast!$2:$2,0)),"#ekrk")),"#popis")</f>
        <v>-2.2077249880732344E-12</v>
      </c>
      <c r="X600" s="365">
        <f>IF($Q600="ekrk",IF($R600="data",IFERROR(INDEX(data!$A:$ALL,MATCH($M600,data!$A:$A,0),MATCH(X$2,data!$1:$1,0)),"#data"),IFERROR(W600*INDEX(indexy_SDcast!$A:$ALI,MATCH($R600,indexy_SDcast!$K:$K,0),MATCH(X$2,indexy_SDcast!$2:$2,0)),"#ekrk")),"#popis")</f>
        <v>-1.4180791376650133E-12</v>
      </c>
      <c r="Y600" s="362">
        <f>IF($Q600="ekrk",IF($R600="data",IFERROR(INDEX(data!$A:$ALL,MATCH($M600,data!$A:$A,0),MATCH(Y$2,data!$1:$1,0)),"#data"),IFERROR(X600*INDEX(indexy_SDcast!$A:$ALI,MATCH($R600,indexy_SDcast!$K:$K,0),MATCH(Y$2,indexy_SDcast!$2:$2,0)),"#ekrk")),"#popis")</f>
        <v>-1.9184454749490726E-12</v>
      </c>
    </row>
    <row r="601" spans="1:44" x14ac:dyDescent="0.25">
      <c r="A601" s="330">
        <v>322002</v>
      </c>
      <c r="B601" s="329">
        <v>2.8421709430404007E-14</v>
      </c>
      <c r="C601" s="157"/>
      <c r="D601" s="330">
        <v>322002</v>
      </c>
      <c r="E601" s="329">
        <v>2.8421709430404007E-14</v>
      </c>
      <c r="F601" s="157"/>
      <c r="G601" s="330">
        <v>322002</v>
      </c>
      <c r="H601" s="329">
        <v>2.8421709430404007E-14</v>
      </c>
      <c r="I601" s="157"/>
      <c r="J601" s="330">
        <v>322002</v>
      </c>
      <c r="K601" s="329">
        <v>2.8421709430404007E-14</v>
      </c>
      <c r="L601" s="157"/>
      <c r="M601" s="360">
        <f t="shared" si="57"/>
        <v>322002</v>
      </c>
      <c r="N601" s="237">
        <f t="shared" si="58"/>
        <v>2.8421709430404007E-14</v>
      </c>
      <c r="O601" s="361"/>
      <c r="P601" s="361"/>
      <c r="Q601" s="361" t="s">
        <v>698</v>
      </c>
      <c r="R601" s="362">
        <v>35</v>
      </c>
      <c r="S601" s="236"/>
      <c r="T601" s="364">
        <f t="shared" si="56"/>
        <v>322002</v>
      </c>
      <c r="U601" s="365">
        <f t="shared" si="62"/>
        <v>2.8421709430404007E-14</v>
      </c>
      <c r="V601" s="365">
        <f>IF($Q601="ekrk",IF($R601="data",IFERROR(INDEX(data!$A:$ALL,MATCH($M601,data!$A:$A,0),MATCH(V$2,data!$1:$1,0)),"#data"),IFERROR(U601*INDEX(indexy_SDcast!$A:$ALI,MATCH($R601,indexy_SDcast!$K:$K,0),MATCH(V$2,indexy_SDcast!$2:$2,0)),"#ekrk")),"#popis")</f>
        <v>3.6386385980552456E-14</v>
      </c>
      <c r="W601" s="365">
        <f>IF($Q601="ekrk",IF($R601="data",IFERROR(INDEX(data!$A:$ALL,MATCH($M601,data!$A:$A,0),MATCH(W$2,data!$1:$1,0)),"#data"),IFERROR(V601*INDEX(indexy_SDcast!$A:$ALI,MATCH($R601,indexy_SDcast!$K:$K,0),MATCH(W$2,indexy_SDcast!$2:$2,0)),"#ekrk")),"#popis")</f>
        <v>3.679541646788724E-14</v>
      </c>
      <c r="X601" s="365">
        <f>IF($Q601="ekrk",IF($R601="data",IFERROR(INDEX(data!$A:$ALL,MATCH($M601,data!$A:$A,0),MATCH(X$2,data!$1:$1,0)),"#data"),IFERROR(W601*INDEX(indexy_SDcast!$A:$ALI,MATCH($R601,indexy_SDcast!$K:$K,0),MATCH(X$2,indexy_SDcast!$2:$2,0)),"#ekrk")),"#popis")</f>
        <v>2.3634652294416889E-14</v>
      </c>
      <c r="Y601" s="362">
        <f>IF($Q601="ekrk",IF($R601="data",IFERROR(INDEX(data!$A:$ALL,MATCH($M601,data!$A:$A,0),MATCH(Y$2,data!$1:$1,0)),"#data"),IFERROR(X601*INDEX(indexy_SDcast!$A:$ALI,MATCH($R601,indexy_SDcast!$K:$K,0),MATCH(Y$2,indexy_SDcast!$2:$2,0)),"#ekrk")),"#popis")</f>
        <v>3.1974091249151213E-14</v>
      </c>
    </row>
    <row r="602" spans="1:44" x14ac:dyDescent="0.25">
      <c r="A602" s="330">
        <v>322006</v>
      </c>
      <c r="B602" s="329">
        <v>0</v>
      </c>
      <c r="C602" s="157"/>
      <c r="D602" s="330">
        <v>322006</v>
      </c>
      <c r="E602" s="329">
        <v>0</v>
      </c>
      <c r="F602" s="157"/>
      <c r="G602" s="330">
        <v>322006</v>
      </c>
      <c r="H602" s="329">
        <v>0</v>
      </c>
      <c r="I602" s="157"/>
      <c r="J602" s="330">
        <v>322006</v>
      </c>
      <c r="K602" s="329">
        <v>0</v>
      </c>
      <c r="L602" s="157"/>
      <c r="M602" s="360">
        <f t="shared" si="57"/>
        <v>322006</v>
      </c>
      <c r="N602" s="237">
        <f t="shared" si="58"/>
        <v>0</v>
      </c>
      <c r="O602" s="361"/>
      <c r="P602" s="361"/>
      <c r="Q602" s="361" t="s">
        <v>698</v>
      </c>
      <c r="R602" s="362">
        <v>35</v>
      </c>
      <c r="S602" s="236"/>
      <c r="T602" s="364">
        <f t="shared" ref="T602:T665" si="63">M602</f>
        <v>322006</v>
      </c>
      <c r="U602" s="365">
        <f t="shared" si="62"/>
        <v>0</v>
      </c>
      <c r="V602" s="365">
        <f>IF($Q602="ekrk",IF($R602="data",IFERROR(INDEX(data!$A:$ALL,MATCH($M602,data!$A:$A,0),MATCH(V$2,data!$1:$1,0)),"#data"),IFERROR(U602*INDEX(indexy_SDcast!$A:$ALI,MATCH($R602,indexy_SDcast!$K:$K,0),MATCH(V$2,indexy_SDcast!$2:$2,0)),"#ekrk")),"#popis")</f>
        <v>0</v>
      </c>
      <c r="W602" s="365">
        <f>IF($Q602="ekrk",IF($R602="data",IFERROR(INDEX(data!$A:$ALL,MATCH($M602,data!$A:$A,0),MATCH(W$2,data!$1:$1,0)),"#data"),IFERROR(V602*INDEX(indexy_SDcast!$A:$ALI,MATCH($R602,indexy_SDcast!$K:$K,0),MATCH(W$2,indexy_SDcast!$2:$2,0)),"#ekrk")),"#popis")</f>
        <v>0</v>
      </c>
      <c r="X602" s="365">
        <f>IF($Q602="ekrk",IF($R602="data",IFERROR(INDEX(data!$A:$ALL,MATCH($M602,data!$A:$A,0),MATCH(X$2,data!$1:$1,0)),"#data"),IFERROR(W602*INDEX(indexy_SDcast!$A:$ALI,MATCH($R602,indexy_SDcast!$K:$K,0),MATCH(X$2,indexy_SDcast!$2:$2,0)),"#ekrk")),"#popis")</f>
        <v>0</v>
      </c>
      <c r="Y602" s="362">
        <f>IF($Q602="ekrk",IF($R602="data",IFERROR(INDEX(data!$A:$ALL,MATCH($M602,data!$A:$A,0),MATCH(Y$2,data!$1:$1,0)),"#data"),IFERROR(X602*INDEX(indexy_SDcast!$A:$ALI,MATCH($R602,indexy_SDcast!$K:$K,0),MATCH(Y$2,indexy_SDcast!$2:$2,0)),"#ekrk")),"#popis")</f>
        <v>0</v>
      </c>
    </row>
    <row r="603" spans="1:44" x14ac:dyDescent="0.25">
      <c r="A603" s="330">
        <v>322008</v>
      </c>
      <c r="B603" s="329">
        <v>8.3488771451811772E-14</v>
      </c>
      <c r="C603" s="157"/>
      <c r="D603" s="330">
        <v>322008</v>
      </c>
      <c r="E603" s="329">
        <v>8.3488771451811772E-14</v>
      </c>
      <c r="F603" s="157"/>
      <c r="G603" s="330">
        <v>322008</v>
      </c>
      <c r="H603" s="329">
        <v>8.3488771451811772E-14</v>
      </c>
      <c r="I603" s="157"/>
      <c r="J603" s="330">
        <v>322008</v>
      </c>
      <c r="K603" s="329">
        <v>8.3488771451811772E-14</v>
      </c>
      <c r="L603" s="157"/>
      <c r="M603" s="360">
        <f t="shared" si="57"/>
        <v>322008</v>
      </c>
      <c r="N603" s="237">
        <f t="shared" si="58"/>
        <v>8.3488771451811772E-14</v>
      </c>
      <c r="O603" s="361"/>
      <c r="P603" s="361"/>
      <c r="Q603" s="361" t="s">
        <v>698</v>
      </c>
      <c r="R603" s="362">
        <v>35</v>
      </c>
      <c r="S603" s="236"/>
      <c r="T603" s="364">
        <f t="shared" si="63"/>
        <v>322008</v>
      </c>
      <c r="U603" s="365">
        <f t="shared" si="62"/>
        <v>8.3488771451811772E-14</v>
      </c>
      <c r="V603" s="365">
        <f>IF($Q603="ekrk",IF($R603="data",IFERROR(INDEX(data!$A:$ALL,MATCH($M603,data!$A:$A,0),MATCH(V$2,data!$1:$1,0)),"#data"),IFERROR(U603*INDEX(indexy_SDcast!$A:$ALI,MATCH($R603,indexy_SDcast!$K:$K,0),MATCH(V$2,indexy_SDcast!$2:$2,0)),"#ekrk")),"#popis")</f>
        <v>1.0688500881787284E-13</v>
      </c>
      <c r="W603" s="365">
        <f>IF($Q603="ekrk",IF($R603="data",IFERROR(INDEX(data!$A:$ALL,MATCH($M603,data!$A:$A,0),MATCH(W$2,data!$1:$1,0)),"#data"),IFERROR(V603*INDEX(indexy_SDcast!$A:$ALI,MATCH($R603,indexy_SDcast!$K:$K,0),MATCH(W$2,indexy_SDcast!$2:$2,0)),"#ekrk")),"#popis")</f>
        <v>1.0808653587441876E-13</v>
      </c>
      <c r="X603" s="365">
        <f>IF($Q603="ekrk",IF($R603="data",IFERROR(INDEX(data!$A:$ALL,MATCH($M603,data!$A:$A,0),MATCH(X$2,data!$1:$1,0)),"#data"),IFERROR(W603*INDEX(indexy_SDcast!$A:$ALI,MATCH($R603,indexy_SDcast!$K:$K,0),MATCH(X$2,indexy_SDcast!$2:$2,0)),"#ekrk")),"#popis")</f>
        <v>6.9426791114849607E-14</v>
      </c>
      <c r="Y603" s="362">
        <f>IF($Q603="ekrk",IF($R603="data",IFERROR(INDEX(data!$A:$ALL,MATCH($M603,data!$A:$A,0),MATCH(Y$2,data!$1:$1,0)),"#data"),IFERROR(X603*INDEX(indexy_SDcast!$A:$ALI,MATCH($R603,indexy_SDcast!$K:$K,0),MATCH(Y$2,indexy_SDcast!$2:$2,0)),"#ekrk")),"#popis")</f>
        <v>9.3923893044381673E-14</v>
      </c>
    </row>
    <row r="604" spans="1:44" x14ac:dyDescent="0.25">
      <c r="A604" s="330">
        <v>324000</v>
      </c>
      <c r="B604" s="329">
        <v>0</v>
      </c>
      <c r="C604" s="157"/>
      <c r="D604" s="330">
        <v>324000</v>
      </c>
      <c r="E604" s="329">
        <v>0</v>
      </c>
      <c r="F604" s="157"/>
      <c r="G604" s="330">
        <v>324000</v>
      </c>
      <c r="H604" s="329">
        <v>0</v>
      </c>
      <c r="I604" s="157"/>
      <c r="J604" s="330">
        <v>324000</v>
      </c>
      <c r="K604" s="329">
        <v>0</v>
      </c>
      <c r="L604" s="157"/>
      <c r="M604" s="360">
        <f t="shared" si="57"/>
        <v>324000</v>
      </c>
      <c r="N604" s="237">
        <f t="shared" si="58"/>
        <v>0</v>
      </c>
      <c r="O604" s="361"/>
      <c r="P604" s="361"/>
      <c r="Q604" s="361" t="s">
        <v>698</v>
      </c>
      <c r="R604" s="362">
        <v>35</v>
      </c>
      <c r="S604" s="236"/>
      <c r="T604" s="364">
        <f t="shared" si="63"/>
        <v>324000</v>
      </c>
      <c r="U604" s="365">
        <f t="shared" si="62"/>
        <v>0</v>
      </c>
      <c r="V604" s="365">
        <f>IF($Q604="ekrk",IF($R604="data",IFERROR(INDEX(data!$A:$ALL,MATCH($M604,data!$A:$A,0),MATCH(V$2,data!$1:$1,0)),"#data"),IFERROR(U604*INDEX(indexy_SDcast!$A:$ALI,MATCH($R604,indexy_SDcast!$K:$K,0),MATCH(V$2,indexy_SDcast!$2:$2,0)),"#ekrk")),"#popis")</f>
        <v>0</v>
      </c>
      <c r="W604" s="365">
        <f>IF($Q604="ekrk",IF($R604="data",IFERROR(INDEX(data!$A:$ALL,MATCH($M604,data!$A:$A,0),MATCH(W$2,data!$1:$1,0)),"#data"),IFERROR(V604*INDEX(indexy_SDcast!$A:$ALI,MATCH($R604,indexy_SDcast!$K:$K,0),MATCH(W$2,indexy_SDcast!$2:$2,0)),"#ekrk")),"#popis")</f>
        <v>0</v>
      </c>
      <c r="X604" s="365">
        <f>IF($Q604="ekrk",IF($R604="data",IFERROR(INDEX(data!$A:$ALL,MATCH($M604,data!$A:$A,0),MATCH(X$2,data!$1:$1,0)),"#data"),IFERROR(W604*INDEX(indexy_SDcast!$A:$ALI,MATCH($R604,indexy_SDcast!$K:$K,0),MATCH(X$2,indexy_SDcast!$2:$2,0)),"#ekrk")),"#popis")</f>
        <v>0</v>
      </c>
      <c r="Y604" s="362">
        <f>IF($Q604="ekrk",IF($R604="data",IFERROR(INDEX(data!$A:$ALL,MATCH($M604,data!$A:$A,0),MATCH(Y$2,data!$1:$1,0)),"#data"),IFERROR(X604*INDEX(indexy_SDcast!$A:$ALI,MATCH($R604,indexy_SDcast!$K:$K,0),MATCH(Y$2,indexy_SDcast!$2:$2,0)),"#ekrk")),"#popis")</f>
        <v>0</v>
      </c>
    </row>
    <row r="605" spans="1:44" x14ac:dyDescent="0.25">
      <c r="A605" s="330">
        <v>332001</v>
      </c>
      <c r="B605" s="329">
        <v>195.70193</v>
      </c>
      <c r="C605" s="157"/>
      <c r="D605" s="330">
        <v>332001</v>
      </c>
      <c r="E605" s="329">
        <v>195.70193</v>
      </c>
      <c r="F605" s="157"/>
      <c r="G605" s="330">
        <v>332001</v>
      </c>
      <c r="H605" s="329">
        <v>195.70193</v>
      </c>
      <c r="I605" s="157"/>
      <c r="J605" s="330">
        <v>332001</v>
      </c>
      <c r="K605" s="329">
        <v>195.70193</v>
      </c>
      <c r="L605" s="157"/>
      <c r="M605" s="360">
        <f t="shared" si="57"/>
        <v>332001</v>
      </c>
      <c r="N605" s="237">
        <f t="shared" si="58"/>
        <v>195.70193</v>
      </c>
      <c r="O605" s="361"/>
      <c r="P605" s="361"/>
      <c r="Q605" s="361" t="s">
        <v>698</v>
      </c>
      <c r="R605" s="362">
        <v>35</v>
      </c>
      <c r="S605" s="236"/>
      <c r="T605" s="364">
        <f t="shared" si="63"/>
        <v>332001</v>
      </c>
      <c r="U605" s="365">
        <f t="shared" si="62"/>
        <v>195.70193</v>
      </c>
      <c r="V605" s="365">
        <f>IF($Q605="ekrk",IF($R605="data",IFERROR(INDEX(data!$A:$ALL,MATCH($M605,data!$A:$A,0),MATCH(V$2,data!$1:$1,0)),"#data"),IFERROR(U605*INDEX(indexy_SDcast!$A:$ALI,MATCH($R605,indexy_SDcast!$K:$K,0),MATCH(V$2,indexy_SDcast!$2:$2,0)),"#ekrk")),"#popis")</f>
        <v>250.5439012933374</v>
      </c>
      <c r="W605" s="365">
        <f>IF($Q605="ekrk",IF($R605="data",IFERROR(INDEX(data!$A:$ALL,MATCH($M605,data!$A:$A,0),MATCH(W$2,data!$1:$1,0)),"#data"),IFERROR(V605*INDEX(indexy_SDcast!$A:$ALI,MATCH($R605,indexy_SDcast!$K:$K,0),MATCH(W$2,indexy_SDcast!$2:$2,0)),"#ekrk")),"#popis")</f>
        <v>253.36034187360124</v>
      </c>
      <c r="X605" s="365">
        <f>IF($Q605="ekrk",IF($R605="data",IFERROR(INDEX(data!$A:$ALL,MATCH($M605,data!$A:$A,0),MATCH(X$2,data!$1:$1,0)),"#data"),IFERROR(W605*INDEX(indexy_SDcast!$A:$ALI,MATCH($R605,indexy_SDcast!$K:$K,0),MATCH(X$2,indexy_SDcast!$2:$2,0)),"#ekrk")),"#popis")</f>
        <v>162.73993231203636</v>
      </c>
      <c r="Y605" s="362">
        <f>IF($Q605="ekrk",IF($R605="data",IFERROR(INDEX(data!$A:$ALL,MATCH($M605,data!$A:$A,0),MATCH(Y$2,data!$1:$1,0)),"#data"),IFERROR(X605*INDEX(indexy_SDcast!$A:$ALI,MATCH($R605,indexy_SDcast!$K:$K,0),MATCH(Y$2,indexy_SDcast!$2:$2,0)),"#ekrk")),"#popis")</f>
        <v>220.16238617798211</v>
      </c>
    </row>
    <row r="606" spans="1:44" x14ac:dyDescent="0.25">
      <c r="A606" s="330">
        <v>332002</v>
      </c>
      <c r="B606" s="329">
        <v>156.68522999999999</v>
      </c>
      <c r="C606" s="157"/>
      <c r="D606" s="330">
        <v>332002</v>
      </c>
      <c r="E606" s="329">
        <v>156.68522999999999</v>
      </c>
      <c r="F606" s="157"/>
      <c r="G606" s="330">
        <v>332002</v>
      </c>
      <c r="H606" s="329">
        <v>156.68522999999999</v>
      </c>
      <c r="I606" s="157"/>
      <c r="J606" s="330">
        <v>332002</v>
      </c>
      <c r="K606" s="329">
        <v>156.68522999999999</v>
      </c>
      <c r="L606" s="157"/>
      <c r="M606" s="360">
        <f t="shared" si="57"/>
        <v>332002</v>
      </c>
      <c r="N606" s="237">
        <f t="shared" si="58"/>
        <v>156.68522999999999</v>
      </c>
      <c r="O606" s="361"/>
      <c r="P606" s="361"/>
      <c r="Q606" s="361" t="s">
        <v>698</v>
      </c>
      <c r="R606" s="362">
        <v>35</v>
      </c>
      <c r="S606" s="236"/>
      <c r="T606" s="364">
        <f t="shared" si="63"/>
        <v>332002</v>
      </c>
      <c r="U606" s="365">
        <f t="shared" si="62"/>
        <v>156.68522999999999</v>
      </c>
      <c r="V606" s="365">
        <f>IF($Q606="ekrk",IF($R606="data",IFERROR(INDEX(data!$A:$ALL,MATCH($M606,data!$A:$A,0),MATCH(V$2,data!$1:$1,0)),"#data"),IFERROR(U606*INDEX(indexy_SDcast!$A:$ALI,MATCH($R606,indexy_SDcast!$K:$K,0),MATCH(V$2,indexy_SDcast!$2:$2,0)),"#ekrk")),"#popis")</f>
        <v>200.59346782754704</v>
      </c>
      <c r="W606" s="365">
        <f>IF($Q606="ekrk",IF($R606="data",IFERROR(INDEX(data!$A:$ALL,MATCH($M606,data!$A:$A,0),MATCH(W$2,data!$1:$1,0)),"#data"),IFERROR(V606*INDEX(indexy_SDcast!$A:$ALI,MATCH($R606,indexy_SDcast!$K:$K,0),MATCH(W$2,indexy_SDcast!$2:$2,0)),"#ekrk")),"#popis")</f>
        <v>202.84840031646002</v>
      </c>
      <c r="X606" s="365">
        <f>IF($Q606="ekrk",IF($R606="data",IFERROR(INDEX(data!$A:$ALL,MATCH($M606,data!$A:$A,0),MATCH(X$2,data!$1:$1,0)),"#data"),IFERROR(W606*INDEX(indexy_SDcast!$A:$ALI,MATCH($R606,indexy_SDcast!$K:$K,0),MATCH(X$2,indexy_SDcast!$2:$2,0)),"#ekrk")),"#popis")</f>
        <v>130.29479946618741</v>
      </c>
      <c r="Y606" s="362">
        <f>IF($Q606="ekrk",IF($R606="data",IFERROR(INDEX(data!$A:$ALL,MATCH($M606,data!$A:$A,0),MATCH(Y$2,data!$1:$1,0)),"#data"),IFERROR(X606*INDEX(indexy_SDcast!$A:$ALI,MATCH($R606,indexy_SDcast!$K:$K,0),MATCH(Y$2,indexy_SDcast!$2:$2,0)),"#ekrk")),"#popis")</f>
        <v>176.26905424819236</v>
      </c>
    </row>
    <row r="607" spans="1:44" s="18" customFormat="1" x14ac:dyDescent="0.25">
      <c r="A607" s="333" t="s">
        <v>745</v>
      </c>
      <c r="B607" s="334">
        <v>-599.72440999999992</v>
      </c>
      <c r="C607" s="164"/>
      <c r="D607" s="333" t="s">
        <v>745</v>
      </c>
      <c r="E607" s="334">
        <v>-599.72440999999992</v>
      </c>
      <c r="F607" s="164"/>
      <c r="G607" s="333" t="s">
        <v>745</v>
      </c>
      <c r="H607" s="334">
        <v>-599.72440999999992</v>
      </c>
      <c r="I607" s="164"/>
      <c r="J607" s="333" t="s">
        <v>745</v>
      </c>
      <c r="K607" s="334">
        <v>-599.72440999999992</v>
      </c>
      <c r="L607" s="164"/>
      <c r="M607" s="358" t="str">
        <f t="shared" si="57"/>
        <v>K21A</v>
      </c>
      <c r="N607" s="239">
        <f t="shared" si="58"/>
        <v>-599.72440999999992</v>
      </c>
      <c r="O607" s="243"/>
      <c r="P607" s="243">
        <f>MATCH(Q607,Q608:Q$1550,0)</f>
        <v>2</v>
      </c>
      <c r="Q607" s="243" t="s">
        <v>697</v>
      </c>
      <c r="R607" s="359" t="str">
        <f>IF(Q607="ekrk",INDEX(indexy_SDcast!$A:$C,MATCH($M607,indexy_SDcast!$A:$A,0),2),"")</f>
        <v/>
      </c>
      <c r="S607" s="240"/>
      <c r="T607" s="363" t="str">
        <f t="shared" si="63"/>
        <v>K21A</v>
      </c>
      <c r="U607" s="244">
        <f>SUM(U608:U608)</f>
        <v>-599.72440999999992</v>
      </c>
      <c r="V607" s="244">
        <f>SUM(V608:V608)</f>
        <v>-767.78646680819645</v>
      </c>
      <c r="W607" s="244">
        <f>SUM(W608:W608)</f>
        <v>-776.41738917722364</v>
      </c>
      <c r="X607" s="244">
        <f>SUM(X608:X608)</f>
        <v>-498.71306782347995</v>
      </c>
      <c r="Y607" s="359">
        <f>SUM(Y608:Y608)</f>
        <v>-674.68295869531005</v>
      </c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8"/>
      <c r="AN607" s="58"/>
      <c r="AO607" s="58"/>
      <c r="AP607" s="58"/>
      <c r="AQ607" s="58"/>
      <c r="AR607" s="58"/>
    </row>
    <row r="608" spans="1:44" x14ac:dyDescent="0.25">
      <c r="A608" s="330">
        <v>711001</v>
      </c>
      <c r="B608" s="329">
        <v>-599.72440999999992</v>
      </c>
      <c r="C608" s="157"/>
      <c r="D608" s="330">
        <v>711001</v>
      </c>
      <c r="E608" s="329">
        <v>-599.72440999999992</v>
      </c>
      <c r="F608" s="157"/>
      <c r="G608" s="330">
        <v>711001</v>
      </c>
      <c r="H608" s="329">
        <v>-599.72440999999992</v>
      </c>
      <c r="I608" s="157"/>
      <c r="J608" s="330">
        <v>711001</v>
      </c>
      <c r="K608" s="329">
        <v>-599.72440999999992</v>
      </c>
      <c r="L608" s="157"/>
      <c r="M608" s="360">
        <f t="shared" si="57"/>
        <v>711001</v>
      </c>
      <c r="N608" s="237">
        <f t="shared" si="58"/>
        <v>-599.72440999999992</v>
      </c>
      <c r="O608" s="361"/>
      <c r="P608" s="361"/>
      <c r="Q608" s="361" t="s">
        <v>698</v>
      </c>
      <c r="R608" s="362">
        <v>35</v>
      </c>
      <c r="S608" s="236"/>
      <c r="T608" s="364">
        <f t="shared" si="63"/>
        <v>711001</v>
      </c>
      <c r="U608" s="365">
        <f>N608</f>
        <v>-599.72440999999992</v>
      </c>
      <c r="V608" s="365">
        <f>IF($Q608="ekrk",IF($R608="data",IFERROR(INDEX(data!$A:$ALL,MATCH($M608,data!$A:$A,0),MATCH(V$2,data!$1:$1,0)),"#data"),IFERROR(U608*INDEX(indexy_SDcast!$A:$ALI,MATCH($R608,indexy_SDcast!$K:$K,0),MATCH(V$2,indexy_SDcast!$2:$2,0)),"#ekrk")),"#popis")</f>
        <v>-767.78646680819645</v>
      </c>
      <c r="W608" s="365">
        <f>IF($Q608="ekrk",IF($R608="data",IFERROR(INDEX(data!$A:$ALL,MATCH($M608,data!$A:$A,0),MATCH(W$2,data!$1:$1,0)),"#data"),IFERROR(V608*INDEX(indexy_SDcast!$A:$ALI,MATCH($R608,indexy_SDcast!$K:$K,0),MATCH(W$2,indexy_SDcast!$2:$2,0)),"#ekrk")),"#popis")</f>
        <v>-776.41738917722364</v>
      </c>
      <c r="X608" s="365">
        <f>IF($Q608="ekrk",IF($R608="data",IFERROR(INDEX(data!$A:$ALL,MATCH($M608,data!$A:$A,0),MATCH(X$2,data!$1:$1,0)),"#data"),IFERROR(W608*INDEX(indexy_SDcast!$A:$ALI,MATCH($R608,indexy_SDcast!$K:$K,0),MATCH(X$2,indexy_SDcast!$2:$2,0)),"#ekrk")),"#popis")</f>
        <v>-498.71306782347995</v>
      </c>
      <c r="Y608" s="362">
        <f>IF($Q608="ekrk",IF($R608="data",IFERROR(INDEX(data!$A:$ALL,MATCH($M608,data!$A:$A,0),MATCH(Y$2,data!$1:$1,0)),"#data"),IFERROR(X608*INDEX(indexy_SDcast!$A:$ALI,MATCH($R608,indexy_SDcast!$K:$K,0),MATCH(Y$2,indexy_SDcast!$2:$2,0)),"#ekrk")),"#popis")</f>
        <v>-674.68295869531005</v>
      </c>
    </row>
    <row r="609" spans="1:44" s="18" customFormat="1" x14ac:dyDescent="0.25">
      <c r="A609" s="333" t="s">
        <v>746</v>
      </c>
      <c r="B609" s="334">
        <v>2.3041</v>
      </c>
      <c r="C609" s="164"/>
      <c r="D609" s="333" t="s">
        <v>746</v>
      </c>
      <c r="E609" s="334">
        <v>2.3041</v>
      </c>
      <c r="F609" s="164"/>
      <c r="G609" s="333" t="s">
        <v>746</v>
      </c>
      <c r="H609" s="334">
        <v>2.3041</v>
      </c>
      <c r="I609" s="164"/>
      <c r="J609" s="333" t="s">
        <v>746</v>
      </c>
      <c r="K609" s="334">
        <v>2.3041</v>
      </c>
      <c r="L609" s="164"/>
      <c r="M609" s="358" t="str">
        <f t="shared" si="57"/>
        <v>K21D</v>
      </c>
      <c r="N609" s="239">
        <f t="shared" si="58"/>
        <v>2.3041</v>
      </c>
      <c r="O609" s="243"/>
      <c r="P609" s="243">
        <f>MATCH(Q609,Q610:Q$1550,0)</f>
        <v>2</v>
      </c>
      <c r="Q609" s="243" t="s">
        <v>697</v>
      </c>
      <c r="R609" s="359" t="str">
        <f>IF(Q609="ekrk",INDEX(indexy_SDcast!$A:$C,MATCH($M609,indexy_SDcast!$A:$A,0),2),"")</f>
        <v/>
      </c>
      <c r="S609" s="240"/>
      <c r="T609" s="363" t="str">
        <f t="shared" si="63"/>
        <v>K21D</v>
      </c>
      <c r="U609" s="244">
        <f>SUM(U610:U610)</f>
        <v>2.3041</v>
      </c>
      <c r="V609" s="244">
        <f>SUM(V610:V610)</f>
        <v>2.9497828813950822</v>
      </c>
      <c r="W609" s="244">
        <f>SUM(W610:W610)</f>
        <v>2.982942292449362</v>
      </c>
      <c r="X609" s="244">
        <f>SUM(X610:X610)</f>
        <v>1.91602135983106</v>
      </c>
      <c r="Y609" s="359">
        <f>SUM(Y610:Y610)</f>
        <v>2.5920855966657483</v>
      </c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8"/>
      <c r="AN609" s="58"/>
      <c r="AO609" s="58"/>
      <c r="AP609" s="58"/>
      <c r="AQ609" s="58"/>
      <c r="AR609" s="58"/>
    </row>
    <row r="610" spans="1:44" x14ac:dyDescent="0.25">
      <c r="A610" s="330">
        <v>233001</v>
      </c>
      <c r="B610" s="329">
        <v>2.3041</v>
      </c>
      <c r="C610" s="157"/>
      <c r="D610" s="330">
        <v>233001</v>
      </c>
      <c r="E610" s="329">
        <v>2.3041</v>
      </c>
      <c r="F610" s="157"/>
      <c r="G610" s="330">
        <v>233001</v>
      </c>
      <c r="H610" s="329">
        <v>2.3041</v>
      </c>
      <c r="I610" s="157"/>
      <c r="J610" s="330">
        <v>233001</v>
      </c>
      <c r="K610" s="329">
        <v>2.3041</v>
      </c>
      <c r="L610" s="157"/>
      <c r="M610" s="360">
        <f t="shared" ref="M610:M673" si="64">J610</f>
        <v>233001</v>
      </c>
      <c r="N610" s="237">
        <f t="shared" ref="N610:N673" si="65">K610</f>
        <v>2.3041</v>
      </c>
      <c r="O610" s="361"/>
      <c r="P610" s="361"/>
      <c r="Q610" s="361" t="s">
        <v>698</v>
      </c>
      <c r="R610" s="362">
        <v>35</v>
      </c>
      <c r="S610" s="236"/>
      <c r="T610" s="364">
        <f t="shared" si="63"/>
        <v>233001</v>
      </c>
      <c r="U610" s="365">
        <f>N610</f>
        <v>2.3041</v>
      </c>
      <c r="V610" s="365">
        <f>IF($Q610="ekrk",IF($R610="data",IFERROR(INDEX(data!$A:$ALL,MATCH($M610,data!$A:$A,0),MATCH(V$2,data!$1:$1,0)),"#data"),IFERROR(U610*INDEX(indexy_SDcast!$A:$ALI,MATCH($R610,indexy_SDcast!$K:$K,0),MATCH(V$2,indexy_SDcast!$2:$2,0)),"#ekrk")),"#popis")</f>
        <v>2.9497828813950822</v>
      </c>
      <c r="W610" s="365">
        <f>IF($Q610="ekrk",IF($R610="data",IFERROR(INDEX(data!$A:$ALL,MATCH($M610,data!$A:$A,0),MATCH(W$2,data!$1:$1,0)),"#data"),IFERROR(V610*INDEX(indexy_SDcast!$A:$ALI,MATCH($R610,indexy_SDcast!$K:$K,0),MATCH(W$2,indexy_SDcast!$2:$2,0)),"#ekrk")),"#popis")</f>
        <v>2.982942292449362</v>
      </c>
      <c r="X610" s="365">
        <f>IF($Q610="ekrk",IF($R610="data",IFERROR(INDEX(data!$A:$ALL,MATCH($M610,data!$A:$A,0),MATCH(X$2,data!$1:$1,0)),"#data"),IFERROR(W610*INDEX(indexy_SDcast!$A:$ALI,MATCH($R610,indexy_SDcast!$K:$K,0),MATCH(X$2,indexy_SDcast!$2:$2,0)),"#ekrk")),"#popis")</f>
        <v>1.91602135983106</v>
      </c>
      <c r="Y610" s="362">
        <f>IF($Q610="ekrk",IF($R610="data",IFERROR(INDEX(data!$A:$ALL,MATCH($M610,data!$A:$A,0),MATCH(Y$2,data!$1:$1,0)),"#data"),IFERROR(X610*INDEX(indexy_SDcast!$A:$ALI,MATCH($R610,indexy_SDcast!$K:$K,0),MATCH(Y$2,indexy_SDcast!$2:$2,0)),"#ekrk")),"#popis")</f>
        <v>2.5920855966657483</v>
      </c>
    </row>
    <row r="611" spans="1:44" s="18" customFormat="1" x14ac:dyDescent="0.25">
      <c r="A611" s="333" t="s">
        <v>747</v>
      </c>
      <c r="B611" s="334">
        <v>-919.29025999999999</v>
      </c>
      <c r="C611" s="164"/>
      <c r="D611" s="333" t="s">
        <v>747</v>
      </c>
      <c r="E611" s="334">
        <v>-919.29025999999999</v>
      </c>
      <c r="F611" s="164"/>
      <c r="G611" s="333" t="s">
        <v>747</v>
      </c>
      <c r="H611" s="334">
        <v>-919.29025999999999</v>
      </c>
      <c r="I611" s="164"/>
      <c r="J611" s="333" t="s">
        <v>747</v>
      </c>
      <c r="K611" s="334">
        <v>-919.29025999999999</v>
      </c>
      <c r="L611" s="164"/>
      <c r="M611" s="358" t="str">
        <f t="shared" si="64"/>
        <v>K22A</v>
      </c>
      <c r="N611" s="239">
        <f t="shared" si="65"/>
        <v>-919.29025999999999</v>
      </c>
      <c r="O611" s="243"/>
      <c r="P611" s="243">
        <f>MATCH(Q611,Q612:Q$1550,0)</f>
        <v>2</v>
      </c>
      <c r="Q611" s="243" t="s">
        <v>697</v>
      </c>
      <c r="R611" s="359" t="str">
        <f>IF(Q611="ekrk",INDEX(indexy_SDcast!$A:$C,MATCH($M611,indexy_SDcast!$A:$A,0),2),"")</f>
        <v/>
      </c>
      <c r="S611" s="240"/>
      <c r="T611" s="363" t="str">
        <f t="shared" si="63"/>
        <v>K22A</v>
      </c>
      <c r="U611" s="244">
        <f>SUM(U612:U612)</f>
        <v>-919.29025999999999</v>
      </c>
      <c r="V611" s="244">
        <f>SUM(V612:V612)</f>
        <v>-1176.9049398816171</v>
      </c>
      <c r="W611" s="244">
        <f>SUM(W612:W612)</f>
        <v>-1190.1348880650883</v>
      </c>
      <c r="X611" s="244">
        <f>SUM(X612:X612)</f>
        <v>-764.45456969951329</v>
      </c>
      <c r="Y611" s="359">
        <f>SUM(Y612:Y612)</f>
        <v>-1034.1908086025394</v>
      </c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8"/>
      <c r="AN611" s="58"/>
      <c r="AO611" s="58"/>
      <c r="AP611" s="58"/>
      <c r="AQ611" s="58"/>
      <c r="AR611" s="58"/>
    </row>
    <row r="612" spans="1:44" x14ac:dyDescent="0.25">
      <c r="A612" s="330">
        <v>711004</v>
      </c>
      <c r="B612" s="329">
        <v>-919.29025999999999</v>
      </c>
      <c r="C612" s="157"/>
      <c r="D612" s="330">
        <v>711004</v>
      </c>
      <c r="E612" s="329">
        <v>-919.29025999999999</v>
      </c>
      <c r="F612" s="157"/>
      <c r="G612" s="330">
        <v>711004</v>
      </c>
      <c r="H612" s="329">
        <v>-919.29025999999999</v>
      </c>
      <c r="I612" s="157"/>
      <c r="J612" s="330">
        <v>711004</v>
      </c>
      <c r="K612" s="329">
        <v>-919.29025999999999</v>
      </c>
      <c r="L612" s="157"/>
      <c r="M612" s="360">
        <f t="shared" si="64"/>
        <v>711004</v>
      </c>
      <c r="N612" s="237">
        <f t="shared" si="65"/>
        <v>-919.29025999999999</v>
      </c>
      <c r="O612" s="361"/>
      <c r="P612" s="361"/>
      <c r="Q612" s="361" t="s">
        <v>698</v>
      </c>
      <c r="R612" s="362">
        <v>35</v>
      </c>
      <c r="S612" s="236"/>
      <c r="T612" s="364">
        <f t="shared" si="63"/>
        <v>711004</v>
      </c>
      <c r="U612" s="365">
        <f>N612</f>
        <v>-919.29025999999999</v>
      </c>
      <c r="V612" s="365">
        <f>IF($Q612="ekrk",IF($R612="data",IFERROR(INDEX(data!$A:$ALL,MATCH($M612,data!$A:$A,0),MATCH(V$2,data!$1:$1,0)),"#data"),IFERROR(U612*INDEX(indexy_SDcast!$A:$ALI,MATCH($R612,indexy_SDcast!$K:$K,0),MATCH(V$2,indexy_SDcast!$2:$2,0)),"#ekrk")),"#popis")</f>
        <v>-1176.9049398816171</v>
      </c>
      <c r="W612" s="365">
        <f>IF($Q612="ekrk",IF($R612="data",IFERROR(INDEX(data!$A:$ALL,MATCH($M612,data!$A:$A,0),MATCH(W$2,data!$1:$1,0)),"#data"),IFERROR(V612*INDEX(indexy_SDcast!$A:$ALI,MATCH($R612,indexy_SDcast!$K:$K,0),MATCH(W$2,indexy_SDcast!$2:$2,0)),"#ekrk")),"#popis")</f>
        <v>-1190.1348880650883</v>
      </c>
      <c r="X612" s="365">
        <f>IF($Q612="ekrk",IF($R612="data",IFERROR(INDEX(data!$A:$ALL,MATCH($M612,data!$A:$A,0),MATCH(X$2,data!$1:$1,0)),"#data"),IFERROR(W612*INDEX(indexy_SDcast!$A:$ALI,MATCH($R612,indexy_SDcast!$K:$K,0),MATCH(X$2,indexy_SDcast!$2:$2,0)),"#ekrk")),"#popis")</f>
        <v>-764.45456969951329</v>
      </c>
      <c r="Y612" s="362">
        <f>IF($Q612="ekrk",IF($R612="data",IFERROR(INDEX(data!$A:$ALL,MATCH($M612,data!$A:$A,0),MATCH(Y$2,data!$1:$1,0)),"#data"),IFERROR(X612*INDEX(indexy_SDcast!$A:$ALI,MATCH($R612,indexy_SDcast!$K:$K,0),MATCH(Y$2,indexy_SDcast!$2:$2,0)),"#ekrk")),"#popis")</f>
        <v>-1034.1908086025394</v>
      </c>
    </row>
    <row r="613" spans="1:44" s="18" customFormat="1" x14ac:dyDescent="0.25">
      <c r="A613" s="333" t="s">
        <v>749</v>
      </c>
      <c r="B613" s="334">
        <v>11.594019999999999</v>
      </c>
      <c r="C613" s="164"/>
      <c r="D613" s="333" t="s">
        <v>749</v>
      </c>
      <c r="E613" s="334">
        <v>11.594019999999999</v>
      </c>
      <c r="F613" s="164"/>
      <c r="G613" s="333" t="s">
        <v>749</v>
      </c>
      <c r="H613" s="334">
        <v>11.594019999999999</v>
      </c>
      <c r="I613" s="164"/>
      <c r="J613" s="333" t="s">
        <v>749</v>
      </c>
      <c r="K613" s="334">
        <v>11.594019999999999</v>
      </c>
      <c r="L613" s="164"/>
      <c r="M613" s="358" t="str">
        <f t="shared" si="64"/>
        <v>P11</v>
      </c>
      <c r="N613" s="239">
        <f t="shared" si="65"/>
        <v>11.594019999999999</v>
      </c>
      <c r="O613" s="243"/>
      <c r="P613" s="243">
        <f>MATCH(Q613,Q614:Q$1550,0)</f>
        <v>4</v>
      </c>
      <c r="Q613" s="243" t="s">
        <v>697</v>
      </c>
      <c r="R613" s="359" t="str">
        <f>IF(Q613="ekrk",INDEX(indexy_SDcast!$A:$C,MATCH($M613,indexy_SDcast!$A:$A,0),2),"")</f>
        <v/>
      </c>
      <c r="S613" s="240"/>
      <c r="T613" s="363" t="str">
        <f t="shared" si="63"/>
        <v>P11</v>
      </c>
      <c r="U613" s="244">
        <f>SUM(U614:U616)</f>
        <v>11.594019999999999</v>
      </c>
      <c r="V613" s="244">
        <f>SUM(V614:V616)</f>
        <v>14.843037074151384</v>
      </c>
      <c r="W613" s="244">
        <f>SUM(W614:W616)</f>
        <v>15.009892191095764</v>
      </c>
      <c r="X613" s="244">
        <f>SUM(X614:X616)</f>
        <v>9.6412438550013029</v>
      </c>
      <c r="Y613" s="359">
        <f>SUM(Y614:Y616)</f>
        <v>13.043137124888077</v>
      </c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8"/>
      <c r="AN613" s="58"/>
      <c r="AO613" s="58"/>
      <c r="AP613" s="58"/>
      <c r="AQ613" s="58"/>
      <c r="AR613" s="58"/>
    </row>
    <row r="614" spans="1:44" x14ac:dyDescent="0.25">
      <c r="A614" s="330">
        <v>212003</v>
      </c>
      <c r="B614" s="329">
        <v>1.5449999999999998E-2</v>
      </c>
      <c r="C614" s="157"/>
      <c r="D614" s="330">
        <v>212003</v>
      </c>
      <c r="E614" s="329">
        <v>1.5449999999999998E-2</v>
      </c>
      <c r="F614" s="157"/>
      <c r="G614" s="330">
        <v>212003</v>
      </c>
      <c r="H614" s="329">
        <v>1.5449999999999998E-2</v>
      </c>
      <c r="I614" s="157"/>
      <c r="J614" s="330">
        <v>212003</v>
      </c>
      <c r="K614" s="329">
        <v>1.5449999999999998E-2</v>
      </c>
      <c r="L614" s="157"/>
      <c r="M614" s="360">
        <f t="shared" si="64"/>
        <v>212003</v>
      </c>
      <c r="N614" s="237">
        <f t="shared" si="65"/>
        <v>1.5449999999999998E-2</v>
      </c>
      <c r="O614" s="361"/>
      <c r="P614" s="361"/>
      <c r="Q614" s="361" t="s">
        <v>698</v>
      </c>
      <c r="R614" s="362">
        <v>35</v>
      </c>
      <c r="S614" s="236"/>
      <c r="T614" s="364">
        <f t="shared" si="63"/>
        <v>212003</v>
      </c>
      <c r="U614" s="365">
        <f>N614</f>
        <v>1.5449999999999998E-2</v>
      </c>
      <c r="V614" s="365">
        <f>IF($Q614="ekrk",IF($R614="data",IFERROR(INDEX(data!$A:$ALL,MATCH($M614,data!$A:$A,0),MATCH(V$2,data!$1:$1,0)),"#data"),IFERROR(U614*INDEX(indexy_SDcast!$A:$ALI,MATCH($R614,indexy_SDcast!$K:$K,0),MATCH(V$2,indexy_SDcast!$2:$2,0)),"#ekrk")),"#popis")</f>
        <v>1.9779586614102694E-2</v>
      </c>
      <c r="W614" s="365">
        <f>IF($Q614="ekrk",IF($R614="data",IFERROR(INDEX(data!$A:$ALL,MATCH($M614,data!$A:$A,0),MATCH(W$2,data!$1:$1,0)),"#data"),IFERROR(V614*INDEX(indexy_SDcast!$A:$ALI,MATCH($R614,indexy_SDcast!$K:$K,0),MATCH(W$2,indexy_SDcast!$2:$2,0)),"#ekrk")),"#popis")</f>
        <v>2.000193499342157E-2</v>
      </c>
      <c r="X614" s="365">
        <f>IF($Q614="ekrk",IF($R614="data",IFERROR(INDEX(data!$A:$ALL,MATCH($M614,data!$A:$A,0),MATCH(X$2,data!$1:$1,0)),"#data"),IFERROR(W614*INDEX(indexy_SDcast!$A:$ALI,MATCH($R614,indexy_SDcast!$K:$K,0),MATCH(X$2,indexy_SDcast!$2:$2,0)),"#ekrk")),"#popis")</f>
        <v>1.2847762687986578E-2</v>
      </c>
      <c r="Y614" s="362">
        <f>IF($Q614="ekrk",IF($R614="data",IFERROR(INDEX(data!$A:$ALL,MATCH($M614,data!$A:$A,0),MATCH(Y$2,data!$1:$1,0)),"#data"),IFERROR(X614*INDEX(indexy_SDcast!$A:$ALI,MATCH($R614,indexy_SDcast!$K:$K,0),MATCH(Y$2,indexy_SDcast!$2:$2,0)),"#ekrk")),"#popis")</f>
        <v>1.738106960135663E-2</v>
      </c>
    </row>
    <row r="615" spans="1:44" x14ac:dyDescent="0.25">
      <c r="A615" s="330">
        <v>223001</v>
      </c>
      <c r="B615" s="329">
        <v>11.453019999999999</v>
      </c>
      <c r="C615" s="157"/>
      <c r="D615" s="330">
        <v>223001</v>
      </c>
      <c r="E615" s="329">
        <v>11.453019999999999</v>
      </c>
      <c r="F615" s="157"/>
      <c r="G615" s="330">
        <v>223001</v>
      </c>
      <c r="H615" s="329">
        <v>11.453019999999999</v>
      </c>
      <c r="I615" s="157"/>
      <c r="J615" s="330">
        <v>223001</v>
      </c>
      <c r="K615" s="329">
        <v>11.453019999999999</v>
      </c>
      <c r="L615" s="157"/>
      <c r="M615" s="360">
        <f t="shared" si="64"/>
        <v>223001</v>
      </c>
      <c r="N615" s="237">
        <f t="shared" si="65"/>
        <v>11.453019999999999</v>
      </c>
      <c r="O615" s="361"/>
      <c r="P615" s="361"/>
      <c r="Q615" s="361" t="s">
        <v>698</v>
      </c>
      <c r="R615" s="362">
        <v>35</v>
      </c>
      <c r="S615" s="236"/>
      <c r="T615" s="364">
        <f t="shared" si="63"/>
        <v>223001</v>
      </c>
      <c r="U615" s="365">
        <f>N615</f>
        <v>11.453019999999999</v>
      </c>
      <c r="V615" s="365">
        <f>IF($Q615="ekrk",IF($R615="data",IFERROR(INDEX(data!$A:$ALL,MATCH($M615,data!$A:$A,0),MATCH(V$2,data!$1:$1,0)),"#data"),IFERROR(U615*INDEX(indexy_SDcast!$A:$ALI,MATCH($R615,indexy_SDcast!$K:$K,0),MATCH(V$2,indexy_SDcast!$2:$2,0)),"#ekrk")),"#popis")</f>
        <v>14.66252434194501</v>
      </c>
      <c r="W615" s="365">
        <f>IF($Q615="ekrk",IF($R615="data",IFERROR(INDEX(data!$A:$ALL,MATCH($M615,data!$A:$A,0),MATCH(W$2,data!$1:$1,0)),"#data"),IFERROR(V615*INDEX(indexy_SDcast!$A:$ALI,MATCH($R615,indexy_SDcast!$K:$K,0),MATCH(W$2,indexy_SDcast!$2:$2,0)),"#ekrk")),"#popis")</f>
        <v>14.827350260087838</v>
      </c>
      <c r="X615" s="365">
        <f>IF($Q615="ekrk",IF($R615="data",IFERROR(INDEX(data!$A:$ALL,MATCH($M615,data!$A:$A,0),MATCH(X$2,data!$1:$1,0)),"#data"),IFERROR(W615*INDEX(indexy_SDcast!$A:$ALI,MATCH($R615,indexy_SDcast!$K:$K,0),MATCH(X$2,indexy_SDcast!$2:$2,0)),"#ekrk")),"#popis")</f>
        <v>9.5239924285284161</v>
      </c>
      <c r="Y615" s="362">
        <f>IF($Q615="ekrk",IF($R615="data",IFERROR(INDEX(data!$A:$ALL,MATCH($M615,data!$A:$A,0),MATCH(Y$2,data!$1:$1,0)),"#data"),IFERROR(X615*INDEX(indexy_SDcast!$A:$ALI,MATCH($R615,indexy_SDcast!$K:$K,0),MATCH(Y$2,indexy_SDcast!$2:$2,0)),"#ekrk")),"#popis")</f>
        <v>12.884513771244627</v>
      </c>
    </row>
    <row r="616" spans="1:44" x14ac:dyDescent="0.25">
      <c r="A616" s="330">
        <v>223003</v>
      </c>
      <c r="B616" s="329">
        <v>0.12554999999999999</v>
      </c>
      <c r="C616" s="157"/>
      <c r="D616" s="330">
        <v>223003</v>
      </c>
      <c r="E616" s="329">
        <v>0.12554999999999999</v>
      </c>
      <c r="F616" s="157"/>
      <c r="G616" s="330">
        <v>223003</v>
      </c>
      <c r="H616" s="329">
        <v>0.12554999999999999</v>
      </c>
      <c r="I616" s="157"/>
      <c r="J616" s="330">
        <v>223003</v>
      </c>
      <c r="K616" s="329">
        <v>0.12554999999999999</v>
      </c>
      <c r="L616" s="157"/>
      <c r="M616" s="360">
        <f t="shared" si="64"/>
        <v>223003</v>
      </c>
      <c r="N616" s="237">
        <f t="shared" si="65"/>
        <v>0.12554999999999999</v>
      </c>
      <c r="O616" s="361"/>
      <c r="P616" s="361"/>
      <c r="Q616" s="361" t="s">
        <v>698</v>
      </c>
      <c r="R616" s="362">
        <v>35</v>
      </c>
      <c r="S616" s="236"/>
      <c r="T616" s="364">
        <f t="shared" si="63"/>
        <v>223003</v>
      </c>
      <c r="U616" s="365">
        <f>N616</f>
        <v>0.12554999999999999</v>
      </c>
      <c r="V616" s="365">
        <f>IF($Q616="ekrk",IF($R616="data",IFERROR(INDEX(data!$A:$ALL,MATCH($M616,data!$A:$A,0),MATCH(V$2,data!$1:$1,0)),"#data"),IFERROR(U616*INDEX(indexy_SDcast!$A:$ALI,MATCH($R616,indexy_SDcast!$K:$K,0),MATCH(V$2,indexy_SDcast!$2:$2,0)),"#ekrk")),"#popis")</f>
        <v>0.16073314559227142</v>
      </c>
      <c r="W616" s="365">
        <f>IF($Q616="ekrk",IF($R616="data",IFERROR(INDEX(data!$A:$ALL,MATCH($M616,data!$A:$A,0),MATCH(W$2,data!$1:$1,0)),"#data"),IFERROR(V616*INDEX(indexy_SDcast!$A:$ALI,MATCH($R616,indexy_SDcast!$K:$K,0),MATCH(W$2,indexy_SDcast!$2:$2,0)),"#ekrk")),"#popis")</f>
        <v>0.16253999601450347</v>
      </c>
      <c r="X616" s="365">
        <f>IF($Q616="ekrk",IF($R616="data",IFERROR(INDEX(data!$A:$ALL,MATCH($M616,data!$A:$A,0),MATCH(X$2,data!$1:$1,0)),"#data"),IFERROR(W616*INDEX(indexy_SDcast!$A:$ALI,MATCH($R616,indexy_SDcast!$K:$K,0),MATCH(X$2,indexy_SDcast!$2:$2,0)),"#ekrk")),"#popis")</f>
        <v>0.10440366378490067</v>
      </c>
      <c r="Y616" s="362">
        <f>IF($Q616="ekrk",IF($R616="data",IFERROR(INDEX(data!$A:$ALL,MATCH($M616,data!$A:$A,0),MATCH(Y$2,data!$1:$1,0)),"#data"),IFERROR(X616*INDEX(indexy_SDcast!$A:$ALI,MATCH($R616,indexy_SDcast!$K:$K,0),MATCH(Y$2,indexy_SDcast!$2:$2,0)),"#ekrk")),"#popis")</f>
        <v>0.14124228404209224</v>
      </c>
    </row>
    <row r="617" spans="1:44" s="18" customFormat="1" x14ac:dyDescent="0.25">
      <c r="A617" s="333" t="s">
        <v>753</v>
      </c>
      <c r="B617" s="334">
        <v>-15784.63517</v>
      </c>
      <c r="C617" s="164"/>
      <c r="D617" s="333" t="s">
        <v>753</v>
      </c>
      <c r="E617" s="334">
        <v>-15784.63517</v>
      </c>
      <c r="F617" s="164"/>
      <c r="G617" s="333" t="s">
        <v>753</v>
      </c>
      <c r="H617" s="334">
        <v>-15784.63517</v>
      </c>
      <c r="I617" s="164"/>
      <c r="J617" s="333" t="s">
        <v>753</v>
      </c>
      <c r="K617" s="334">
        <v>-15784.63517</v>
      </c>
      <c r="L617" s="164"/>
      <c r="M617" s="358" t="str">
        <f t="shared" si="64"/>
        <v>P2</v>
      </c>
      <c r="N617" s="239">
        <f t="shared" si="65"/>
        <v>-15784.63517</v>
      </c>
      <c r="O617" s="243"/>
      <c r="P617" s="243">
        <f>MATCH(Q617,Q618:Q$1550,0)</f>
        <v>54</v>
      </c>
      <c r="Q617" s="243" t="s">
        <v>697</v>
      </c>
      <c r="R617" s="359" t="str">
        <f>IF(Q617="ekrk",INDEX(indexy_SDcast!$A:$C,MATCH($M617,indexy_SDcast!$A:$A,0),2),"")</f>
        <v/>
      </c>
      <c r="S617" s="240"/>
      <c r="T617" s="363" t="str">
        <f t="shared" si="63"/>
        <v>P2</v>
      </c>
      <c r="U617" s="244">
        <f>SUM(U618:U670)</f>
        <v>-15784.63517</v>
      </c>
      <c r="V617" s="244">
        <f>SUM(V618:V670)</f>
        <v>-20207.997315017903</v>
      </c>
      <c r="W617" s="244">
        <f>SUM(W618:W670)</f>
        <v>-20435.16158998161</v>
      </c>
      <c r="X617" s="244">
        <f>SUM(X618:X670)</f>
        <v>-13126.035390330531</v>
      </c>
      <c r="Y617" s="359">
        <f>SUM(Y618:Y670)</f>
        <v>-17757.530260310148</v>
      </c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8"/>
      <c r="AN617" s="58"/>
      <c r="AO617" s="58"/>
      <c r="AP617" s="58"/>
      <c r="AQ617" s="58"/>
      <c r="AR617" s="58"/>
    </row>
    <row r="618" spans="1:44" x14ac:dyDescent="0.25">
      <c r="A618" s="330">
        <v>631001</v>
      </c>
      <c r="B618" s="329">
        <v>-26.280129999999993</v>
      </c>
      <c r="C618" s="157"/>
      <c r="D618" s="330">
        <v>631001</v>
      </c>
      <c r="E618" s="329">
        <v>-26.280129999999993</v>
      </c>
      <c r="F618" s="157"/>
      <c r="G618" s="330">
        <v>631001</v>
      </c>
      <c r="H618" s="329">
        <v>-26.280129999999993</v>
      </c>
      <c r="I618" s="157"/>
      <c r="J618" s="330">
        <v>631001</v>
      </c>
      <c r="K618" s="329">
        <v>-26.280129999999993</v>
      </c>
      <c r="L618" s="157"/>
      <c r="M618" s="360">
        <f t="shared" si="64"/>
        <v>631001</v>
      </c>
      <c r="N618" s="237">
        <f t="shared" si="65"/>
        <v>-26.280129999999993</v>
      </c>
      <c r="O618" s="361"/>
      <c r="P618" s="361"/>
      <c r="Q618" s="361" t="s">
        <v>698</v>
      </c>
      <c r="R618" s="362">
        <v>35</v>
      </c>
      <c r="S618" s="236"/>
      <c r="T618" s="364">
        <f t="shared" si="63"/>
        <v>631001</v>
      </c>
      <c r="U618" s="365">
        <f t="shared" ref="U618:U649" si="66">N618</f>
        <v>-26.280129999999993</v>
      </c>
      <c r="V618" s="365">
        <f>IF($Q618="ekrk",IF($R618="data",IFERROR(INDEX(data!$A:$ALL,MATCH($M618,data!$A:$A,0),MATCH(V$2,data!$1:$1,0)),"#data"),IFERROR(U618*INDEX(indexy_SDcast!$A:$ALI,MATCH($R618,indexy_SDcast!$K:$K,0),MATCH(V$2,indexy_SDcast!$2:$2,0)),"#ekrk")),"#popis")</f>
        <v>-33.644667156302816</v>
      </c>
      <c r="W618" s="365">
        <f>IF($Q618="ekrk",IF($R618="data",IFERROR(INDEX(data!$A:$ALL,MATCH($M618,data!$A:$A,0),MATCH(W$2,data!$1:$1,0)),"#data"),IFERROR(V618*INDEX(indexy_SDcast!$A:$ALI,MATCH($R618,indexy_SDcast!$K:$K,0),MATCH(W$2,indexy_SDcast!$2:$2,0)),"#ekrk")),"#popis")</f>
        <v>-34.022877144250351</v>
      </c>
      <c r="X618" s="365">
        <f>IF($Q618="ekrk",IF($R618="data",IFERROR(INDEX(data!$A:$ALL,MATCH($M618,data!$A:$A,0),MATCH(X$2,data!$1:$1,0)),"#data"),IFERROR(W618*INDEX(indexy_SDcast!$A:$ALI,MATCH($R618,indexy_SDcast!$K:$K,0),MATCH(X$2,indexy_SDcast!$2:$2,0)),"#ekrk")),"#popis")</f>
        <v>-21.853778229737003</v>
      </c>
      <c r="Y618" s="362">
        <f>IF($Q618="ekrk",IF($R618="data",IFERROR(INDEX(data!$A:$ALL,MATCH($M618,data!$A:$A,0),MATCH(Y$2,data!$1:$1,0)),"#data"),IFERROR(X618*INDEX(indexy_SDcast!$A:$ALI,MATCH($R618,indexy_SDcast!$K:$K,0),MATCH(Y$2,indexy_SDcast!$2:$2,0)),"#ekrk")),"#popis")</f>
        <v>-29.564839395644036</v>
      </c>
    </row>
    <row r="619" spans="1:44" x14ac:dyDescent="0.25">
      <c r="A619" s="330">
        <v>631002</v>
      </c>
      <c r="B619" s="329">
        <v>-75.706909999999993</v>
      </c>
      <c r="C619" s="157"/>
      <c r="D619" s="330">
        <v>631002</v>
      </c>
      <c r="E619" s="329">
        <v>-75.706909999999993</v>
      </c>
      <c r="F619" s="157"/>
      <c r="G619" s="330">
        <v>631002</v>
      </c>
      <c r="H619" s="329">
        <v>-75.706909999999993</v>
      </c>
      <c r="I619" s="157"/>
      <c r="J619" s="330">
        <v>631002</v>
      </c>
      <c r="K619" s="329">
        <v>-75.706909999999993</v>
      </c>
      <c r="L619" s="157"/>
      <c r="M619" s="360">
        <f t="shared" si="64"/>
        <v>631002</v>
      </c>
      <c r="N619" s="237">
        <f t="shared" si="65"/>
        <v>-75.706909999999993</v>
      </c>
      <c r="O619" s="361"/>
      <c r="P619" s="361"/>
      <c r="Q619" s="361" t="s">
        <v>698</v>
      </c>
      <c r="R619" s="362">
        <v>35</v>
      </c>
      <c r="S619" s="236"/>
      <c r="T619" s="364">
        <f t="shared" si="63"/>
        <v>631002</v>
      </c>
      <c r="U619" s="365">
        <f t="shared" si="66"/>
        <v>-75.706909999999993</v>
      </c>
      <c r="V619" s="365">
        <f>IF($Q619="ekrk",IF($R619="data",IFERROR(INDEX(data!$A:$ALL,MATCH($M619,data!$A:$A,0),MATCH(V$2,data!$1:$1,0)),"#data"),IFERROR(U619*INDEX(indexy_SDcast!$A:$ALI,MATCH($R619,indexy_SDcast!$K:$K,0),MATCH(V$2,indexy_SDcast!$2:$2,0)),"#ekrk")),"#popis")</f>
        <v>-96.922419652496913</v>
      </c>
      <c r="W619" s="365">
        <f>IF($Q619="ekrk",IF($R619="data",IFERROR(INDEX(data!$A:$ALL,MATCH($M619,data!$A:$A,0),MATCH(W$2,data!$1:$1,0)),"#data"),IFERROR(V619*INDEX(indexy_SDcast!$A:$ALI,MATCH($R619,indexy_SDcast!$K:$K,0),MATCH(W$2,indexy_SDcast!$2:$2,0)),"#ekrk")),"#popis")</f>
        <v>-98.011954198887864</v>
      </c>
      <c r="X619" s="365">
        <f>IF($Q619="ekrk",IF($R619="data",IFERROR(INDEX(data!$A:$ALL,MATCH($M619,data!$A:$A,0),MATCH(X$2,data!$1:$1,0)),"#data"),IFERROR(W619*INDEX(indexy_SDcast!$A:$ALI,MATCH($R619,indexy_SDcast!$K:$K,0),MATCH(X$2,indexy_SDcast!$2:$2,0)),"#ekrk")),"#popis")</f>
        <v>-62.95562547059923</v>
      </c>
      <c r="Y619" s="362">
        <f>IF($Q619="ekrk",IF($R619="data",IFERROR(INDEX(data!$A:$ALL,MATCH($M619,data!$A:$A,0),MATCH(Y$2,data!$1:$1,0)),"#data"),IFERROR(X619*INDEX(indexy_SDcast!$A:$ALI,MATCH($R619,indexy_SDcast!$K:$K,0),MATCH(Y$2,indexy_SDcast!$2:$2,0)),"#ekrk")),"#popis")</f>
        <v>-85.169389774345788</v>
      </c>
    </row>
    <row r="620" spans="1:44" x14ac:dyDescent="0.25">
      <c r="A620" s="330">
        <v>632001</v>
      </c>
      <c r="B620" s="329">
        <v>-146.13653999999994</v>
      </c>
      <c r="C620" s="157"/>
      <c r="D620" s="330">
        <v>632001</v>
      </c>
      <c r="E620" s="329">
        <v>-146.13653999999994</v>
      </c>
      <c r="F620" s="157"/>
      <c r="G620" s="330">
        <v>632001</v>
      </c>
      <c r="H620" s="329">
        <v>-146.13653999999994</v>
      </c>
      <c r="I620" s="157"/>
      <c r="J620" s="330">
        <v>632001</v>
      </c>
      <c r="K620" s="329">
        <v>-146.13653999999994</v>
      </c>
      <c r="L620" s="157"/>
      <c r="M620" s="360">
        <f t="shared" si="64"/>
        <v>632001</v>
      </c>
      <c r="N620" s="237">
        <f t="shared" si="65"/>
        <v>-146.13653999999994</v>
      </c>
      <c r="O620" s="361"/>
      <c r="P620" s="361"/>
      <c r="Q620" s="361" t="s">
        <v>698</v>
      </c>
      <c r="R620" s="362">
        <v>35</v>
      </c>
      <c r="S620" s="236"/>
      <c r="T620" s="364">
        <f t="shared" si="63"/>
        <v>632001</v>
      </c>
      <c r="U620" s="365">
        <f t="shared" si="66"/>
        <v>-146.13653999999994</v>
      </c>
      <c r="V620" s="365">
        <f>IF($Q620="ekrk",IF($R620="data",IFERROR(INDEX(data!$A:$ALL,MATCH($M620,data!$A:$A,0),MATCH(V$2,data!$1:$1,0)),"#data"),IFERROR(U620*INDEX(indexy_SDcast!$A:$ALI,MATCH($R620,indexy_SDcast!$K:$K,0),MATCH(V$2,indexy_SDcast!$2:$2,0)),"#ekrk")),"#popis")</f>
        <v>-187.08869581975935</v>
      </c>
      <c r="W620" s="365">
        <f>IF($Q620="ekrk",IF($R620="data",IFERROR(INDEX(data!$A:$ALL,MATCH($M620,data!$A:$A,0),MATCH(W$2,data!$1:$1,0)),"#data"),IFERROR(V620*INDEX(indexy_SDcast!$A:$ALI,MATCH($R620,indexy_SDcast!$K:$K,0),MATCH(W$2,indexy_SDcast!$2:$2,0)),"#ekrk")),"#popis")</f>
        <v>-189.1918170384175</v>
      </c>
      <c r="X620" s="365">
        <f>IF($Q620="ekrk",IF($R620="data",IFERROR(INDEX(data!$A:$ALL,MATCH($M620,data!$A:$A,0),MATCH(X$2,data!$1:$1,0)),"#data"),IFERROR(W620*INDEX(indexy_SDcast!$A:$ALI,MATCH($R620,indexy_SDcast!$K:$K,0),MATCH(X$2,indexy_SDcast!$2:$2,0)),"#ekrk")),"#popis")</f>
        <v>-121.52282109795843</v>
      </c>
      <c r="Y620" s="362">
        <f>IF($Q620="ekrk",IF($R620="data",IFERROR(INDEX(data!$A:$ALL,MATCH($M620,data!$A:$A,0),MATCH(Y$2,data!$1:$1,0)),"#data"),IFERROR(X620*INDEX(indexy_SDcast!$A:$ALI,MATCH($R620,indexy_SDcast!$K:$K,0),MATCH(Y$2,indexy_SDcast!$2:$2,0)),"#ekrk")),"#popis")</f>
        <v>-164.40190116773053</v>
      </c>
    </row>
    <row r="621" spans="1:44" x14ac:dyDescent="0.25">
      <c r="A621" s="330">
        <v>632002</v>
      </c>
      <c r="B621" s="329">
        <v>-2.38558</v>
      </c>
      <c r="C621" s="157"/>
      <c r="D621" s="330">
        <v>632002</v>
      </c>
      <c r="E621" s="329">
        <v>-2.38558</v>
      </c>
      <c r="F621" s="157"/>
      <c r="G621" s="330">
        <v>632002</v>
      </c>
      <c r="H621" s="329">
        <v>-2.38558</v>
      </c>
      <c r="I621" s="157"/>
      <c r="J621" s="330">
        <v>632002</v>
      </c>
      <c r="K621" s="329">
        <v>-2.38558</v>
      </c>
      <c r="L621" s="157"/>
      <c r="M621" s="360">
        <f t="shared" si="64"/>
        <v>632002</v>
      </c>
      <c r="N621" s="237">
        <f t="shared" si="65"/>
        <v>-2.38558</v>
      </c>
      <c r="O621" s="361"/>
      <c r="P621" s="361"/>
      <c r="Q621" s="361" t="s">
        <v>698</v>
      </c>
      <c r="R621" s="362">
        <v>35</v>
      </c>
      <c r="S621" s="236"/>
      <c r="T621" s="364">
        <f t="shared" si="63"/>
        <v>632002</v>
      </c>
      <c r="U621" s="365">
        <f t="shared" si="66"/>
        <v>-2.38558</v>
      </c>
      <c r="V621" s="365">
        <f>IF($Q621="ekrk",IF($R621="data",IFERROR(INDEX(data!$A:$ALL,MATCH($M621,data!$A:$A,0),MATCH(V$2,data!$1:$1,0)),"#data"),IFERROR(U621*INDEX(indexy_SDcast!$A:$ALI,MATCH($R621,indexy_SDcast!$K:$K,0),MATCH(V$2,indexy_SDcast!$2:$2,0)),"#ekrk")),"#popis")</f>
        <v>-3.0540961964317868</v>
      </c>
      <c r="W621" s="365">
        <f>IF($Q621="ekrk",IF($R621="data",IFERROR(INDEX(data!$A:$ALL,MATCH($M621,data!$A:$A,0),MATCH(W$2,data!$1:$1,0)),"#data"),IFERROR(V621*INDEX(indexy_SDcast!$A:$ALI,MATCH($R621,indexy_SDcast!$K:$K,0),MATCH(W$2,indexy_SDcast!$2:$2,0)),"#ekrk")),"#popis")</f>
        <v>-3.0884282253467075</v>
      </c>
      <c r="X621" s="365">
        <f>IF($Q621="ekrk",IF($R621="data",IFERROR(INDEX(data!$A:$ALL,MATCH($M621,data!$A:$A,0),MATCH(X$2,data!$1:$1,0)),"#data"),IFERROR(W621*INDEX(indexy_SDcast!$A:$ALI,MATCH($R621,indexy_SDcast!$K:$K,0),MATCH(X$2,indexy_SDcast!$2:$2,0)),"#ekrk")),"#popis")</f>
        <v>-1.9837777160651795</v>
      </c>
      <c r="Y621" s="362">
        <f>IF($Q621="ekrk",IF($R621="data",IFERROR(INDEX(data!$A:$ALL,MATCH($M621,data!$A:$A,0),MATCH(Y$2,data!$1:$1,0)),"#data"),IFERROR(X621*INDEX(indexy_SDcast!$A:$ALI,MATCH($R621,indexy_SDcast!$K:$K,0),MATCH(Y$2,indexy_SDcast!$2:$2,0)),"#ekrk")),"#popis")</f>
        <v>-2.6837496452818348</v>
      </c>
    </row>
    <row r="622" spans="1:44" x14ac:dyDescent="0.25">
      <c r="A622" s="330">
        <v>632003</v>
      </c>
      <c r="B622" s="329">
        <v>-17.452799999999989</v>
      </c>
      <c r="C622" s="157"/>
      <c r="D622" s="330">
        <v>632003</v>
      </c>
      <c r="E622" s="329">
        <v>-17.452799999999989</v>
      </c>
      <c r="F622" s="157"/>
      <c r="G622" s="330">
        <v>632003</v>
      </c>
      <c r="H622" s="329">
        <v>-17.452799999999989</v>
      </c>
      <c r="I622" s="157"/>
      <c r="J622" s="330">
        <v>632003</v>
      </c>
      <c r="K622" s="329">
        <v>-17.452799999999989</v>
      </c>
      <c r="L622" s="157"/>
      <c r="M622" s="360">
        <f t="shared" si="64"/>
        <v>632003</v>
      </c>
      <c r="N622" s="237">
        <f t="shared" si="65"/>
        <v>-17.452799999999989</v>
      </c>
      <c r="O622" s="361"/>
      <c r="P622" s="361"/>
      <c r="Q622" s="361" t="s">
        <v>698</v>
      </c>
      <c r="R622" s="362">
        <v>35</v>
      </c>
      <c r="S622" s="236"/>
      <c r="T622" s="364">
        <f t="shared" si="63"/>
        <v>632003</v>
      </c>
      <c r="U622" s="365">
        <f t="shared" si="66"/>
        <v>-17.452799999999989</v>
      </c>
      <c r="V622" s="365">
        <f>IF($Q622="ekrk",IF($R622="data",IFERROR(INDEX(data!$A:$ALL,MATCH($M622,data!$A:$A,0),MATCH(V$2,data!$1:$1,0)),"#data"),IFERROR(U622*INDEX(indexy_SDcast!$A:$ALI,MATCH($R622,indexy_SDcast!$K:$K,0),MATCH(V$2,indexy_SDcast!$2:$2,0)),"#ekrk")),"#popis")</f>
        <v>-22.343635550719178</v>
      </c>
      <c r="W622" s="365">
        <f>IF($Q622="ekrk",IF($R622="data",IFERROR(INDEX(data!$A:$ALL,MATCH($M622,data!$A:$A,0),MATCH(W$2,data!$1:$1,0)),"#data"),IFERROR(V622*INDEX(indexy_SDcast!$A:$ALI,MATCH($R622,indexy_SDcast!$K:$K,0),MATCH(W$2,indexy_SDcast!$2:$2,0)),"#ekrk")),"#popis")</f>
        <v>-22.594807187908597</v>
      </c>
      <c r="X622" s="365">
        <f>IF($Q622="ekrk",IF($R622="data",IFERROR(INDEX(data!$A:$ALL,MATCH($M622,data!$A:$A,0),MATCH(X$2,data!$1:$1,0)),"#data"),IFERROR(W622*INDEX(indexy_SDcast!$A:$ALI,MATCH($R622,indexy_SDcast!$K:$K,0),MATCH(X$2,indexy_SDcast!$2:$2,0)),"#ekrk")),"#popis")</f>
        <v>-14.513231886141881</v>
      </c>
      <c r="Y622" s="362">
        <f>IF($Q622="ekrk",IF($R622="data",IFERROR(INDEX(data!$A:$ALL,MATCH($M622,data!$A:$A,0),MATCH(Y$2,data!$1:$1,0)),"#data"),IFERROR(X622*INDEX(indexy_SDcast!$A:$ALI,MATCH($R622,indexy_SDcast!$K:$K,0),MATCH(Y$2,indexy_SDcast!$2:$2,0)),"#ekrk")),"#popis")</f>
        <v>-19.634196216087823</v>
      </c>
    </row>
    <row r="623" spans="1:44" x14ac:dyDescent="0.25">
      <c r="A623" s="330">
        <v>632004</v>
      </c>
      <c r="B623" s="329">
        <v>-23.448799999999999</v>
      </c>
      <c r="C623" s="157"/>
      <c r="D623" s="330">
        <v>632004</v>
      </c>
      <c r="E623" s="329">
        <v>-23.448799999999999</v>
      </c>
      <c r="F623" s="157"/>
      <c r="G623" s="330">
        <v>632004</v>
      </c>
      <c r="H623" s="329">
        <v>-23.448799999999999</v>
      </c>
      <c r="I623" s="157"/>
      <c r="J623" s="330">
        <v>632004</v>
      </c>
      <c r="K623" s="329">
        <v>-23.448799999999999</v>
      </c>
      <c r="L623" s="157"/>
      <c r="M623" s="360">
        <f t="shared" si="64"/>
        <v>632004</v>
      </c>
      <c r="N623" s="237">
        <f t="shared" si="65"/>
        <v>-23.448799999999999</v>
      </c>
      <c r="O623" s="361"/>
      <c r="P623" s="361"/>
      <c r="Q623" s="361" t="s">
        <v>698</v>
      </c>
      <c r="R623" s="362">
        <v>35</v>
      </c>
      <c r="S623" s="236"/>
      <c r="T623" s="364">
        <f t="shared" si="63"/>
        <v>632004</v>
      </c>
      <c r="U623" s="365">
        <f t="shared" si="66"/>
        <v>-23.448799999999999</v>
      </c>
      <c r="V623" s="365">
        <f>IF($Q623="ekrk",IF($R623="data",IFERROR(INDEX(data!$A:$ALL,MATCH($M623,data!$A:$A,0),MATCH(V$2,data!$1:$1,0)),"#data"),IFERROR(U623*INDEX(indexy_SDcast!$A:$ALI,MATCH($R623,indexy_SDcast!$K:$K,0),MATCH(V$2,indexy_SDcast!$2:$2,0)),"#ekrk")),"#popis")</f>
        <v>-30.019907481991666</v>
      </c>
      <c r="W623" s="365">
        <f>IF($Q623="ekrk",IF($R623="data",IFERROR(INDEX(data!$A:$ALL,MATCH($M623,data!$A:$A,0),MATCH(W$2,data!$1:$1,0)),"#data"),IFERROR(V623*INDEX(indexy_SDcast!$A:$ALI,MATCH($R623,indexy_SDcast!$K:$K,0),MATCH(W$2,indexy_SDcast!$2:$2,0)),"#ekrk")),"#popis")</f>
        <v>-30.357370438430014</v>
      </c>
      <c r="X623" s="365">
        <f>IF($Q623="ekrk",IF($R623="data",IFERROR(INDEX(data!$A:$ALL,MATCH($M623,data!$A:$A,0),MATCH(X$2,data!$1:$1,0)),"#data"),IFERROR(W623*INDEX(indexy_SDcast!$A:$ALI,MATCH($R623,indexy_SDcast!$K:$K,0),MATCH(X$2,indexy_SDcast!$2:$2,0)),"#ekrk")),"#popis")</f>
        <v>-19.499328007641402</v>
      </c>
      <c r="Y623" s="362">
        <f>IF($Q623="ekrk",IF($R623="data",IFERROR(INDEX(data!$A:$ALL,MATCH($M623,data!$A:$A,0),MATCH(Y$2,data!$1:$1,0)),"#data"),IFERROR(X623*INDEX(indexy_SDcast!$A:$ALI,MATCH($R623,indexy_SDcast!$K:$K,0),MATCH(Y$2,indexy_SDcast!$2:$2,0)),"#ekrk")),"#popis")</f>
        <v>-26.3796262050674</v>
      </c>
    </row>
    <row r="624" spans="1:44" x14ac:dyDescent="0.25">
      <c r="A624" s="330">
        <v>633001</v>
      </c>
      <c r="B624" s="329">
        <v>-300.49668000000008</v>
      </c>
      <c r="C624" s="157"/>
      <c r="D624" s="330">
        <v>633001</v>
      </c>
      <c r="E624" s="329">
        <v>-300.49668000000008</v>
      </c>
      <c r="F624" s="157"/>
      <c r="G624" s="330">
        <v>633001</v>
      </c>
      <c r="H624" s="329">
        <v>-300.49668000000008</v>
      </c>
      <c r="I624" s="157"/>
      <c r="J624" s="330">
        <v>633001</v>
      </c>
      <c r="K624" s="329">
        <v>-300.49668000000008</v>
      </c>
      <c r="L624" s="157"/>
      <c r="M624" s="360">
        <f t="shared" si="64"/>
        <v>633001</v>
      </c>
      <c r="N624" s="237">
        <f t="shared" si="65"/>
        <v>-300.49668000000008</v>
      </c>
      <c r="O624" s="361"/>
      <c r="P624" s="361"/>
      <c r="Q624" s="361" t="s">
        <v>698</v>
      </c>
      <c r="R624" s="362">
        <v>35</v>
      </c>
      <c r="S624" s="236"/>
      <c r="T624" s="364">
        <f t="shared" si="63"/>
        <v>633001</v>
      </c>
      <c r="U624" s="365">
        <f t="shared" si="66"/>
        <v>-300.49668000000008</v>
      </c>
      <c r="V624" s="365">
        <f>IF($Q624="ekrk",IF($R624="data",IFERROR(INDEX(data!$A:$ALL,MATCH($M624,data!$A:$A,0),MATCH(V$2,data!$1:$1,0)),"#data"),IFERROR(U624*INDEX(indexy_SDcast!$A:$ALI,MATCH($R624,indexy_SDcast!$K:$K,0),MATCH(V$2,indexy_SDcast!$2:$2,0)),"#ekrk")),"#popis")</f>
        <v>-384.70550869322346</v>
      </c>
      <c r="W624" s="365">
        <f>IF($Q624="ekrk",IF($R624="data",IFERROR(INDEX(data!$A:$ALL,MATCH($M624,data!$A:$A,0),MATCH(W$2,data!$1:$1,0)),"#data"),IFERROR(V624*INDEX(indexy_SDcast!$A:$ALI,MATCH($R624,indexy_SDcast!$K:$K,0),MATCH(W$2,indexy_SDcast!$2:$2,0)),"#ekrk")),"#popis")</f>
        <v>-389.03010091255703</v>
      </c>
      <c r="X624" s="365">
        <f>IF($Q624="ekrk",IF($R624="data",IFERROR(INDEX(data!$A:$ALL,MATCH($M624,data!$A:$A,0),MATCH(X$2,data!$1:$1,0)),"#data"),IFERROR(W624*INDEX(indexy_SDcast!$A:$ALI,MATCH($R624,indexy_SDcast!$K:$K,0),MATCH(X$2,indexy_SDcast!$2:$2,0)),"#ekrk")),"#popis")</f>
        <v>-249.88414454160804</v>
      </c>
      <c r="Y624" s="362">
        <f>IF($Q624="ekrk",IF($R624="data",IFERROR(INDEX(data!$A:$ALL,MATCH($M624,data!$A:$A,0),MATCH(Y$2,data!$1:$1,0)),"#data"),IFERROR(X624*INDEX(indexy_SDcast!$A:$ALI,MATCH($R624,indexy_SDcast!$K:$K,0),MATCH(Y$2,indexy_SDcast!$2:$2,0)),"#ekrk")),"#popis")</f>
        <v>-338.05525631434256</v>
      </c>
    </row>
    <row r="625" spans="1:25" x14ac:dyDescent="0.25">
      <c r="A625" s="330">
        <v>633002</v>
      </c>
      <c r="B625" s="329">
        <v>-185.92710999999994</v>
      </c>
      <c r="C625" s="157"/>
      <c r="D625" s="330">
        <v>633002</v>
      </c>
      <c r="E625" s="329">
        <v>-185.92710999999994</v>
      </c>
      <c r="F625" s="157"/>
      <c r="G625" s="330">
        <v>633002</v>
      </c>
      <c r="H625" s="329">
        <v>-185.92710999999994</v>
      </c>
      <c r="I625" s="157"/>
      <c r="J625" s="330">
        <v>633002</v>
      </c>
      <c r="K625" s="329">
        <v>-185.92710999999994</v>
      </c>
      <c r="L625" s="157"/>
      <c r="M625" s="360">
        <f t="shared" si="64"/>
        <v>633002</v>
      </c>
      <c r="N625" s="237">
        <f t="shared" si="65"/>
        <v>-185.92710999999994</v>
      </c>
      <c r="O625" s="361"/>
      <c r="P625" s="361"/>
      <c r="Q625" s="361" t="s">
        <v>698</v>
      </c>
      <c r="R625" s="362">
        <v>35</v>
      </c>
      <c r="S625" s="236"/>
      <c r="T625" s="364">
        <f t="shared" si="63"/>
        <v>633002</v>
      </c>
      <c r="U625" s="365">
        <f t="shared" si="66"/>
        <v>-185.92710999999994</v>
      </c>
      <c r="V625" s="365">
        <f>IF($Q625="ekrk",IF($R625="data",IFERROR(INDEX(data!$A:$ALL,MATCH($M625,data!$A:$A,0),MATCH(V$2,data!$1:$1,0)),"#data"),IFERROR(U625*INDEX(indexy_SDcast!$A:$ALI,MATCH($R625,indexy_SDcast!$K:$K,0),MATCH(V$2,indexy_SDcast!$2:$2,0)),"#ekrk")),"#popis")</f>
        <v>-238.02986253429114</v>
      </c>
      <c r="W625" s="365">
        <f>IF($Q625="ekrk",IF($R625="data",IFERROR(INDEX(data!$A:$ALL,MATCH($M625,data!$A:$A,0),MATCH(W$2,data!$1:$1,0)),"#data"),IFERROR(V625*INDEX(indexy_SDcast!$A:$ALI,MATCH($R625,indexy_SDcast!$K:$K,0),MATCH(W$2,indexy_SDcast!$2:$2,0)),"#ekrk")),"#popis")</f>
        <v>-240.70562897959488</v>
      </c>
      <c r="X625" s="365">
        <f>IF($Q625="ekrk",IF($R625="data",IFERROR(INDEX(data!$A:$ALL,MATCH($M625,data!$A:$A,0),MATCH(X$2,data!$1:$1,0)),"#data"),IFERROR(W625*INDEX(indexy_SDcast!$A:$ALI,MATCH($R625,indexy_SDcast!$K:$K,0),MATCH(X$2,indexy_SDcast!$2:$2,0)),"#ekrk")),"#popis")</f>
        <v>-154.61148132965539</v>
      </c>
      <c r="Y625" s="362">
        <f>IF($Q625="ekrk",IF($R625="data",IFERROR(INDEX(data!$A:$ALL,MATCH($M625,data!$A:$A,0),MATCH(Y$2,data!$1:$1,0)),"#data"),IFERROR(X625*INDEX(indexy_SDcast!$A:$ALI,MATCH($R625,indexy_SDcast!$K:$K,0),MATCH(Y$2,indexy_SDcast!$2:$2,0)),"#ekrk")),"#popis")</f>
        <v>-209.16582781159156</v>
      </c>
    </row>
    <row r="626" spans="1:25" x14ac:dyDescent="0.25">
      <c r="A626" s="330">
        <v>633003</v>
      </c>
      <c r="B626" s="329">
        <v>-33.260660000000009</v>
      </c>
      <c r="C626" s="157"/>
      <c r="D626" s="330">
        <v>633003</v>
      </c>
      <c r="E626" s="329">
        <v>-33.260660000000009</v>
      </c>
      <c r="F626" s="157"/>
      <c r="G626" s="330">
        <v>633003</v>
      </c>
      <c r="H626" s="329">
        <v>-33.260660000000009</v>
      </c>
      <c r="I626" s="157"/>
      <c r="J626" s="330">
        <v>633003</v>
      </c>
      <c r="K626" s="329">
        <v>-33.260660000000009</v>
      </c>
      <c r="L626" s="157"/>
      <c r="M626" s="360">
        <f t="shared" si="64"/>
        <v>633003</v>
      </c>
      <c r="N626" s="237">
        <f t="shared" si="65"/>
        <v>-33.260660000000009</v>
      </c>
      <c r="O626" s="361"/>
      <c r="P626" s="361"/>
      <c r="Q626" s="361" t="s">
        <v>698</v>
      </c>
      <c r="R626" s="362">
        <v>35</v>
      </c>
      <c r="S626" s="236"/>
      <c r="T626" s="364">
        <f t="shared" si="63"/>
        <v>633003</v>
      </c>
      <c r="U626" s="365">
        <f t="shared" si="66"/>
        <v>-33.260660000000009</v>
      </c>
      <c r="V626" s="365">
        <f>IF($Q626="ekrk",IF($R626="data",IFERROR(INDEX(data!$A:$ALL,MATCH($M626,data!$A:$A,0),MATCH(V$2,data!$1:$1,0)),"#data"),IFERROR(U626*INDEX(indexy_SDcast!$A:$ALI,MATCH($R626,indexy_SDcast!$K:$K,0),MATCH(V$2,indexy_SDcast!$2:$2,0)),"#ekrk")),"#popis")</f>
        <v>-42.581366039625962</v>
      </c>
      <c r="W626" s="365">
        <f>IF($Q626="ekrk",IF($R626="data",IFERROR(INDEX(data!$A:$ALL,MATCH($M626,data!$A:$A,0),MATCH(W$2,data!$1:$1,0)),"#data"),IFERROR(V626*INDEX(indexy_SDcast!$A:$ALI,MATCH($R626,indexy_SDcast!$K:$K,0),MATCH(W$2,indexy_SDcast!$2:$2,0)),"#ekrk")),"#popis")</f>
        <v>-43.060036191475554</v>
      </c>
      <c r="X626" s="365">
        <f>IF($Q626="ekrk",IF($R626="data",IFERROR(INDEX(data!$A:$ALL,MATCH($M626,data!$A:$A,0),MATCH(X$2,data!$1:$1,0)),"#data"),IFERROR(W626*INDEX(indexy_SDcast!$A:$ALI,MATCH($R626,indexy_SDcast!$K:$K,0),MATCH(X$2,indexy_SDcast!$2:$2,0)),"#ekrk")),"#popis")</f>
        <v>-27.658580357657463</v>
      </c>
      <c r="Y626" s="362">
        <f>IF($Q626="ekrk",IF($R626="data",IFERROR(INDEX(data!$A:$ALL,MATCH($M626,data!$A:$A,0),MATCH(Y$2,data!$1:$1,0)),"#data"),IFERROR(X626*INDEX(indexy_SDcast!$A:$ALI,MATCH($R626,indexy_SDcast!$K:$K,0),MATCH(Y$2,indexy_SDcast!$2:$2,0)),"#ekrk")),"#popis")</f>
        <v>-37.417854138968195</v>
      </c>
    </row>
    <row r="627" spans="1:25" x14ac:dyDescent="0.25">
      <c r="A627" s="330">
        <v>633004</v>
      </c>
      <c r="B627" s="329">
        <v>-259.62442999999985</v>
      </c>
      <c r="C627" s="157"/>
      <c r="D627" s="330">
        <v>633004</v>
      </c>
      <c r="E627" s="329">
        <v>-259.62442999999985</v>
      </c>
      <c r="F627" s="157"/>
      <c r="G627" s="330">
        <v>633004</v>
      </c>
      <c r="H627" s="329">
        <v>-259.62442999999985</v>
      </c>
      <c r="I627" s="157"/>
      <c r="J627" s="330">
        <v>633004</v>
      </c>
      <c r="K627" s="329">
        <v>-259.62442999999985</v>
      </c>
      <c r="L627" s="157"/>
      <c r="M627" s="360">
        <f t="shared" si="64"/>
        <v>633004</v>
      </c>
      <c r="N627" s="237">
        <f t="shared" si="65"/>
        <v>-259.62442999999985</v>
      </c>
      <c r="O627" s="361"/>
      <c r="P627" s="361"/>
      <c r="Q627" s="361" t="s">
        <v>698</v>
      </c>
      <c r="R627" s="362">
        <v>35</v>
      </c>
      <c r="S627" s="236"/>
      <c r="T627" s="364">
        <f t="shared" si="63"/>
        <v>633004</v>
      </c>
      <c r="U627" s="365">
        <f t="shared" si="66"/>
        <v>-259.62442999999985</v>
      </c>
      <c r="V627" s="365">
        <f>IF($Q627="ekrk",IF($R627="data",IFERROR(INDEX(data!$A:$ALL,MATCH($M627,data!$A:$A,0),MATCH(V$2,data!$1:$1,0)),"#data"),IFERROR(U627*INDEX(indexy_SDcast!$A:$ALI,MATCH($R627,indexy_SDcast!$K:$K,0),MATCH(V$2,indexy_SDcast!$2:$2,0)),"#ekrk")),"#popis")</f>
        <v>-332.37954047391838</v>
      </c>
      <c r="W627" s="365">
        <f>IF($Q627="ekrk",IF($R627="data",IFERROR(INDEX(data!$A:$ALL,MATCH($M627,data!$A:$A,0),MATCH(W$2,data!$1:$1,0)),"#data"),IFERROR(V627*INDEX(indexy_SDcast!$A:$ALI,MATCH($R627,indexy_SDcast!$K:$K,0),MATCH(W$2,indexy_SDcast!$2:$2,0)),"#ekrk")),"#popis")</f>
        <v>-336.11592048958744</v>
      </c>
      <c r="X627" s="365">
        <f>IF($Q627="ekrk",IF($R627="data",IFERROR(INDEX(data!$A:$ALL,MATCH($M627,data!$A:$A,0),MATCH(X$2,data!$1:$1,0)),"#data"),IFERROR(W627*INDEX(indexy_SDcast!$A:$ALI,MATCH($R627,indexy_SDcast!$K:$K,0),MATCH(X$2,indexy_SDcast!$2:$2,0)),"#ekrk")),"#popis")</f>
        <v>-215.89599123907971</v>
      </c>
      <c r="Y627" s="362">
        <f>IF($Q627="ekrk",IF($R627="data",IFERROR(INDEX(data!$A:$ALL,MATCH($M627,data!$A:$A,0),MATCH(Y$2,data!$1:$1,0)),"#data"),IFERROR(X627*INDEX(indexy_SDcast!$A:$ALI,MATCH($R627,indexy_SDcast!$K:$K,0),MATCH(Y$2,indexy_SDcast!$2:$2,0)),"#ekrk")),"#popis")</f>
        <v>-292.07445230048802</v>
      </c>
    </row>
    <row r="628" spans="1:25" x14ac:dyDescent="0.25">
      <c r="A628" s="330">
        <v>633005</v>
      </c>
      <c r="B628" s="329">
        <v>-15.155570000000001</v>
      </c>
      <c r="C628" s="157"/>
      <c r="D628" s="330">
        <v>633005</v>
      </c>
      <c r="E628" s="329">
        <v>-15.155570000000001</v>
      </c>
      <c r="F628" s="157"/>
      <c r="G628" s="330">
        <v>633005</v>
      </c>
      <c r="H628" s="329">
        <v>-15.155570000000001</v>
      </c>
      <c r="I628" s="157"/>
      <c r="J628" s="330">
        <v>633005</v>
      </c>
      <c r="K628" s="329">
        <v>-15.155570000000001</v>
      </c>
      <c r="L628" s="157"/>
      <c r="M628" s="360">
        <f t="shared" si="64"/>
        <v>633005</v>
      </c>
      <c r="N628" s="237">
        <f t="shared" si="65"/>
        <v>-15.155570000000001</v>
      </c>
      <c r="O628" s="361"/>
      <c r="P628" s="361"/>
      <c r="Q628" s="361" t="s">
        <v>698</v>
      </c>
      <c r="R628" s="362">
        <v>35</v>
      </c>
      <c r="S628" s="236"/>
      <c r="T628" s="364">
        <f t="shared" si="63"/>
        <v>633005</v>
      </c>
      <c r="U628" s="365">
        <f t="shared" si="66"/>
        <v>-15.155570000000001</v>
      </c>
      <c r="V628" s="365">
        <f>IF($Q628="ekrk",IF($R628="data",IFERROR(INDEX(data!$A:$ALL,MATCH($M628,data!$A:$A,0),MATCH(V$2,data!$1:$1,0)),"#data"),IFERROR(U628*INDEX(indexy_SDcast!$A:$ALI,MATCH($R628,indexy_SDcast!$K:$K,0),MATCH(V$2,indexy_SDcast!$2:$2,0)),"#ekrk")),"#popis")</f>
        <v>-19.402647864148634</v>
      </c>
      <c r="W628" s="365">
        <f>IF($Q628="ekrk",IF($R628="data",IFERROR(INDEX(data!$A:$ALL,MATCH($M628,data!$A:$A,0),MATCH(W$2,data!$1:$1,0)),"#data"),IFERROR(V628*INDEX(indexy_SDcast!$A:$ALI,MATCH($R628,indexy_SDcast!$K:$K,0),MATCH(W$2,indexy_SDcast!$2:$2,0)),"#ekrk")),"#popis")</f>
        <v>-19.620758959757293</v>
      </c>
      <c r="X628" s="365">
        <f>IF($Q628="ekrk",IF($R628="data",IFERROR(INDEX(data!$A:$ALL,MATCH($M628,data!$A:$A,0),MATCH(X$2,data!$1:$1,0)),"#data"),IFERROR(W628*INDEX(indexy_SDcast!$A:$ALI,MATCH($R628,indexy_SDcast!$K:$K,0),MATCH(X$2,indexy_SDcast!$2:$2,0)),"#ekrk")),"#popis")</f>
        <v>-12.60292341496238</v>
      </c>
      <c r="Y628" s="362">
        <f>IF($Q628="ekrk",IF($R628="data",IFERROR(INDEX(data!$A:$ALL,MATCH($M628,data!$A:$A,0),MATCH(Y$2,data!$1:$1,0)),"#data"),IFERROR(X628*INDEX(indexy_SDcast!$A:$ALI,MATCH($R628,indexy_SDcast!$K:$K,0),MATCH(Y$2,indexy_SDcast!$2:$2,0)),"#ekrk")),"#popis")</f>
        <v>-17.049839289205988</v>
      </c>
    </row>
    <row r="629" spans="1:25" x14ac:dyDescent="0.25">
      <c r="A629" s="330">
        <v>633006</v>
      </c>
      <c r="B629" s="329">
        <v>-743.36689000000024</v>
      </c>
      <c r="C629" s="157"/>
      <c r="D629" s="330">
        <v>633006</v>
      </c>
      <c r="E629" s="329">
        <v>-743.36689000000024</v>
      </c>
      <c r="F629" s="157"/>
      <c r="G629" s="330">
        <v>633006</v>
      </c>
      <c r="H629" s="329">
        <v>-743.36689000000024</v>
      </c>
      <c r="I629" s="157"/>
      <c r="J629" s="330">
        <v>633006</v>
      </c>
      <c r="K629" s="329">
        <v>-743.36689000000024</v>
      </c>
      <c r="L629" s="157"/>
      <c r="M629" s="360">
        <f t="shared" si="64"/>
        <v>633006</v>
      </c>
      <c r="N629" s="237">
        <f t="shared" si="65"/>
        <v>-743.36689000000024</v>
      </c>
      <c r="O629" s="361"/>
      <c r="P629" s="361"/>
      <c r="Q629" s="361" t="s">
        <v>698</v>
      </c>
      <c r="R629" s="362">
        <v>35</v>
      </c>
      <c r="S629" s="236"/>
      <c r="T629" s="364">
        <f t="shared" si="63"/>
        <v>633006</v>
      </c>
      <c r="U629" s="365">
        <f t="shared" si="66"/>
        <v>-743.36689000000024</v>
      </c>
      <c r="V629" s="365">
        <f>IF($Q629="ekrk",IF($R629="data",IFERROR(INDEX(data!$A:$ALL,MATCH($M629,data!$A:$A,0),MATCH(V$2,data!$1:$1,0)),"#data"),IFERROR(U629*INDEX(indexy_SDcast!$A:$ALI,MATCH($R629,indexy_SDcast!$K:$K,0),MATCH(V$2,indexy_SDcast!$2:$2,0)),"#ekrk")),"#popis")</f>
        <v>-951.68218684861847</v>
      </c>
      <c r="W629" s="365">
        <f>IF($Q629="ekrk",IF($R629="data",IFERROR(INDEX(data!$A:$ALL,MATCH($M629,data!$A:$A,0),MATCH(W$2,data!$1:$1,0)),"#data"),IFERROR(V629*INDEX(indexy_SDcast!$A:$ALI,MATCH($R629,indexy_SDcast!$K:$K,0),MATCH(W$2,indexy_SDcast!$2:$2,0)),"#ekrk")),"#popis")</f>
        <v>-962.38033721954491</v>
      </c>
      <c r="X629" s="365">
        <f>IF($Q629="ekrk",IF($R629="data",IFERROR(INDEX(data!$A:$ALL,MATCH($M629,data!$A:$A,0),MATCH(X$2,data!$1:$1,0)),"#data"),IFERROR(W629*INDEX(indexy_SDcast!$A:$ALI,MATCH($R629,indexy_SDcast!$K:$K,0),MATCH(X$2,indexy_SDcast!$2:$2,0)),"#ekrk")),"#popis")</f>
        <v>-618.16190244832535</v>
      </c>
      <c r="Y629" s="362">
        <f>IF($Q629="ekrk",IF($R629="data",IFERROR(INDEX(data!$A:$ALL,MATCH($M629,data!$A:$A,0),MATCH(Y$2,data!$1:$1,0)),"#data"),IFERROR(X629*INDEX(indexy_SDcast!$A:$ALI,MATCH($R629,indexy_SDcast!$K:$K,0),MATCH(Y$2,indexy_SDcast!$2:$2,0)),"#ekrk")),"#popis")</f>
        <v>-836.27907148440272</v>
      </c>
    </row>
    <row r="630" spans="1:25" x14ac:dyDescent="0.25">
      <c r="A630" s="330">
        <v>633007</v>
      </c>
      <c r="B630" s="329">
        <v>-5.5949</v>
      </c>
      <c r="C630" s="157"/>
      <c r="D630" s="330">
        <v>633007</v>
      </c>
      <c r="E630" s="329">
        <v>-5.5949</v>
      </c>
      <c r="F630" s="157"/>
      <c r="G630" s="330">
        <v>633007</v>
      </c>
      <c r="H630" s="329">
        <v>-5.5949</v>
      </c>
      <c r="I630" s="157"/>
      <c r="J630" s="330">
        <v>633007</v>
      </c>
      <c r="K630" s="329">
        <v>-5.5949</v>
      </c>
      <c r="L630" s="157"/>
      <c r="M630" s="360">
        <f t="shared" si="64"/>
        <v>633007</v>
      </c>
      <c r="N630" s="237">
        <f t="shared" si="65"/>
        <v>-5.5949</v>
      </c>
      <c r="O630" s="361"/>
      <c r="P630" s="361"/>
      <c r="Q630" s="361" t="s">
        <v>698</v>
      </c>
      <c r="R630" s="362">
        <v>35</v>
      </c>
      <c r="S630" s="236"/>
      <c r="T630" s="364">
        <f t="shared" si="63"/>
        <v>633007</v>
      </c>
      <c r="U630" s="365">
        <f t="shared" si="66"/>
        <v>-5.5949</v>
      </c>
      <c r="V630" s="365">
        <f>IF($Q630="ekrk",IF($R630="data",IFERROR(INDEX(data!$A:$ALL,MATCH($M630,data!$A:$A,0),MATCH(V$2,data!$1:$1,0)),"#data"),IFERROR(U630*INDEX(indexy_SDcast!$A:$ALI,MATCH($R630,indexy_SDcast!$K:$K,0),MATCH(V$2,indexy_SDcast!$2:$2,0)),"#ekrk")),"#popis")</f>
        <v>-7.1627708185917909</v>
      </c>
      <c r="W630" s="365">
        <f>IF($Q630="ekrk",IF($R630="data",IFERROR(INDEX(data!$A:$ALL,MATCH($M630,data!$A:$A,0),MATCH(W$2,data!$1:$1,0)),"#data"),IFERROR(V630*INDEX(indexy_SDcast!$A:$ALI,MATCH($R630,indexy_SDcast!$K:$K,0),MATCH(W$2,indexy_SDcast!$2:$2,0)),"#ekrk")),"#popis")</f>
        <v>-7.2432897148669486</v>
      </c>
      <c r="X630" s="365">
        <f>IF($Q630="ekrk",IF($R630="data",IFERROR(INDEX(data!$A:$ALL,MATCH($M630,data!$A:$A,0),MATCH(X$2,data!$1:$1,0)),"#data"),IFERROR(W630*INDEX(indexy_SDcast!$A:$ALI,MATCH($R630,indexy_SDcast!$K:$K,0),MATCH(X$2,indexy_SDcast!$2:$2,0)),"#ekrk")),"#popis")</f>
        <v>-4.652553233852176</v>
      </c>
      <c r="Y630" s="362">
        <f>IF($Q630="ekrk",IF($R630="data",IFERROR(INDEX(data!$A:$ALL,MATCH($M630,data!$A:$A,0),MATCH(Y$2,data!$1:$1,0)),"#data"),IFERROR(X630*INDEX(indexy_SDcast!$A:$ALI,MATCH($R630,indexy_SDcast!$K:$K,0),MATCH(Y$2,indexy_SDcast!$2:$2,0)),"#ekrk")),"#popis")</f>
        <v>-6.2941971723385262</v>
      </c>
    </row>
    <row r="631" spans="1:25" x14ac:dyDescent="0.25">
      <c r="A631" s="330">
        <v>633009</v>
      </c>
      <c r="B631" s="329">
        <v>-23.580149999999996</v>
      </c>
      <c r="C631" s="157"/>
      <c r="D631" s="330">
        <v>633009</v>
      </c>
      <c r="E631" s="329">
        <v>-23.580149999999996</v>
      </c>
      <c r="F631" s="157"/>
      <c r="G631" s="330">
        <v>633009</v>
      </c>
      <c r="H631" s="329">
        <v>-23.580149999999996</v>
      </c>
      <c r="I631" s="157"/>
      <c r="J631" s="330">
        <v>633009</v>
      </c>
      <c r="K631" s="329">
        <v>-23.580149999999996</v>
      </c>
      <c r="L631" s="157"/>
      <c r="M631" s="360">
        <f t="shared" si="64"/>
        <v>633009</v>
      </c>
      <c r="N631" s="237">
        <f t="shared" si="65"/>
        <v>-23.580149999999996</v>
      </c>
      <c r="O631" s="361"/>
      <c r="P631" s="361"/>
      <c r="Q631" s="361" t="s">
        <v>698</v>
      </c>
      <c r="R631" s="362">
        <v>35</v>
      </c>
      <c r="S631" s="236"/>
      <c r="T631" s="364">
        <f t="shared" si="63"/>
        <v>633009</v>
      </c>
      <c r="U631" s="365">
        <f t="shared" si="66"/>
        <v>-23.580149999999996</v>
      </c>
      <c r="V631" s="365">
        <f>IF($Q631="ekrk",IF($R631="data",IFERROR(INDEX(data!$A:$ALL,MATCH($M631,data!$A:$A,0),MATCH(V$2,data!$1:$1,0)),"#data"),IFERROR(U631*INDEX(indexy_SDcast!$A:$ALI,MATCH($R631,indexy_SDcast!$K:$K,0),MATCH(V$2,indexy_SDcast!$2:$2,0)),"#ekrk")),"#popis")</f>
        <v>-30.188065974015121</v>
      </c>
      <c r="W631" s="365">
        <f>IF($Q631="ekrk",IF($R631="data",IFERROR(INDEX(data!$A:$ALL,MATCH($M631,data!$A:$A,0),MATCH(W$2,data!$1:$1,0)),"#data"),IFERROR(V631*INDEX(indexy_SDcast!$A:$ALI,MATCH($R631,indexy_SDcast!$K:$K,0),MATCH(W$2,indexy_SDcast!$2:$2,0)),"#ekrk")),"#popis")</f>
        <v>-30.527419251464703</v>
      </c>
      <c r="X631" s="365">
        <f>IF($Q631="ekrk",IF($R631="data",IFERROR(INDEX(data!$A:$ALL,MATCH($M631,data!$A:$A,0),MATCH(X$2,data!$1:$1,0)),"#data"),IFERROR(W631*INDEX(indexy_SDcast!$A:$ALI,MATCH($R631,indexy_SDcast!$K:$K,0),MATCH(X$2,indexy_SDcast!$2:$2,0)),"#ekrk")),"#popis")</f>
        <v>-19.608554779749305</v>
      </c>
      <c r="Y631" s="362">
        <f>IF($Q631="ekrk",IF($R631="data",IFERROR(INDEX(data!$A:$ALL,MATCH($M631,data!$A:$A,0),MATCH(Y$2,data!$1:$1,0)),"#data"),IFERROR(X631*INDEX(indexy_SDcast!$A:$ALI,MATCH($R631,indexy_SDcast!$K:$K,0),MATCH(Y$2,indexy_SDcast!$2:$2,0)),"#ekrk")),"#popis")</f>
        <v>-26.527393421387028</v>
      </c>
    </row>
    <row r="632" spans="1:25" x14ac:dyDescent="0.25">
      <c r="A632" s="330">
        <v>633010</v>
      </c>
      <c r="B632" s="329">
        <v>-62.733099999999979</v>
      </c>
      <c r="C632" s="157"/>
      <c r="D632" s="330">
        <v>633010</v>
      </c>
      <c r="E632" s="329">
        <v>-62.733099999999979</v>
      </c>
      <c r="F632" s="157"/>
      <c r="G632" s="330">
        <v>633010</v>
      </c>
      <c r="H632" s="329">
        <v>-62.733099999999979</v>
      </c>
      <c r="I632" s="157"/>
      <c r="J632" s="330">
        <v>633010</v>
      </c>
      <c r="K632" s="329">
        <v>-62.733099999999979</v>
      </c>
      <c r="L632" s="157"/>
      <c r="M632" s="360">
        <f t="shared" si="64"/>
        <v>633010</v>
      </c>
      <c r="N632" s="237">
        <f t="shared" si="65"/>
        <v>-62.733099999999979</v>
      </c>
      <c r="O632" s="361"/>
      <c r="P632" s="361"/>
      <c r="Q632" s="361" t="s">
        <v>698</v>
      </c>
      <c r="R632" s="362">
        <v>35</v>
      </c>
      <c r="S632" s="236"/>
      <c r="T632" s="364">
        <f t="shared" si="63"/>
        <v>633010</v>
      </c>
      <c r="U632" s="365">
        <f t="shared" si="66"/>
        <v>-62.733099999999979</v>
      </c>
      <c r="V632" s="365">
        <f>IF($Q632="ekrk",IF($R632="data",IFERROR(INDEX(data!$A:$ALL,MATCH($M632,data!$A:$A,0),MATCH(V$2,data!$1:$1,0)),"#data"),IFERROR(U632*INDEX(indexy_SDcast!$A:$ALI,MATCH($R632,indexy_SDcast!$K:$K,0),MATCH(V$2,indexy_SDcast!$2:$2,0)),"#ekrk")),"#popis")</f>
        <v>-80.312931069331086</v>
      </c>
      <c r="W632" s="365">
        <f>IF($Q632="ekrk",IF($R632="data",IFERROR(INDEX(data!$A:$ALL,MATCH($M632,data!$A:$A,0),MATCH(W$2,data!$1:$1,0)),"#data"),IFERROR(V632*INDEX(indexy_SDcast!$A:$ALI,MATCH($R632,indexy_SDcast!$K:$K,0),MATCH(W$2,indexy_SDcast!$2:$2,0)),"#ekrk")),"#popis")</f>
        <v>-81.215753277398989</v>
      </c>
      <c r="X632" s="365">
        <f>IF($Q632="ekrk",IF($R632="data",IFERROR(INDEX(data!$A:$ALL,MATCH($M632,data!$A:$A,0),MATCH(X$2,data!$1:$1,0)),"#data"),IFERROR(W632*INDEX(indexy_SDcast!$A:$ALI,MATCH($R632,indexy_SDcast!$K:$K,0),MATCH(X$2,indexy_SDcast!$2:$2,0)),"#ekrk")),"#popis")</f>
        <v>-52.166989092668651</v>
      </c>
      <c r="Y632" s="362">
        <f>IF($Q632="ekrk",IF($R632="data",IFERROR(INDEX(data!$A:$ALL,MATCH($M632,data!$A:$A,0),MATCH(Y$2,data!$1:$1,0)),"#data"),IFERROR(X632*INDEX(indexy_SDcast!$A:$ALI,MATCH($R632,indexy_SDcast!$K:$K,0),MATCH(Y$2,indexy_SDcast!$2:$2,0)),"#ekrk")),"#popis")</f>
        <v>-70.574005010282548</v>
      </c>
    </row>
    <row r="633" spans="1:25" x14ac:dyDescent="0.25">
      <c r="A633" s="330">
        <v>633011</v>
      </c>
      <c r="B633" s="329">
        <v>-0.30027999999999999</v>
      </c>
      <c r="C633" s="157"/>
      <c r="D633" s="330">
        <v>633011</v>
      </c>
      <c r="E633" s="329">
        <v>-0.30027999999999999</v>
      </c>
      <c r="F633" s="157"/>
      <c r="G633" s="330">
        <v>633011</v>
      </c>
      <c r="H633" s="329">
        <v>-0.30027999999999999</v>
      </c>
      <c r="I633" s="157"/>
      <c r="J633" s="330">
        <v>633011</v>
      </c>
      <c r="K633" s="329">
        <v>-0.30027999999999999</v>
      </c>
      <c r="L633" s="157"/>
      <c r="M633" s="360">
        <f t="shared" si="64"/>
        <v>633011</v>
      </c>
      <c r="N633" s="237">
        <f t="shared" si="65"/>
        <v>-0.30027999999999999</v>
      </c>
      <c r="O633" s="361"/>
      <c r="P633" s="361"/>
      <c r="Q633" s="361" t="s">
        <v>698</v>
      </c>
      <c r="R633" s="362">
        <v>35</v>
      </c>
      <c r="S633" s="236"/>
      <c r="T633" s="364">
        <f t="shared" si="63"/>
        <v>633011</v>
      </c>
      <c r="U633" s="365">
        <f t="shared" si="66"/>
        <v>-0.30027999999999999</v>
      </c>
      <c r="V633" s="365">
        <f>IF($Q633="ekrk",IF($R633="data",IFERROR(INDEX(data!$A:$ALL,MATCH($M633,data!$A:$A,0),MATCH(V$2,data!$1:$1,0)),"#data"),IFERROR(U633*INDEX(indexy_SDcast!$A:$ALI,MATCH($R633,indexy_SDcast!$K:$K,0),MATCH(V$2,indexy_SDcast!$2:$2,0)),"#ekrk")),"#popis")</f>
        <v>-0.38442810799241145</v>
      </c>
      <c r="W633" s="365">
        <f>IF($Q633="ekrk",IF($R633="data",IFERROR(INDEX(data!$A:$ALL,MATCH($M633,data!$A:$A,0),MATCH(W$2,data!$1:$1,0)),"#data"),IFERROR(V633*INDEX(indexy_SDcast!$A:$ALI,MATCH($R633,indexy_SDcast!$K:$K,0),MATCH(W$2,indexy_SDcast!$2:$2,0)),"#ekrk")),"#popis")</f>
        <v>-0.38874958186567182</v>
      </c>
      <c r="X633" s="365">
        <f>IF($Q633="ekrk",IF($R633="data",IFERROR(INDEX(data!$A:$ALL,MATCH($M633,data!$A:$A,0),MATCH(X$2,data!$1:$1,0)),"#data"),IFERROR(W633*INDEX(indexy_SDcast!$A:$ALI,MATCH($R633,indexy_SDcast!$K:$K,0),MATCH(X$2,indexy_SDcast!$2:$2,0)),"#ekrk")),"#popis")</f>
        <v>-0.24970395986722396</v>
      </c>
      <c r="Y633" s="362">
        <f>IF($Q633="ekrk",IF($R633="data",IFERROR(INDEX(data!$A:$ALL,MATCH($M633,data!$A:$A,0),MATCH(Y$2,data!$1:$1,0)),"#data"),IFERROR(X633*INDEX(indexy_SDcast!$A:$ALI,MATCH($R633,indexy_SDcast!$K:$K,0),MATCH(Y$2,indexy_SDcast!$2:$2,0)),"#ekrk")),"#popis")</f>
        <v>-0.33781149384436049</v>
      </c>
    </row>
    <row r="634" spans="1:25" x14ac:dyDescent="0.25">
      <c r="A634" s="330">
        <v>633013</v>
      </c>
      <c r="B634" s="329">
        <v>-49.104569999999988</v>
      </c>
      <c r="C634" s="157"/>
      <c r="D634" s="330">
        <v>633013</v>
      </c>
      <c r="E634" s="329">
        <v>-49.104569999999988</v>
      </c>
      <c r="F634" s="157"/>
      <c r="G634" s="330">
        <v>633013</v>
      </c>
      <c r="H634" s="329">
        <v>-49.104569999999988</v>
      </c>
      <c r="I634" s="157"/>
      <c r="J634" s="330">
        <v>633013</v>
      </c>
      <c r="K634" s="329">
        <v>-49.104569999999988</v>
      </c>
      <c r="L634" s="157"/>
      <c r="M634" s="360">
        <f t="shared" si="64"/>
        <v>633013</v>
      </c>
      <c r="N634" s="237">
        <f t="shared" si="65"/>
        <v>-49.104569999999988</v>
      </c>
      <c r="O634" s="361"/>
      <c r="P634" s="361"/>
      <c r="Q634" s="361" t="s">
        <v>698</v>
      </c>
      <c r="R634" s="362">
        <v>35</v>
      </c>
      <c r="S634" s="236"/>
      <c r="T634" s="364">
        <f t="shared" si="63"/>
        <v>633013</v>
      </c>
      <c r="U634" s="365">
        <f t="shared" si="66"/>
        <v>-49.104569999999988</v>
      </c>
      <c r="V634" s="365">
        <f>IF($Q634="ekrk",IF($R634="data",IFERROR(INDEX(data!$A:$ALL,MATCH($M634,data!$A:$A,0),MATCH(V$2,data!$1:$1,0)),"#data"),IFERROR(U634*INDEX(indexy_SDcast!$A:$ALI,MATCH($R634,indexy_SDcast!$K:$K,0),MATCH(V$2,indexy_SDcast!$2:$2,0)),"#ekrk")),"#popis")</f>
        <v>-62.865248897298933</v>
      </c>
      <c r="W634" s="365">
        <f>IF($Q634="ekrk",IF($R634="data",IFERROR(INDEX(data!$A:$ALL,MATCH($M634,data!$A:$A,0),MATCH(W$2,data!$1:$1,0)),"#data"),IFERROR(V634*INDEX(indexy_SDcast!$A:$ALI,MATCH($R634,indexy_SDcast!$K:$K,0),MATCH(W$2,indexy_SDcast!$2:$2,0)),"#ekrk")),"#popis")</f>
        <v>-63.571936376693778</v>
      </c>
      <c r="X634" s="365">
        <f>IF($Q634="ekrk",IF($R634="data",IFERROR(INDEX(data!$A:$ALL,MATCH($M634,data!$A:$A,0),MATCH(X$2,data!$1:$1,0)),"#data"),IFERROR(W634*INDEX(indexy_SDcast!$A:$ALI,MATCH($R634,indexy_SDcast!$K:$K,0),MATCH(X$2,indexy_SDcast!$2:$2,0)),"#ekrk")),"#popis")</f>
        <v>-40.833906942111653</v>
      </c>
      <c r="Y634" s="362">
        <f>IF($Q634="ekrk",IF($R634="data",IFERROR(INDEX(data!$A:$ALL,MATCH($M634,data!$A:$A,0),MATCH(Y$2,data!$1:$1,0)),"#data"),IFERROR(X634*INDEX(indexy_SDcast!$A:$ALI,MATCH($R634,indexy_SDcast!$K:$K,0),MATCH(Y$2,indexy_SDcast!$2:$2,0)),"#ekrk")),"#popis")</f>
        <v>-55.242067890918356</v>
      </c>
    </row>
    <row r="635" spans="1:25" x14ac:dyDescent="0.25">
      <c r="A635" s="330">
        <v>633015</v>
      </c>
      <c r="B635" s="329">
        <v>-1.6289799999999997</v>
      </c>
      <c r="C635" s="157"/>
      <c r="D635" s="330">
        <v>633015</v>
      </c>
      <c r="E635" s="329">
        <v>-1.6289799999999997</v>
      </c>
      <c r="F635" s="157"/>
      <c r="G635" s="330">
        <v>633015</v>
      </c>
      <c r="H635" s="329">
        <v>-1.6289799999999997</v>
      </c>
      <c r="I635" s="157"/>
      <c r="J635" s="330">
        <v>633015</v>
      </c>
      <c r="K635" s="329">
        <v>-1.6289799999999997</v>
      </c>
      <c r="L635" s="157"/>
      <c r="M635" s="360">
        <f t="shared" si="64"/>
        <v>633015</v>
      </c>
      <c r="N635" s="237">
        <f t="shared" si="65"/>
        <v>-1.6289799999999997</v>
      </c>
      <c r="O635" s="361"/>
      <c r="P635" s="361"/>
      <c r="Q635" s="361" t="s">
        <v>698</v>
      </c>
      <c r="R635" s="362">
        <v>35</v>
      </c>
      <c r="S635" s="236"/>
      <c r="T635" s="364">
        <f t="shared" si="63"/>
        <v>633015</v>
      </c>
      <c r="U635" s="365">
        <f t="shared" si="66"/>
        <v>-1.6289799999999997</v>
      </c>
      <c r="V635" s="365">
        <f>IF($Q635="ekrk",IF($R635="data",IFERROR(INDEX(data!$A:$ALL,MATCH($M635,data!$A:$A,0),MATCH(V$2,data!$1:$1,0)),"#data"),IFERROR(U635*INDEX(indexy_SDcast!$A:$ALI,MATCH($R635,indexy_SDcast!$K:$K,0),MATCH(V$2,indexy_SDcast!$2:$2,0)),"#ekrk")),"#popis")</f>
        <v>-2.085472556805243</v>
      </c>
      <c r="W635" s="365">
        <f>IF($Q635="ekrk",IF($R635="data",IFERROR(INDEX(data!$A:$ALL,MATCH($M635,data!$A:$A,0),MATCH(W$2,data!$1:$1,0)),"#data"),IFERROR(V635*INDEX(indexy_SDcast!$A:$ALI,MATCH($R635,indexy_SDcast!$K:$K,0),MATCH(W$2,indexy_SDcast!$2:$2,0)),"#ekrk")),"#popis")</f>
        <v>-2.1089159912999267</v>
      </c>
      <c r="X635" s="365">
        <f>IF($Q635="ekrk",IF($R635="data",IFERROR(INDEX(data!$A:$ALL,MATCH($M635,data!$A:$A,0),MATCH(X$2,data!$1:$1,0)),"#data"),IFERROR(W635*INDEX(indexy_SDcast!$A:$ALI,MATCH($R635,indexy_SDcast!$K:$K,0),MATCH(X$2,indexy_SDcast!$2:$2,0)),"#ekrk")),"#popis")</f>
        <v>-1.3546115510340697</v>
      </c>
      <c r="Y635" s="362">
        <f>IF($Q635="ekrk",IF($R635="data",IFERROR(INDEX(data!$A:$ALL,MATCH($M635,data!$A:$A,0),MATCH(Y$2,data!$1:$1,0)),"#data"),IFERROR(X635*INDEX(indexy_SDcast!$A:$ALI,MATCH($R635,indexy_SDcast!$K:$K,0),MATCH(Y$2,indexy_SDcast!$2:$2,0)),"#ekrk")),"#popis")</f>
        <v>-1.8325834795610307</v>
      </c>
    </row>
    <row r="636" spans="1:25" x14ac:dyDescent="0.25">
      <c r="A636" s="330">
        <v>633016</v>
      </c>
      <c r="B636" s="329">
        <v>-2.1620200000000001</v>
      </c>
      <c r="C636" s="157"/>
      <c r="D636" s="330">
        <v>633016</v>
      </c>
      <c r="E636" s="329">
        <v>-2.1620200000000001</v>
      </c>
      <c r="F636" s="157"/>
      <c r="G636" s="330">
        <v>633016</v>
      </c>
      <c r="H636" s="329">
        <v>-2.1620200000000001</v>
      </c>
      <c r="I636" s="157"/>
      <c r="J636" s="330">
        <v>633016</v>
      </c>
      <c r="K636" s="329">
        <v>-2.1620200000000001</v>
      </c>
      <c r="L636" s="157"/>
      <c r="M636" s="360">
        <f t="shared" si="64"/>
        <v>633016</v>
      </c>
      <c r="N636" s="237">
        <f t="shared" si="65"/>
        <v>-2.1620200000000001</v>
      </c>
      <c r="O636" s="361"/>
      <c r="P636" s="361"/>
      <c r="Q636" s="361" t="s">
        <v>698</v>
      </c>
      <c r="R636" s="362">
        <v>35</v>
      </c>
      <c r="S636" s="236"/>
      <c r="T636" s="364">
        <f t="shared" si="63"/>
        <v>633016</v>
      </c>
      <c r="U636" s="365">
        <f t="shared" si="66"/>
        <v>-2.1620200000000001</v>
      </c>
      <c r="V636" s="365">
        <f>IF($Q636="ekrk",IF($R636="data",IFERROR(INDEX(data!$A:$ALL,MATCH($M636,data!$A:$A,0),MATCH(V$2,data!$1:$1,0)),"#data"),IFERROR(U636*INDEX(indexy_SDcast!$A:$ALI,MATCH($R636,indexy_SDcast!$K:$K,0),MATCH(V$2,indexy_SDcast!$2:$2,0)),"#ekrk")),"#popis")</f>
        <v>-2.7678874984739359</v>
      </c>
      <c r="W636" s="365">
        <f>IF($Q636="ekrk",IF($R636="data",IFERROR(INDEX(data!$A:$ALL,MATCH($M636,data!$A:$A,0),MATCH(W$2,data!$1:$1,0)),"#data"),IFERROR(V636*INDEX(indexy_SDcast!$A:$ALI,MATCH($R636,indexy_SDcast!$K:$K,0),MATCH(W$2,indexy_SDcast!$2:$2,0)),"#ekrk")),"#popis")</f>
        <v>-2.799002167927334</v>
      </c>
      <c r="X636" s="365">
        <f>IF($Q636="ekrk",IF($R636="data",IFERROR(INDEX(data!$A:$ALL,MATCH($M636,data!$A:$A,0),MATCH(X$2,data!$1:$1,0)),"#data"),IFERROR(W636*INDEX(indexy_SDcast!$A:$ALI,MATCH($R636,indexy_SDcast!$K:$K,0),MATCH(X$2,indexy_SDcast!$2:$2,0)),"#ekrk")),"#popis")</f>
        <v>-1.7978718373256148</v>
      </c>
      <c r="Y636" s="362">
        <f>IF($Q636="ekrk",IF($R636="data",IFERROR(INDEX(data!$A:$ALL,MATCH($M636,data!$A:$A,0),MATCH(Y$2,data!$1:$1,0)),"#data"),IFERROR(X636*INDEX(indexy_SDcast!$A:$ALI,MATCH($R636,indexy_SDcast!$K:$K,0),MATCH(Y$2,indexy_SDcast!$2:$2,0)),"#ekrk")),"#popis")</f>
        <v>-2.4322472556326904</v>
      </c>
    </row>
    <row r="637" spans="1:25" x14ac:dyDescent="0.25">
      <c r="A637" s="330">
        <v>633018</v>
      </c>
      <c r="B637" s="329">
        <v>-7.0479999999999987E-2</v>
      </c>
      <c r="C637" s="157"/>
      <c r="D637" s="330">
        <v>633018</v>
      </c>
      <c r="E637" s="329">
        <v>-7.0479999999999987E-2</v>
      </c>
      <c r="F637" s="157"/>
      <c r="G637" s="330">
        <v>633018</v>
      </c>
      <c r="H637" s="329">
        <v>-7.0479999999999987E-2</v>
      </c>
      <c r="I637" s="157"/>
      <c r="J637" s="330">
        <v>633018</v>
      </c>
      <c r="K637" s="329">
        <v>-7.0479999999999987E-2</v>
      </c>
      <c r="L637" s="157"/>
      <c r="M637" s="360">
        <f t="shared" si="64"/>
        <v>633018</v>
      </c>
      <c r="N637" s="237">
        <f t="shared" si="65"/>
        <v>-7.0479999999999987E-2</v>
      </c>
      <c r="O637" s="361"/>
      <c r="P637" s="361"/>
      <c r="Q637" s="361" t="s">
        <v>698</v>
      </c>
      <c r="R637" s="362">
        <v>35</v>
      </c>
      <c r="S637" s="236"/>
      <c r="T637" s="364">
        <f t="shared" si="63"/>
        <v>633018</v>
      </c>
      <c r="U637" s="365">
        <f t="shared" si="66"/>
        <v>-7.0479999999999987E-2</v>
      </c>
      <c r="V637" s="365">
        <f>IF($Q637="ekrk",IF($R637="data",IFERROR(INDEX(data!$A:$ALL,MATCH($M637,data!$A:$A,0),MATCH(V$2,data!$1:$1,0)),"#data"),IFERROR(U637*INDEX(indexy_SDcast!$A:$ALI,MATCH($R637,indexy_SDcast!$K:$K,0),MATCH(V$2,indexy_SDcast!$2:$2,0)),"#ekrk")),"#popis")</f>
        <v>-9.0230761460320885E-2</v>
      </c>
      <c r="W637" s="365">
        <f>IF($Q637="ekrk",IF($R637="data",IFERROR(INDEX(data!$A:$ALL,MATCH($M637,data!$A:$A,0),MATCH(W$2,data!$1:$1,0)),"#data"),IFERROR(V637*INDEX(indexy_SDcast!$A:$ALI,MATCH($R637,indexy_SDcast!$K:$K,0),MATCH(W$2,indexy_SDcast!$2:$2,0)),"#ekrk")),"#popis")</f>
        <v>-9.1245073031479107E-2</v>
      </c>
      <c r="X637" s="365">
        <f>IF($Q637="ekrk",IF($R637="data",IFERROR(INDEX(data!$A:$ALL,MATCH($M637,data!$A:$A,0),MATCH(X$2,data!$1:$1,0)),"#data"),IFERROR(W637*INDEX(indexy_SDcast!$A:$ALI,MATCH($R637,indexy_SDcast!$K:$K,0),MATCH(X$2,indexy_SDcast!$2:$2,0)),"#ekrk")),"#popis")</f>
        <v>-5.8609081828433274E-2</v>
      </c>
      <c r="Y637" s="362">
        <f>IF($Q637="ekrk",IF($R637="data",IFERROR(INDEX(data!$A:$ALL,MATCH($M637,data!$A:$A,0),MATCH(Y$2,data!$1:$1,0)),"#data"),IFERROR(X637*INDEX(indexy_SDcast!$A:$ALI,MATCH($R637,indexy_SDcast!$K:$K,0),MATCH(Y$2,indexy_SDcast!$2:$2,0)),"#ekrk")),"#popis")</f>
        <v>-7.9289177055250182E-2</v>
      </c>
    </row>
    <row r="638" spans="1:25" x14ac:dyDescent="0.25">
      <c r="A638" s="330">
        <v>633019</v>
      </c>
      <c r="B638" s="329">
        <v>-3.6870000000000007E-2</v>
      </c>
      <c r="C638" s="157"/>
      <c r="D638" s="330">
        <v>633019</v>
      </c>
      <c r="E638" s="329">
        <v>-3.6870000000000007E-2</v>
      </c>
      <c r="F638" s="157"/>
      <c r="G638" s="330">
        <v>633019</v>
      </c>
      <c r="H638" s="329">
        <v>-3.6870000000000007E-2</v>
      </c>
      <c r="I638" s="157"/>
      <c r="J638" s="330">
        <v>633019</v>
      </c>
      <c r="K638" s="329">
        <v>-3.6870000000000007E-2</v>
      </c>
      <c r="L638" s="157"/>
      <c r="M638" s="360">
        <f t="shared" si="64"/>
        <v>633019</v>
      </c>
      <c r="N638" s="237">
        <f t="shared" si="65"/>
        <v>-3.6870000000000007E-2</v>
      </c>
      <c r="O638" s="361"/>
      <c r="P638" s="361"/>
      <c r="Q638" s="361" t="s">
        <v>698</v>
      </c>
      <c r="R638" s="362">
        <v>35</v>
      </c>
      <c r="S638" s="236"/>
      <c r="T638" s="364">
        <f t="shared" si="63"/>
        <v>633019</v>
      </c>
      <c r="U638" s="365">
        <f t="shared" si="66"/>
        <v>-3.6870000000000007E-2</v>
      </c>
      <c r="V638" s="365">
        <f>IF($Q638="ekrk",IF($R638="data",IFERROR(INDEX(data!$A:$ALL,MATCH($M638,data!$A:$A,0),MATCH(V$2,data!$1:$1,0)),"#data"),IFERROR(U638*INDEX(indexy_SDcast!$A:$ALI,MATCH($R638,indexy_SDcast!$K:$K,0),MATCH(V$2,indexy_SDcast!$2:$2,0)),"#ekrk")),"#popis")</f>
        <v>-4.7202159123751877E-2</v>
      </c>
      <c r="W638" s="365">
        <f>IF($Q638="ekrk",IF($R638="data",IFERROR(INDEX(data!$A:$ALL,MATCH($M638,data!$A:$A,0),MATCH(W$2,data!$1:$1,0)),"#data"),IFERROR(V638*INDEX(indexy_SDcast!$A:$ALI,MATCH($R638,indexy_SDcast!$K:$K,0),MATCH(W$2,indexy_SDcast!$2:$2,0)),"#ekrk")),"#popis")</f>
        <v>-4.7732773023136152E-2</v>
      </c>
      <c r="X638" s="365">
        <f>IF($Q638="ekrk",IF($R638="data",IFERROR(INDEX(data!$A:$ALL,MATCH($M638,data!$A:$A,0),MATCH(X$2,data!$1:$1,0)),"#data"),IFERROR(W638*INDEX(indexy_SDcast!$A:$ALI,MATCH($R638,indexy_SDcast!$K:$K,0),MATCH(X$2,indexy_SDcast!$2:$2,0)),"#ekrk")),"#popis")</f>
        <v>-3.0660000667059244E-2</v>
      </c>
      <c r="Y638" s="362">
        <f>IF($Q638="ekrk",IF($R638="data",IFERROR(INDEX(data!$A:$ALL,MATCH($M638,data!$A:$A,0),MATCH(Y$2,data!$1:$1,0)),"#data"),IFERROR(X638*INDEX(indexy_SDcast!$A:$ALI,MATCH($R638,indexy_SDcast!$K:$K,0),MATCH(Y$2,indexy_SDcast!$2:$2,0)),"#ekrk")),"#popis")</f>
        <v>-4.147831949527632E-2</v>
      </c>
    </row>
    <row r="639" spans="1:25" x14ac:dyDescent="0.25">
      <c r="A639" s="330">
        <v>634001</v>
      </c>
      <c r="B639" s="329">
        <v>-13.084140000000001</v>
      </c>
      <c r="C639" s="157"/>
      <c r="D639" s="330">
        <v>634001</v>
      </c>
      <c r="E639" s="329">
        <v>-13.084140000000001</v>
      </c>
      <c r="F639" s="157"/>
      <c r="G639" s="330">
        <v>634001</v>
      </c>
      <c r="H639" s="329">
        <v>-13.084140000000001</v>
      </c>
      <c r="I639" s="157"/>
      <c r="J639" s="330">
        <v>634001</v>
      </c>
      <c r="K639" s="329">
        <v>-13.084140000000001</v>
      </c>
      <c r="L639" s="157"/>
      <c r="M639" s="360">
        <f t="shared" si="64"/>
        <v>634001</v>
      </c>
      <c r="N639" s="237">
        <f t="shared" si="65"/>
        <v>-13.084140000000001</v>
      </c>
      <c r="O639" s="361"/>
      <c r="P639" s="361"/>
      <c r="Q639" s="361" t="s">
        <v>698</v>
      </c>
      <c r="R639" s="362">
        <v>35</v>
      </c>
      <c r="S639" s="236"/>
      <c r="T639" s="364">
        <f t="shared" si="63"/>
        <v>634001</v>
      </c>
      <c r="U639" s="365">
        <f t="shared" si="66"/>
        <v>-13.084140000000001</v>
      </c>
      <c r="V639" s="365">
        <f>IF($Q639="ekrk",IF($R639="data",IFERROR(INDEX(data!$A:$ALL,MATCH($M639,data!$A:$A,0),MATCH(V$2,data!$1:$1,0)),"#data"),IFERROR(U639*INDEX(indexy_SDcast!$A:$ALI,MATCH($R639,indexy_SDcast!$K:$K,0),MATCH(V$2,indexy_SDcast!$2:$2,0)),"#ekrk")),"#popis")</f>
        <v>-16.750736595536935</v>
      </c>
      <c r="W639" s="365">
        <f>IF($Q639="ekrk",IF($R639="data",IFERROR(INDEX(data!$A:$ALL,MATCH($M639,data!$A:$A,0),MATCH(W$2,data!$1:$1,0)),"#data"),IFERROR(V639*INDEX(indexy_SDcast!$A:$ALI,MATCH($R639,indexy_SDcast!$K:$K,0),MATCH(W$2,indexy_SDcast!$2:$2,0)),"#ekrk")),"#popis")</f>
        <v>-16.93903674594349</v>
      </c>
      <c r="X639" s="365">
        <f>IF($Q639="ekrk",IF($R639="data",IFERROR(INDEX(data!$A:$ALL,MATCH($M639,data!$A:$A,0),MATCH(X$2,data!$1:$1,0)),"#data"),IFERROR(W639*INDEX(indexy_SDcast!$A:$ALI,MATCH($R639,indexy_SDcast!$K:$K,0),MATCH(X$2,indexy_SDcast!$2:$2,0)),"#ekrk")),"#popis")</f>
        <v>-10.880383540219594</v>
      </c>
      <c r="Y639" s="362">
        <f>IF($Q639="ekrk",IF($R639="data",IFERROR(INDEX(data!$A:$ALL,MATCH($M639,data!$A:$A,0),MATCH(Y$2,data!$1:$1,0)),"#data"),IFERROR(X639*INDEX(indexy_SDcast!$A:$ALI,MATCH($R639,indexy_SDcast!$K:$K,0),MATCH(Y$2,indexy_SDcast!$2:$2,0)),"#ekrk")),"#popis")</f>
        <v>-14.719504725818405</v>
      </c>
    </row>
    <row r="640" spans="1:25" x14ac:dyDescent="0.25">
      <c r="A640" s="330">
        <v>634002</v>
      </c>
      <c r="B640" s="329">
        <v>-3.0478300000000003</v>
      </c>
      <c r="C640" s="157"/>
      <c r="D640" s="330">
        <v>634002</v>
      </c>
      <c r="E640" s="329">
        <v>-3.0478300000000003</v>
      </c>
      <c r="F640" s="157"/>
      <c r="G640" s="330">
        <v>634002</v>
      </c>
      <c r="H640" s="329">
        <v>-3.0478300000000003</v>
      </c>
      <c r="I640" s="157"/>
      <c r="J640" s="330">
        <v>634002</v>
      </c>
      <c r="K640" s="329">
        <v>-3.0478300000000003</v>
      </c>
      <c r="L640" s="157"/>
      <c r="M640" s="360">
        <f t="shared" si="64"/>
        <v>634002</v>
      </c>
      <c r="N640" s="237">
        <f t="shared" si="65"/>
        <v>-3.0478300000000003</v>
      </c>
      <c r="O640" s="361"/>
      <c r="P640" s="361"/>
      <c r="Q640" s="361" t="s">
        <v>698</v>
      </c>
      <c r="R640" s="362">
        <v>35</v>
      </c>
      <c r="S640" s="236"/>
      <c r="T640" s="364">
        <f t="shared" si="63"/>
        <v>634002</v>
      </c>
      <c r="U640" s="365">
        <f t="shared" si="66"/>
        <v>-3.0478300000000003</v>
      </c>
      <c r="V640" s="365">
        <f>IF($Q640="ekrk",IF($R640="data",IFERROR(INDEX(data!$A:$ALL,MATCH($M640,data!$A:$A,0),MATCH(V$2,data!$1:$1,0)),"#data"),IFERROR(U640*INDEX(indexy_SDcast!$A:$ALI,MATCH($R640,indexy_SDcast!$K:$K,0),MATCH(V$2,indexy_SDcast!$2:$2,0)),"#ekrk")),"#popis")</f>
        <v>-3.9019299333372572</v>
      </c>
      <c r="W640" s="365">
        <f>IF($Q640="ekrk",IF($R640="data",IFERROR(INDEX(data!$A:$ALL,MATCH($M640,data!$A:$A,0),MATCH(W$2,data!$1:$1,0)),"#data"),IFERROR(V640*INDEX(indexy_SDcast!$A:$ALI,MATCH($R640,indexy_SDcast!$K:$K,0),MATCH(W$2,indexy_SDcast!$2:$2,0)),"#ekrk")),"#popis")</f>
        <v>-3.9457927204530794</v>
      </c>
      <c r="X640" s="365">
        <f>IF($Q640="ekrk",IF($R640="data",IFERROR(INDEX(data!$A:$ALL,MATCH($M640,data!$A:$A,0),MATCH(X$2,data!$1:$1,0)),"#data"),IFERROR(W640*INDEX(indexy_SDcast!$A:$ALI,MATCH($R640,indexy_SDcast!$K:$K,0),MATCH(X$2,indexy_SDcast!$2:$2,0)),"#ekrk")),"#popis")</f>
        <v>-2.5344852138075171</v>
      </c>
      <c r="Y640" s="362">
        <f>IF($Q640="ekrk",IF($R640="data",IFERROR(INDEX(data!$A:$ALL,MATCH($M640,data!$A:$A,0),MATCH(Y$2,data!$1:$1,0)),"#data"),IFERROR(X640*INDEX(indexy_SDcast!$A:$ALI,MATCH($R640,indexy_SDcast!$K:$K,0),MATCH(Y$2,indexy_SDcast!$2:$2,0)),"#ekrk")),"#popis")</f>
        <v>-3.4287731626603746</v>
      </c>
    </row>
    <row r="641" spans="1:25" x14ac:dyDescent="0.25">
      <c r="A641" s="330">
        <v>634004</v>
      </c>
      <c r="B641" s="329">
        <v>-9.6183700000000005</v>
      </c>
      <c r="C641" s="157"/>
      <c r="D641" s="330">
        <v>634004</v>
      </c>
      <c r="E641" s="329">
        <v>-9.6183700000000005</v>
      </c>
      <c r="F641" s="157"/>
      <c r="G641" s="330">
        <v>634004</v>
      </c>
      <c r="H641" s="329">
        <v>-9.6183700000000005</v>
      </c>
      <c r="I641" s="157"/>
      <c r="J641" s="330">
        <v>634004</v>
      </c>
      <c r="K641" s="329">
        <v>-9.6183700000000005</v>
      </c>
      <c r="L641" s="157"/>
      <c r="M641" s="360">
        <f t="shared" si="64"/>
        <v>634004</v>
      </c>
      <c r="N641" s="237">
        <f t="shared" si="65"/>
        <v>-9.6183700000000005</v>
      </c>
      <c r="O641" s="361"/>
      <c r="P641" s="361"/>
      <c r="Q641" s="361" t="s">
        <v>698</v>
      </c>
      <c r="R641" s="362">
        <v>35</v>
      </c>
      <c r="S641" s="236"/>
      <c r="T641" s="364">
        <f t="shared" si="63"/>
        <v>634004</v>
      </c>
      <c r="U641" s="365">
        <f t="shared" si="66"/>
        <v>-9.6183700000000005</v>
      </c>
      <c r="V641" s="365">
        <f>IF($Q641="ekrk",IF($R641="data",IFERROR(INDEX(data!$A:$ALL,MATCH($M641,data!$A:$A,0),MATCH(V$2,data!$1:$1,0)),"#data"),IFERROR(U641*INDEX(indexy_SDcast!$A:$ALI,MATCH($R641,indexy_SDcast!$K:$K,0),MATCH(V$2,indexy_SDcast!$2:$2,0)),"#ekrk")),"#popis")</f>
        <v>-12.313746440225692</v>
      </c>
      <c r="W641" s="365">
        <f>IF($Q641="ekrk",IF($R641="data",IFERROR(INDEX(data!$A:$ALL,MATCH($M641,data!$A:$A,0),MATCH(W$2,data!$1:$1,0)),"#data"),IFERROR(V641*INDEX(indexy_SDcast!$A:$ALI,MATCH($R641,indexy_SDcast!$K:$K,0),MATCH(W$2,indexy_SDcast!$2:$2,0)),"#ekrk")),"#popis")</f>
        <v>-12.452169028004937</v>
      </c>
      <c r="X641" s="365">
        <f>IF($Q641="ekrk",IF($R641="data",IFERROR(INDEX(data!$A:$ALL,MATCH($M641,data!$A:$A,0),MATCH(X$2,data!$1:$1,0)),"#data"),IFERROR(W641*INDEX(indexy_SDcast!$A:$ALI,MATCH($R641,indexy_SDcast!$K:$K,0),MATCH(X$2,indexy_SDcast!$2:$2,0)),"#ekrk")),"#popis")</f>
        <v>-7.9983517932200323</v>
      </c>
      <c r="Y641" s="362">
        <f>IF($Q641="ekrk",IF($R641="data",IFERROR(INDEX(data!$A:$ALL,MATCH($M641,data!$A:$A,0),MATCH(Y$2,data!$1:$1,0)),"#data"),IFERROR(X641*INDEX(indexy_SDcast!$A:$ALI,MATCH($R641,indexy_SDcast!$K:$K,0),MATCH(Y$2,indexy_SDcast!$2:$2,0)),"#ekrk")),"#popis")</f>
        <v>-10.82055394314567</v>
      </c>
    </row>
    <row r="642" spans="1:25" x14ac:dyDescent="0.25">
      <c r="A642" s="330">
        <v>634005</v>
      </c>
      <c r="B642" s="329">
        <v>-8.0740000000000006E-2</v>
      </c>
      <c r="C642" s="157"/>
      <c r="D642" s="330">
        <v>634005</v>
      </c>
      <c r="E642" s="329">
        <v>-8.0740000000000006E-2</v>
      </c>
      <c r="F642" s="157"/>
      <c r="G642" s="330">
        <v>634005</v>
      </c>
      <c r="H642" s="329">
        <v>-8.0740000000000006E-2</v>
      </c>
      <c r="I642" s="157"/>
      <c r="J642" s="330">
        <v>634005</v>
      </c>
      <c r="K642" s="329">
        <v>-8.0740000000000006E-2</v>
      </c>
      <c r="L642" s="157"/>
      <c r="M642" s="360">
        <f t="shared" si="64"/>
        <v>634005</v>
      </c>
      <c r="N642" s="237">
        <f t="shared" si="65"/>
        <v>-8.0740000000000006E-2</v>
      </c>
      <c r="O642" s="361"/>
      <c r="P642" s="361"/>
      <c r="Q642" s="361" t="s">
        <v>698</v>
      </c>
      <c r="R642" s="362">
        <v>35</v>
      </c>
      <c r="S642" s="236"/>
      <c r="T642" s="364">
        <f t="shared" si="63"/>
        <v>634005</v>
      </c>
      <c r="U642" s="365">
        <f t="shared" si="66"/>
        <v>-8.0740000000000006E-2</v>
      </c>
      <c r="V642" s="365">
        <f>IF($Q642="ekrk",IF($R642="data",IFERROR(INDEX(data!$A:$ALL,MATCH($M642,data!$A:$A,0),MATCH(V$2,data!$1:$1,0)),"#data"),IFERROR(U642*INDEX(indexy_SDcast!$A:$ALI,MATCH($R642,indexy_SDcast!$K:$K,0),MATCH(V$2,indexy_SDcast!$2:$2,0)),"#ekrk")),"#popis")</f>
        <v>-0.10336594325065707</v>
      </c>
      <c r="W642" s="365">
        <f>IF($Q642="ekrk",IF($R642="data",IFERROR(INDEX(data!$A:$ALL,MATCH($M642,data!$A:$A,0),MATCH(W$2,data!$1:$1,0)),"#data"),IFERROR(V642*INDEX(indexy_SDcast!$A:$ALI,MATCH($R642,indexy_SDcast!$K:$K,0),MATCH(W$2,indexy_SDcast!$2:$2,0)),"#ekrk")),"#popis")</f>
        <v>-0.10452791141546006</v>
      </c>
      <c r="X642" s="365">
        <f>IF($Q642="ekrk",IF($R642="data",IFERROR(INDEX(data!$A:$ALL,MATCH($M642,data!$A:$A,0),MATCH(X$2,data!$1:$1,0)),"#data"),IFERROR(W642*INDEX(indexy_SDcast!$A:$ALI,MATCH($R642,indexy_SDcast!$K:$K,0),MATCH(X$2,indexy_SDcast!$2:$2,0)),"#ekrk")),"#popis")</f>
        <v>-6.7140994137736998E-2</v>
      </c>
      <c r="Y642" s="362">
        <f>IF($Q642="ekrk",IF($R642="data",IFERROR(INDEX(data!$A:$ALL,MATCH($M642,data!$A:$A,0),MATCH(Y$2,data!$1:$1,0)),"#data"),IFERROR(X642*INDEX(indexy_SDcast!$A:$ALI,MATCH($R642,indexy_SDcast!$K:$K,0),MATCH(Y$2,indexy_SDcast!$2:$2,0)),"#ekrk")),"#popis")</f>
        <v>-9.0831557256539464E-2</v>
      </c>
    </row>
    <row r="643" spans="1:25" x14ac:dyDescent="0.25">
      <c r="A643" s="330">
        <v>634006</v>
      </c>
      <c r="B643" s="329">
        <v>-2.5160000000000005E-2</v>
      </c>
      <c r="C643" s="157"/>
      <c r="D643" s="330">
        <v>634006</v>
      </c>
      <c r="E643" s="329">
        <v>-2.5160000000000005E-2</v>
      </c>
      <c r="F643" s="157"/>
      <c r="G643" s="330">
        <v>634006</v>
      </c>
      <c r="H643" s="329">
        <v>-2.5160000000000005E-2</v>
      </c>
      <c r="I643" s="157"/>
      <c r="J643" s="330">
        <v>634006</v>
      </c>
      <c r="K643" s="329">
        <v>-2.5160000000000005E-2</v>
      </c>
      <c r="L643" s="157"/>
      <c r="M643" s="360">
        <f t="shared" si="64"/>
        <v>634006</v>
      </c>
      <c r="N643" s="237">
        <f t="shared" si="65"/>
        <v>-2.5160000000000005E-2</v>
      </c>
      <c r="O643" s="361"/>
      <c r="P643" s="361"/>
      <c r="Q643" s="361" t="s">
        <v>698</v>
      </c>
      <c r="R643" s="362">
        <v>35</v>
      </c>
      <c r="S643" s="236"/>
      <c r="T643" s="364">
        <f t="shared" si="63"/>
        <v>634006</v>
      </c>
      <c r="U643" s="365">
        <f t="shared" si="66"/>
        <v>-2.5160000000000005E-2</v>
      </c>
      <c r="V643" s="365">
        <f>IF($Q643="ekrk",IF($R643="data",IFERROR(INDEX(data!$A:$ALL,MATCH($M643,data!$A:$A,0),MATCH(V$2,data!$1:$1,0)),"#data"),IFERROR(U643*INDEX(indexy_SDcast!$A:$ALI,MATCH($R643,indexy_SDcast!$K:$K,0),MATCH(V$2,indexy_SDcast!$2:$2,0)),"#ekrk")),"#popis")</f>
        <v>-3.2210640725619674E-2</v>
      </c>
      <c r="W643" s="365">
        <f>IF($Q643="ekrk",IF($R643="data",IFERROR(INDEX(data!$A:$ALL,MATCH($M643,data!$A:$A,0),MATCH(W$2,data!$1:$1,0)),"#data"),IFERROR(V643*INDEX(indexy_SDcast!$A:$ALI,MATCH($R643,indexy_SDcast!$K:$K,0),MATCH(W$2,indexy_SDcast!$2:$2,0)),"#ekrk")),"#popis")</f>
        <v>-3.2572730384109183E-2</v>
      </c>
      <c r="X643" s="365">
        <f>IF($Q643="ekrk",IF($R643="data",IFERROR(INDEX(data!$A:$ALL,MATCH($M643,data!$A:$A,0),MATCH(X$2,data!$1:$1,0)),"#data"),IFERROR(W643*INDEX(indexy_SDcast!$A:$ALI,MATCH($R643,indexy_SDcast!$K:$K,0),MATCH(X$2,indexy_SDcast!$2:$2,0)),"#ekrk")),"#popis")</f>
        <v>-2.0922311277005983E-2</v>
      </c>
      <c r="Y643" s="362">
        <f>IF($Q643="ekrk",IF($R643="data",IFERROR(INDEX(data!$A:$ALL,MATCH($M643,data!$A:$A,0),MATCH(Y$2,data!$1:$1,0)),"#data"),IFERROR(X643*INDEX(indexy_SDcast!$A:$ALI,MATCH($R643,indexy_SDcast!$K:$K,0),MATCH(Y$2,indexy_SDcast!$2:$2,0)),"#ekrk")),"#popis")</f>
        <v>-2.8304706224604077E-2</v>
      </c>
    </row>
    <row r="644" spans="1:25" x14ac:dyDescent="0.25">
      <c r="A644" s="330">
        <v>635002</v>
      </c>
      <c r="B644" s="329">
        <v>-65.444810000000004</v>
      </c>
      <c r="C644" s="157"/>
      <c r="D644" s="330">
        <v>635002</v>
      </c>
      <c r="E644" s="329">
        <v>-65.444810000000004</v>
      </c>
      <c r="F644" s="157"/>
      <c r="G644" s="330">
        <v>635002</v>
      </c>
      <c r="H644" s="329">
        <v>-65.444810000000004</v>
      </c>
      <c r="I644" s="157"/>
      <c r="J644" s="330">
        <v>635002</v>
      </c>
      <c r="K644" s="329">
        <v>-65.444810000000004</v>
      </c>
      <c r="L644" s="157"/>
      <c r="M644" s="360">
        <f t="shared" si="64"/>
        <v>635002</v>
      </c>
      <c r="N644" s="237">
        <f t="shared" si="65"/>
        <v>-65.444810000000004</v>
      </c>
      <c r="O644" s="361"/>
      <c r="P644" s="361"/>
      <c r="Q644" s="361" t="s">
        <v>698</v>
      </c>
      <c r="R644" s="362">
        <v>35</v>
      </c>
      <c r="S644" s="236"/>
      <c r="T644" s="364">
        <f t="shared" si="63"/>
        <v>635002</v>
      </c>
      <c r="U644" s="365">
        <f t="shared" si="66"/>
        <v>-65.444810000000004</v>
      </c>
      <c r="V644" s="365">
        <f>IF($Q644="ekrk",IF($R644="data",IFERROR(INDEX(data!$A:$ALL,MATCH($M644,data!$A:$A,0),MATCH(V$2,data!$1:$1,0)),"#data"),IFERROR(U644*INDEX(indexy_SDcast!$A:$ALI,MATCH($R644,indexy_SDcast!$K:$K,0),MATCH(V$2,indexy_SDcast!$2:$2,0)),"#ekrk")),"#popis")</f>
        <v>-83.784549374659818</v>
      </c>
      <c r="W644" s="365">
        <f>IF($Q644="ekrk",IF($R644="data",IFERROR(INDEX(data!$A:$ALL,MATCH($M644,data!$A:$A,0),MATCH(W$2,data!$1:$1,0)),"#data"),IFERROR(V644*INDEX(indexy_SDcast!$A:$ALI,MATCH($R644,indexy_SDcast!$K:$K,0),MATCH(W$2,indexy_SDcast!$2:$2,0)),"#ekrk")),"#popis")</f>
        <v>-84.726397105296186</v>
      </c>
      <c r="X644" s="365">
        <f>IF($Q644="ekrk",IF($R644="data",IFERROR(INDEX(data!$A:$ALL,MATCH($M644,data!$A:$A,0),MATCH(X$2,data!$1:$1,0)),"#data"),IFERROR(W644*INDEX(indexy_SDcast!$A:$ALI,MATCH($R644,indexy_SDcast!$K:$K,0),MATCH(X$2,indexy_SDcast!$2:$2,0)),"#ekrk")),"#popis")</f>
        <v>-54.421966863454436</v>
      </c>
      <c r="Y644" s="362">
        <f>IF($Q644="ekrk",IF($R644="data",IFERROR(INDEX(data!$A:$ALL,MATCH($M644,data!$A:$A,0),MATCH(Y$2,data!$1:$1,0)),"#data"),IFERROR(X644*INDEX(indexy_SDcast!$A:$ALI,MATCH($R644,indexy_SDcast!$K:$K,0),MATCH(Y$2,indexy_SDcast!$2:$2,0)),"#ekrk")),"#popis")</f>
        <v>-73.624647097576741</v>
      </c>
    </row>
    <row r="645" spans="1:25" x14ac:dyDescent="0.25">
      <c r="A645" s="330">
        <v>635003</v>
      </c>
      <c r="B645" s="329">
        <v>-0.49746000000000001</v>
      </c>
      <c r="C645" s="157"/>
      <c r="D645" s="330">
        <v>635003</v>
      </c>
      <c r="E645" s="329">
        <v>-0.49746000000000001</v>
      </c>
      <c r="F645" s="157"/>
      <c r="G645" s="330">
        <v>635003</v>
      </c>
      <c r="H645" s="329">
        <v>-0.49746000000000001</v>
      </c>
      <c r="I645" s="157"/>
      <c r="J645" s="330">
        <v>635003</v>
      </c>
      <c r="K645" s="329">
        <v>-0.49746000000000001</v>
      </c>
      <c r="L645" s="157"/>
      <c r="M645" s="360">
        <f t="shared" si="64"/>
        <v>635003</v>
      </c>
      <c r="N645" s="237">
        <f t="shared" si="65"/>
        <v>-0.49746000000000001</v>
      </c>
      <c r="O645" s="361"/>
      <c r="P645" s="361"/>
      <c r="Q645" s="361" t="s">
        <v>698</v>
      </c>
      <c r="R645" s="362">
        <v>35</v>
      </c>
      <c r="S645" s="236"/>
      <c r="T645" s="364">
        <f t="shared" si="63"/>
        <v>635003</v>
      </c>
      <c r="U645" s="365">
        <f t="shared" si="66"/>
        <v>-0.49746000000000001</v>
      </c>
      <c r="V645" s="365">
        <f>IF($Q645="ekrk",IF($R645="data",IFERROR(INDEX(data!$A:$ALL,MATCH($M645,data!$A:$A,0),MATCH(V$2,data!$1:$1,0)),"#data"),IFERROR(U645*INDEX(indexy_SDcast!$A:$ALI,MATCH($R645,indexy_SDcast!$K:$K,0),MATCH(V$2,indexy_SDcast!$2:$2,0)),"#ekrk")),"#popis")</f>
        <v>-0.6368642820098076</v>
      </c>
      <c r="W645" s="365">
        <f>IF($Q645="ekrk",IF($R645="data",IFERROR(INDEX(data!$A:$ALL,MATCH($M645,data!$A:$A,0),MATCH(W$2,data!$1:$1,0)),"#data"),IFERROR(V645*INDEX(indexy_SDcast!$A:$ALI,MATCH($R645,indexy_SDcast!$K:$K,0),MATCH(W$2,indexy_SDcast!$2:$2,0)),"#ekrk")),"#popis")</f>
        <v>-0.64402346807944955</v>
      </c>
      <c r="X645" s="365">
        <f>IF($Q645="ekrk",IF($R645="data",IFERROR(INDEX(data!$A:$ALL,MATCH($M645,data!$A:$A,0),MATCH(X$2,data!$1:$1,0)),"#data"),IFERROR(W645*INDEX(indexy_SDcast!$A:$ALI,MATCH($R645,indexy_SDcast!$K:$K,0),MATCH(X$2,indexy_SDcast!$2:$2,0)),"#ekrk")),"#popis")</f>
        <v>-0.41367301144115237</v>
      </c>
      <c r="Y645" s="362">
        <f>IF($Q645="ekrk",IF($R645="data",IFERROR(INDEX(data!$A:$ALL,MATCH($M645,data!$A:$A,0),MATCH(Y$2,data!$1:$1,0)),"#data"),IFERROR(X645*INDEX(indexy_SDcast!$A:$ALI,MATCH($R645,indexy_SDcast!$K:$K,0),MATCH(Y$2,indexy_SDcast!$2:$2,0)),"#ekrk")),"#popis")</f>
        <v>-0.55963669151397222</v>
      </c>
    </row>
    <row r="646" spans="1:25" x14ac:dyDescent="0.25">
      <c r="A646" s="330">
        <v>635004</v>
      </c>
      <c r="B646" s="329">
        <v>-30.478260000000006</v>
      </c>
      <c r="C646" s="157"/>
      <c r="D646" s="330">
        <v>635004</v>
      </c>
      <c r="E646" s="329">
        <v>-30.478260000000006</v>
      </c>
      <c r="F646" s="157"/>
      <c r="G646" s="330">
        <v>635004</v>
      </c>
      <c r="H646" s="329">
        <v>-30.478260000000006</v>
      </c>
      <c r="I646" s="157"/>
      <c r="J646" s="330">
        <v>635004</v>
      </c>
      <c r="K646" s="329">
        <v>-30.478260000000006</v>
      </c>
      <c r="L646" s="157"/>
      <c r="M646" s="360">
        <f t="shared" si="64"/>
        <v>635004</v>
      </c>
      <c r="N646" s="237">
        <f t="shared" si="65"/>
        <v>-30.478260000000006</v>
      </c>
      <c r="O646" s="361"/>
      <c r="P646" s="361"/>
      <c r="Q646" s="361" t="s">
        <v>698</v>
      </c>
      <c r="R646" s="362">
        <v>35</v>
      </c>
      <c r="S646" s="236"/>
      <c r="T646" s="364">
        <f t="shared" si="63"/>
        <v>635004</v>
      </c>
      <c r="U646" s="365">
        <f t="shared" si="66"/>
        <v>-30.478260000000006</v>
      </c>
      <c r="V646" s="365">
        <f>IF($Q646="ekrk",IF($R646="data",IFERROR(INDEX(data!$A:$ALL,MATCH($M646,data!$A:$A,0),MATCH(V$2,data!$1:$1,0)),"#data"),IFERROR(U646*INDEX(indexy_SDcast!$A:$ALI,MATCH($R646,indexy_SDcast!$K:$K,0),MATCH(V$2,indexy_SDcast!$2:$2,0)),"#ekrk")),"#popis")</f>
        <v>-39.019248124086843</v>
      </c>
      <c r="W646" s="365">
        <f>IF($Q646="ekrk",IF($R646="data",IFERROR(INDEX(data!$A:$ALL,MATCH($M646,data!$A:$A,0),MATCH(W$2,data!$1:$1,0)),"#data"),IFERROR(V646*INDEX(indexy_SDcast!$A:$ALI,MATCH($R646,indexy_SDcast!$K:$K,0),MATCH(W$2,indexy_SDcast!$2:$2,0)),"#ekrk")),"#popis")</f>
        <v>-39.457875419585832</v>
      </c>
      <c r="X646" s="365">
        <f>IF($Q646="ekrk",IF($R646="data",IFERROR(INDEX(data!$A:$ALL,MATCH($M646,data!$A:$A,0),MATCH(X$2,data!$1:$1,0)),"#data"),IFERROR(W646*INDEX(indexy_SDcast!$A:$ALI,MATCH($R646,indexy_SDcast!$K:$K,0),MATCH(X$2,indexy_SDcast!$2:$2,0)),"#ekrk")),"#popis")</f>
        <v>-25.344818875259154</v>
      </c>
      <c r="Y646" s="362">
        <f>IF($Q646="ekrk",IF($R646="data",IFERROR(INDEX(data!$A:$ALL,MATCH($M646,data!$A:$A,0),MATCH(Y$2,data!$1:$1,0)),"#data"),IFERROR(X646*INDEX(indexy_SDcast!$A:$ALI,MATCH($R646,indexy_SDcast!$K:$K,0),MATCH(Y$2,indexy_SDcast!$2:$2,0)),"#ekrk")),"#popis")</f>
        <v>-34.287686627070798</v>
      </c>
    </row>
    <row r="647" spans="1:25" x14ac:dyDescent="0.25">
      <c r="A647" s="330">
        <v>635005</v>
      </c>
      <c r="B647" s="329">
        <v>-0.62334000000000001</v>
      </c>
      <c r="C647" s="157"/>
      <c r="D647" s="330">
        <v>635005</v>
      </c>
      <c r="E647" s="329">
        <v>-0.62334000000000001</v>
      </c>
      <c r="F647" s="157"/>
      <c r="G647" s="330">
        <v>635005</v>
      </c>
      <c r="H647" s="329">
        <v>-0.62334000000000001</v>
      </c>
      <c r="I647" s="157"/>
      <c r="J647" s="330">
        <v>635005</v>
      </c>
      <c r="K647" s="329">
        <v>-0.62334000000000001</v>
      </c>
      <c r="L647" s="157"/>
      <c r="M647" s="360">
        <f t="shared" si="64"/>
        <v>635005</v>
      </c>
      <c r="N647" s="237">
        <f t="shared" si="65"/>
        <v>-0.62334000000000001</v>
      </c>
      <c r="O647" s="361"/>
      <c r="P647" s="361"/>
      <c r="Q647" s="361" t="s">
        <v>698</v>
      </c>
      <c r="R647" s="362">
        <v>35</v>
      </c>
      <c r="S647" s="236"/>
      <c r="T647" s="364">
        <f t="shared" si="63"/>
        <v>635005</v>
      </c>
      <c r="U647" s="365">
        <f t="shared" si="66"/>
        <v>-0.62334000000000001</v>
      </c>
      <c r="V647" s="365">
        <f>IF($Q647="ekrk",IF($R647="data",IFERROR(INDEX(data!$A:$ALL,MATCH($M647,data!$A:$A,0),MATCH(V$2,data!$1:$1,0)),"#data"),IFERROR(U647*INDEX(indexy_SDcast!$A:$ALI,MATCH($R647,indexy_SDcast!$K:$K,0),MATCH(V$2,indexy_SDcast!$2:$2,0)),"#ekrk")),"#popis")</f>
        <v>-0.79801990420937052</v>
      </c>
      <c r="W647" s="365">
        <f>IF($Q647="ekrk",IF($R647="data",IFERROR(INDEX(data!$A:$ALL,MATCH($M647,data!$A:$A,0),MATCH(W$2,data!$1:$1,0)),"#data"),IFERROR(V647*INDEX(indexy_SDcast!$A:$ALI,MATCH($R647,indexy_SDcast!$K:$K,0),MATCH(W$2,indexy_SDcast!$2:$2,0)),"#ekrk")),"#popis")</f>
        <v>-0.80699068988992906</v>
      </c>
      <c r="X647" s="365">
        <f>IF($Q647="ekrk",IF($R647="data",IFERROR(INDEX(data!$A:$ALL,MATCH($M647,data!$A:$A,0),MATCH(X$2,data!$1:$1,0)),"#data"),IFERROR(W647*INDEX(indexy_SDcast!$A:$ALI,MATCH($R647,indexy_SDcast!$K:$K,0),MATCH(X$2,indexy_SDcast!$2:$2,0)),"#ekrk")),"#popis")</f>
        <v>-0.51835109345822361</v>
      </c>
      <c r="Y647" s="362">
        <f>IF($Q647="ekrk",IF($R647="data",IFERROR(INDEX(data!$A:$ALL,MATCH($M647,data!$A:$A,0),MATCH(Y$2,data!$1:$1,0)),"#data"),IFERROR(X647*INDEX(indexy_SDcast!$A:$ALI,MATCH($R647,indexy_SDcast!$K:$K,0),MATCH(Y$2,indexy_SDcast!$2:$2,0)),"#ekrk")),"#popis")</f>
        <v>-0.70125022170288953</v>
      </c>
    </row>
    <row r="648" spans="1:25" x14ac:dyDescent="0.25">
      <c r="A648" s="330">
        <v>635006</v>
      </c>
      <c r="B648" s="329">
        <v>-2336.2082499999997</v>
      </c>
      <c r="C648" s="157"/>
      <c r="D648" s="330">
        <v>635006</v>
      </c>
      <c r="E648" s="329">
        <v>-2336.2082499999997</v>
      </c>
      <c r="F648" s="157"/>
      <c r="G648" s="330">
        <v>635006</v>
      </c>
      <c r="H648" s="329">
        <v>-2336.2082499999997</v>
      </c>
      <c r="I648" s="157"/>
      <c r="J648" s="330">
        <v>635006</v>
      </c>
      <c r="K648" s="329">
        <v>-2336.2082499999997</v>
      </c>
      <c r="L648" s="157"/>
      <c r="M648" s="360">
        <f t="shared" si="64"/>
        <v>635006</v>
      </c>
      <c r="N648" s="237">
        <f t="shared" si="65"/>
        <v>-2336.2082499999997</v>
      </c>
      <c r="O648" s="361"/>
      <c r="P648" s="361"/>
      <c r="Q648" s="361" t="s">
        <v>698</v>
      </c>
      <c r="R648" s="362">
        <v>35</v>
      </c>
      <c r="S648" s="236"/>
      <c r="T648" s="364">
        <f t="shared" si="63"/>
        <v>635006</v>
      </c>
      <c r="U648" s="365">
        <f t="shared" si="66"/>
        <v>-2336.2082499999997</v>
      </c>
      <c r="V648" s="365">
        <f>IF($Q648="ekrk",IF($R648="data",IFERROR(INDEX(data!$A:$ALL,MATCH($M648,data!$A:$A,0),MATCH(V$2,data!$1:$1,0)),"#data"),IFERROR(U648*INDEX(indexy_SDcast!$A:$ALI,MATCH($R648,indexy_SDcast!$K:$K,0),MATCH(V$2,indexy_SDcast!$2:$2,0)),"#ekrk")),"#popis")</f>
        <v>-2990.8888951104386</v>
      </c>
      <c r="W648" s="365">
        <f>IF($Q648="ekrk",IF($R648="data",IFERROR(INDEX(data!$A:$ALL,MATCH($M648,data!$A:$A,0),MATCH(W$2,data!$1:$1,0)),"#data"),IFERROR(V648*INDEX(indexy_SDcast!$A:$ALI,MATCH($R648,indexy_SDcast!$K:$K,0),MATCH(W$2,indexy_SDcast!$2:$2,0)),"#ekrk")),"#popis")</f>
        <v>-3024.510391430108</v>
      </c>
      <c r="X648" s="365">
        <f>IF($Q648="ekrk",IF($R648="data",IFERROR(INDEX(data!$A:$ALL,MATCH($M648,data!$A:$A,0),MATCH(X$2,data!$1:$1,0)),"#data"),IFERROR(W648*INDEX(indexy_SDcast!$A:$ALI,MATCH($R648,indexy_SDcast!$K:$K,0),MATCH(X$2,indexy_SDcast!$2:$2,0)),"#ekrk")),"#popis")</f>
        <v>-1942.7216301434578</v>
      </c>
      <c r="Y648" s="362">
        <f>IF($Q648="ekrk",IF($R648="data",IFERROR(INDEX(data!$A:$ALL,MATCH($M648,data!$A:$A,0),MATCH(Y$2,data!$1:$1,0)),"#data"),IFERROR(X648*INDEX(indexy_SDcast!$A:$ALI,MATCH($R648,indexy_SDcast!$K:$K,0),MATCH(Y$2,indexy_SDcast!$2:$2,0)),"#ekrk")),"#popis")</f>
        <v>-2628.2070030105874</v>
      </c>
    </row>
    <row r="649" spans="1:25" x14ac:dyDescent="0.25">
      <c r="A649" s="330">
        <v>635008</v>
      </c>
      <c r="B649" s="329">
        <v>-0.99839999999999995</v>
      </c>
      <c r="C649" s="157"/>
      <c r="D649" s="330">
        <v>635008</v>
      </c>
      <c r="E649" s="329">
        <v>-0.99839999999999995</v>
      </c>
      <c r="F649" s="157"/>
      <c r="G649" s="330">
        <v>635008</v>
      </c>
      <c r="H649" s="329">
        <v>-0.99839999999999995</v>
      </c>
      <c r="I649" s="157"/>
      <c r="J649" s="330">
        <v>635008</v>
      </c>
      <c r="K649" s="329">
        <v>-0.99839999999999995</v>
      </c>
      <c r="L649" s="157"/>
      <c r="M649" s="360">
        <f t="shared" si="64"/>
        <v>635008</v>
      </c>
      <c r="N649" s="237">
        <f t="shared" si="65"/>
        <v>-0.99839999999999995</v>
      </c>
      <c r="O649" s="361"/>
      <c r="P649" s="361"/>
      <c r="Q649" s="361" t="s">
        <v>698</v>
      </c>
      <c r="R649" s="362">
        <v>35</v>
      </c>
      <c r="S649" s="236"/>
      <c r="T649" s="364">
        <f t="shared" si="63"/>
        <v>635008</v>
      </c>
      <c r="U649" s="365">
        <f t="shared" si="66"/>
        <v>-0.99839999999999995</v>
      </c>
      <c r="V649" s="365">
        <f>IF($Q649="ekrk",IF($R649="data",IFERROR(INDEX(data!$A:$ALL,MATCH($M649,data!$A:$A,0),MATCH(V$2,data!$1:$1,0)),"#data"),IFERROR(U649*INDEX(indexy_SDcast!$A:$ALI,MATCH($R649,indexy_SDcast!$K:$K,0),MATCH(V$2,indexy_SDcast!$2:$2,0)),"#ekrk")),"#popis")</f>
        <v>-1.2781837718783255</v>
      </c>
      <c r="W649" s="365">
        <f>IF($Q649="ekrk",IF($R649="data",IFERROR(INDEX(data!$A:$ALL,MATCH($M649,data!$A:$A,0),MATCH(W$2,data!$1:$1,0)),"#data"),IFERROR(V649*INDEX(indexy_SDcast!$A:$ALI,MATCH($R649,indexy_SDcast!$K:$K,0),MATCH(W$2,indexy_SDcast!$2:$2,0)),"#ekrk")),"#popis")</f>
        <v>-1.2925522263710094</v>
      </c>
      <c r="X649" s="365">
        <f>IF($Q649="ekrk",IF($R649="data",IFERROR(INDEX(data!$A:$ALL,MATCH($M649,data!$A:$A,0),MATCH(X$2,data!$1:$1,0)),"#data"),IFERROR(W649*INDEX(indexy_SDcast!$A:$ALI,MATCH($R649,indexy_SDcast!$K:$K,0),MATCH(X$2,indexy_SDcast!$2:$2,0)),"#ekrk")),"#popis")</f>
        <v>-0.83023988787610359</v>
      </c>
      <c r="Y649" s="362">
        <f>IF($Q649="ekrk",IF($R649="data",IFERROR(INDEX(data!$A:$ALL,MATCH($M649,data!$A:$A,0),MATCH(Y$2,data!$1:$1,0)),"#data"),IFERROR(X649*INDEX(indexy_SDcast!$A:$ALI,MATCH($R649,indexy_SDcast!$K:$K,0),MATCH(Y$2,indexy_SDcast!$2:$2,0)),"#ekrk")),"#popis")</f>
        <v>-1.1231883423944633</v>
      </c>
    </row>
    <row r="650" spans="1:25" x14ac:dyDescent="0.25">
      <c r="A650" s="330">
        <v>635009</v>
      </c>
      <c r="B650" s="329">
        <v>-601.87606000000005</v>
      </c>
      <c r="C650" s="157"/>
      <c r="D650" s="330">
        <v>635009</v>
      </c>
      <c r="E650" s="329">
        <v>-601.87606000000005</v>
      </c>
      <c r="F650" s="157"/>
      <c r="G650" s="330">
        <v>635009</v>
      </c>
      <c r="H650" s="329">
        <v>-601.87606000000005</v>
      </c>
      <c r="I650" s="157"/>
      <c r="J650" s="330">
        <v>635009</v>
      </c>
      <c r="K650" s="329">
        <v>-601.87606000000005</v>
      </c>
      <c r="L650" s="157"/>
      <c r="M650" s="360">
        <f t="shared" si="64"/>
        <v>635009</v>
      </c>
      <c r="N650" s="237">
        <f t="shared" si="65"/>
        <v>-601.87606000000005</v>
      </c>
      <c r="O650" s="361"/>
      <c r="P650" s="361"/>
      <c r="Q650" s="361" t="s">
        <v>698</v>
      </c>
      <c r="R650" s="362">
        <v>35</v>
      </c>
      <c r="S650" s="236"/>
      <c r="T650" s="364">
        <f t="shared" si="63"/>
        <v>635009</v>
      </c>
      <c r="U650" s="365">
        <f t="shared" ref="U650:U670" si="67">N650</f>
        <v>-601.87606000000005</v>
      </c>
      <c r="V650" s="365">
        <f>IF($Q650="ekrk",IF($R650="data",IFERROR(INDEX(data!$A:$ALL,MATCH($M650,data!$A:$A,0),MATCH(V$2,data!$1:$1,0)),"#data"),IFERROR(U650*INDEX(indexy_SDcast!$A:$ALI,MATCH($R650,indexy_SDcast!$K:$K,0),MATCH(V$2,indexy_SDcast!$2:$2,0)),"#ekrk")),"#popis")</f>
        <v>-770.54107829934446</v>
      </c>
      <c r="W650" s="365">
        <f>IF($Q650="ekrk",IF($R650="data",IFERROR(INDEX(data!$A:$ALL,MATCH($M650,data!$A:$A,0),MATCH(W$2,data!$1:$1,0)),"#data"),IFERROR(V650*INDEX(indexy_SDcast!$A:$ALI,MATCH($R650,indexy_SDcast!$K:$K,0),MATCH(W$2,indexy_SDcast!$2:$2,0)),"#ekrk")),"#popis")</f>
        <v>-779.20296609816853</v>
      </c>
      <c r="X650" s="365">
        <f>IF($Q650="ekrk",IF($R650="data",IFERROR(INDEX(data!$A:$ALL,MATCH($M650,data!$A:$A,0),MATCH(X$2,data!$1:$1,0)),"#data"),IFERROR(W650*INDEX(indexy_SDcast!$A:$ALI,MATCH($R650,indexy_SDcast!$K:$K,0),MATCH(X$2,indexy_SDcast!$2:$2,0)),"#ekrk")),"#popis")</f>
        <v>-500.50231627575232</v>
      </c>
      <c r="Y650" s="362">
        <f>IF($Q650="ekrk",IF($R650="data",IFERROR(INDEX(data!$A:$ALL,MATCH($M650,data!$A:$A,0),MATCH(Y$2,data!$1:$1,0)),"#data"),IFERROR(X650*INDEX(indexy_SDcast!$A:$ALI,MATCH($R650,indexy_SDcast!$K:$K,0),MATCH(Y$2,indexy_SDcast!$2:$2,0)),"#ekrk")),"#popis")</f>
        <v>-677.10353982202605</v>
      </c>
    </row>
    <row r="651" spans="1:25" x14ac:dyDescent="0.25">
      <c r="A651" s="330">
        <v>635010</v>
      </c>
      <c r="B651" s="329">
        <v>-27.509419999999999</v>
      </c>
      <c r="C651" s="157"/>
      <c r="D651" s="330">
        <v>635010</v>
      </c>
      <c r="E651" s="329">
        <v>-27.509419999999999</v>
      </c>
      <c r="F651" s="157"/>
      <c r="G651" s="330">
        <v>635010</v>
      </c>
      <c r="H651" s="329">
        <v>-27.509419999999999</v>
      </c>
      <c r="I651" s="157"/>
      <c r="J651" s="330">
        <v>635010</v>
      </c>
      <c r="K651" s="329">
        <v>-27.509419999999999</v>
      </c>
      <c r="L651" s="157"/>
      <c r="M651" s="360">
        <f t="shared" si="64"/>
        <v>635010</v>
      </c>
      <c r="N651" s="237">
        <f t="shared" si="65"/>
        <v>-27.509419999999999</v>
      </c>
      <c r="O651" s="361"/>
      <c r="P651" s="361"/>
      <c r="Q651" s="361" t="s">
        <v>698</v>
      </c>
      <c r="R651" s="362">
        <v>35</v>
      </c>
      <c r="S651" s="236"/>
      <c r="T651" s="364">
        <f t="shared" si="63"/>
        <v>635010</v>
      </c>
      <c r="U651" s="365">
        <f t="shared" si="67"/>
        <v>-27.509419999999999</v>
      </c>
      <c r="V651" s="365">
        <f>IF($Q651="ekrk",IF($R651="data",IFERROR(INDEX(data!$A:$ALL,MATCH($M651,data!$A:$A,0),MATCH(V$2,data!$1:$1,0)),"#data"),IFERROR(U651*INDEX(indexy_SDcast!$A:$ALI,MATCH($R651,indexy_SDcast!$K:$K,0),MATCH(V$2,indexy_SDcast!$2:$2,0)),"#ekrk")),"#popis")</f>
        <v>-35.218443727749445</v>
      </c>
      <c r="W651" s="365">
        <f>IF($Q651="ekrk",IF($R651="data",IFERROR(INDEX(data!$A:$ALL,MATCH($M651,data!$A:$A,0),MATCH(W$2,data!$1:$1,0)),"#data"),IFERROR(V651*INDEX(indexy_SDcast!$A:$ALI,MATCH($R651,indexy_SDcast!$K:$K,0),MATCH(W$2,indexy_SDcast!$2:$2,0)),"#ekrk")),"#popis")</f>
        <v>-35.614345019205906</v>
      </c>
      <c r="X651" s="365">
        <f>IF($Q651="ekrk",IF($R651="data",IFERROR(INDEX(data!$A:$ALL,MATCH($M651,data!$A:$A,0),MATCH(X$2,data!$1:$1,0)),"#data"),IFERROR(W651*INDEX(indexy_SDcast!$A:$ALI,MATCH($R651,indexy_SDcast!$K:$K,0),MATCH(X$2,indexy_SDcast!$2:$2,0)),"#ekrk")),"#popis")</f>
        <v>-22.876019407388466</v>
      </c>
      <c r="Y651" s="362">
        <f>IF($Q651="ekrk",IF($R651="data",IFERROR(INDEX(data!$A:$ALL,MATCH($M651,data!$A:$A,0),MATCH(Y$2,data!$1:$1,0)),"#data"),IFERROR(X651*INDEX(indexy_SDcast!$A:$ALI,MATCH($R651,indexy_SDcast!$K:$K,0),MATCH(Y$2,indexy_SDcast!$2:$2,0)),"#ekrk")),"#popis")</f>
        <v>-30.947776292100464</v>
      </c>
    </row>
    <row r="652" spans="1:25" x14ac:dyDescent="0.25">
      <c r="A652" s="330">
        <v>636001</v>
      </c>
      <c r="B652" s="329">
        <v>-132.73400000000001</v>
      </c>
      <c r="C652" s="157"/>
      <c r="D652" s="330">
        <v>636001</v>
      </c>
      <c r="E652" s="329">
        <v>-132.73400000000001</v>
      </c>
      <c r="F652" s="157"/>
      <c r="G652" s="330">
        <v>636001</v>
      </c>
      <c r="H652" s="329">
        <v>-132.73400000000001</v>
      </c>
      <c r="I652" s="157"/>
      <c r="J652" s="330">
        <v>636001</v>
      </c>
      <c r="K652" s="329">
        <v>-132.73400000000001</v>
      </c>
      <c r="L652" s="157"/>
      <c r="M652" s="360">
        <f t="shared" si="64"/>
        <v>636001</v>
      </c>
      <c r="N652" s="237">
        <f t="shared" si="65"/>
        <v>-132.73400000000001</v>
      </c>
      <c r="O652" s="361"/>
      <c r="P652" s="361"/>
      <c r="Q652" s="361" t="s">
        <v>698</v>
      </c>
      <c r="R652" s="362">
        <v>35</v>
      </c>
      <c r="S652" s="236"/>
      <c r="T652" s="364">
        <f t="shared" si="63"/>
        <v>636001</v>
      </c>
      <c r="U652" s="365">
        <f t="shared" si="67"/>
        <v>-132.73400000000001</v>
      </c>
      <c r="V652" s="365">
        <f>IF($Q652="ekrk",IF($R652="data",IFERROR(INDEX(data!$A:$ALL,MATCH($M652,data!$A:$A,0),MATCH(V$2,data!$1:$1,0)),"#data"),IFERROR(U652*INDEX(indexy_SDcast!$A:$ALI,MATCH($R652,indexy_SDcast!$K:$K,0),MATCH(V$2,indexy_SDcast!$2:$2,0)),"#ekrk")),"#popis")</f>
        <v>-169.93033330979335</v>
      </c>
      <c r="W652" s="365">
        <f>IF($Q652="ekrk",IF($R652="data",IFERROR(INDEX(data!$A:$ALL,MATCH($M652,data!$A:$A,0),MATCH(W$2,data!$1:$1,0)),"#data"),IFERROR(V652*INDEX(indexy_SDcast!$A:$ALI,MATCH($R652,indexy_SDcast!$K:$K,0),MATCH(W$2,indexy_SDcast!$2:$2,0)),"#ekrk")),"#popis")</f>
        <v>-171.84057213053845</v>
      </c>
      <c r="X652" s="365">
        <f>IF($Q652="ekrk",IF($R652="data",IFERROR(INDEX(data!$A:$ALL,MATCH($M652,data!$A:$A,0),MATCH(X$2,data!$1:$1,0)),"#data"),IFERROR(W652*INDEX(indexy_SDcast!$A:$ALI,MATCH($R652,indexy_SDcast!$K:$K,0),MATCH(X$2,indexy_SDcast!$2:$2,0)),"#ekrk")),"#popis")</f>
        <v>-110.37766554221429</v>
      </c>
      <c r="Y652" s="362">
        <f>IF($Q652="ekrk",IF($R652="data",IFERROR(INDEX(data!$A:$ALL,MATCH($M652,data!$A:$A,0),MATCH(Y$2,data!$1:$1,0)),"#data"),IFERROR(X652*INDEX(indexy_SDcast!$A:$ALI,MATCH($R652,indexy_SDcast!$K:$K,0),MATCH(Y$2,indexy_SDcast!$2:$2,0)),"#ekrk")),"#popis")</f>
        <v>-149.32420015964215</v>
      </c>
    </row>
    <row r="653" spans="1:25" x14ac:dyDescent="0.25">
      <c r="A653" s="330">
        <v>636002</v>
      </c>
      <c r="B653" s="329">
        <v>-104.36475999999998</v>
      </c>
      <c r="C653" s="157"/>
      <c r="D653" s="330">
        <v>636002</v>
      </c>
      <c r="E653" s="329">
        <v>-104.36475999999998</v>
      </c>
      <c r="F653" s="157"/>
      <c r="G653" s="330">
        <v>636002</v>
      </c>
      <c r="H653" s="329">
        <v>-104.36475999999998</v>
      </c>
      <c r="I653" s="157"/>
      <c r="J653" s="330">
        <v>636002</v>
      </c>
      <c r="K653" s="329">
        <v>-104.36475999999998</v>
      </c>
      <c r="L653" s="157"/>
      <c r="M653" s="360">
        <f t="shared" si="64"/>
        <v>636002</v>
      </c>
      <c r="N653" s="237">
        <f t="shared" si="65"/>
        <v>-104.36475999999998</v>
      </c>
      <c r="O653" s="361"/>
      <c r="P653" s="361"/>
      <c r="Q653" s="361" t="s">
        <v>698</v>
      </c>
      <c r="R653" s="362">
        <v>35</v>
      </c>
      <c r="S653" s="236"/>
      <c r="T653" s="364">
        <f t="shared" si="63"/>
        <v>636002</v>
      </c>
      <c r="U653" s="365">
        <f t="shared" si="67"/>
        <v>-104.36475999999998</v>
      </c>
      <c r="V653" s="365">
        <f>IF($Q653="ekrk",IF($R653="data",IFERROR(INDEX(data!$A:$ALL,MATCH($M653,data!$A:$A,0),MATCH(V$2,data!$1:$1,0)),"#data"),IFERROR(U653*INDEX(indexy_SDcast!$A:$ALI,MATCH($R653,indexy_SDcast!$K:$K,0),MATCH(V$2,indexy_SDcast!$2:$2,0)),"#ekrk")),"#popis")</f>
        <v>-133.61112038058511</v>
      </c>
      <c r="W653" s="365">
        <f>IF($Q653="ekrk",IF($R653="data",IFERROR(INDEX(data!$A:$ALL,MATCH($M653,data!$A:$A,0),MATCH(W$2,data!$1:$1,0)),"#data"),IFERROR(V653*INDEX(indexy_SDcast!$A:$ALI,MATCH($R653,indexy_SDcast!$K:$K,0),MATCH(W$2,indexy_SDcast!$2:$2,0)),"#ekrk")),"#popis")</f>
        <v>-135.11308382679894</v>
      </c>
      <c r="X653" s="365">
        <f>IF($Q653="ekrk",IF($R653="data",IFERROR(INDEX(data!$A:$ALL,MATCH($M653,data!$A:$A,0),MATCH(X$2,data!$1:$1,0)),"#data"),IFERROR(W653*INDEX(indexy_SDcast!$A:$ALI,MATCH($R653,indexy_SDcast!$K:$K,0),MATCH(X$2,indexy_SDcast!$2:$2,0)),"#ekrk")),"#popis")</f>
        <v>-86.786645273053338</v>
      </c>
      <c r="Y653" s="362">
        <f>IF($Q653="ekrk",IF($R653="data",IFERROR(INDEX(data!$A:$ALL,MATCH($M653,data!$A:$A,0),MATCH(Y$2,data!$1:$1,0)),"#data"),IFERROR(X653*INDEX(indexy_SDcast!$A:$ALI,MATCH($R653,indexy_SDcast!$K:$K,0),MATCH(Y$2,indexy_SDcast!$2:$2,0)),"#ekrk")),"#popis")</f>
        <v>-117.40913640704727</v>
      </c>
    </row>
    <row r="654" spans="1:25" x14ac:dyDescent="0.25">
      <c r="A654" s="330">
        <v>636003</v>
      </c>
      <c r="B654" s="329">
        <v>-12.824430000000001</v>
      </c>
      <c r="C654" s="157"/>
      <c r="D654" s="330">
        <v>636003</v>
      </c>
      <c r="E654" s="329">
        <v>-12.824430000000001</v>
      </c>
      <c r="F654" s="157"/>
      <c r="G654" s="330">
        <v>636003</v>
      </c>
      <c r="H654" s="329">
        <v>-12.824430000000001</v>
      </c>
      <c r="I654" s="157"/>
      <c r="J654" s="330">
        <v>636003</v>
      </c>
      <c r="K654" s="329">
        <v>-12.824430000000001</v>
      </c>
      <c r="L654" s="157"/>
      <c r="M654" s="360">
        <f t="shared" si="64"/>
        <v>636003</v>
      </c>
      <c r="N654" s="237">
        <f t="shared" si="65"/>
        <v>-12.824430000000001</v>
      </c>
      <c r="O654" s="361"/>
      <c r="P654" s="361"/>
      <c r="Q654" s="361" t="s">
        <v>698</v>
      </c>
      <c r="R654" s="362">
        <v>35</v>
      </c>
      <c r="S654" s="236"/>
      <c r="T654" s="364">
        <f t="shared" si="63"/>
        <v>636003</v>
      </c>
      <c r="U654" s="365">
        <f t="shared" si="67"/>
        <v>-12.824430000000001</v>
      </c>
      <c r="V654" s="365">
        <f>IF($Q654="ekrk",IF($R654="data",IFERROR(INDEX(data!$A:$ALL,MATCH($M654,data!$A:$A,0),MATCH(V$2,data!$1:$1,0)),"#data"),IFERROR(U654*INDEX(indexy_SDcast!$A:$ALI,MATCH($R654,indexy_SDcast!$K:$K,0),MATCH(V$2,indexy_SDcast!$2:$2,0)),"#ekrk")),"#popis")</f>
        <v>-16.418247505598515</v>
      </c>
      <c r="W654" s="365">
        <f>IF($Q654="ekrk",IF($R654="data",IFERROR(INDEX(data!$A:$ALL,MATCH($M654,data!$A:$A,0),MATCH(W$2,data!$1:$1,0)),"#data"),IFERROR(V654*INDEX(indexy_SDcast!$A:$ALI,MATCH($R654,indexy_SDcast!$K:$K,0),MATCH(W$2,indexy_SDcast!$2:$2,0)),"#ekrk")),"#popis")</f>
        <v>-16.602810044510385</v>
      </c>
      <c r="X654" s="365">
        <f>IF($Q654="ekrk",IF($R654="data",IFERROR(INDEX(data!$A:$ALL,MATCH($M654,data!$A:$A,0),MATCH(X$2,data!$1:$1,0)),"#data"),IFERROR(W654*INDEX(indexy_SDcast!$A:$ALI,MATCH($R654,indexy_SDcast!$K:$K,0),MATCH(X$2,indexy_SDcast!$2:$2,0)),"#ekrk")),"#popis")</f>
        <v>-10.664416391501343</v>
      </c>
      <c r="Y654" s="362">
        <f>IF($Q654="ekrk",IF($R654="data",IFERROR(INDEX(data!$A:$ALL,MATCH($M654,data!$A:$A,0),MATCH(Y$2,data!$1:$1,0)),"#data"),IFERROR(X654*INDEX(indexy_SDcast!$A:$ALI,MATCH($R654,indexy_SDcast!$K:$K,0),MATCH(Y$2,indexy_SDcast!$2:$2,0)),"#ekrk")),"#popis")</f>
        <v>-14.427334008267058</v>
      </c>
    </row>
    <row r="655" spans="1:25" x14ac:dyDescent="0.25">
      <c r="A655" s="330">
        <v>636004</v>
      </c>
      <c r="B655" s="329">
        <v>-0.62378</v>
      </c>
      <c r="C655" s="157"/>
      <c r="D655" s="330">
        <v>636004</v>
      </c>
      <c r="E655" s="329">
        <v>-0.62378</v>
      </c>
      <c r="F655" s="157"/>
      <c r="G655" s="330">
        <v>636004</v>
      </c>
      <c r="H655" s="329">
        <v>-0.62378</v>
      </c>
      <c r="I655" s="157"/>
      <c r="J655" s="330">
        <v>636004</v>
      </c>
      <c r="K655" s="329">
        <v>-0.62378</v>
      </c>
      <c r="L655" s="157"/>
      <c r="M655" s="360">
        <f t="shared" si="64"/>
        <v>636004</v>
      </c>
      <c r="N655" s="237">
        <f t="shared" si="65"/>
        <v>-0.62378</v>
      </c>
      <c r="O655" s="361"/>
      <c r="P655" s="361"/>
      <c r="Q655" s="361" t="s">
        <v>698</v>
      </c>
      <c r="R655" s="362">
        <v>35</v>
      </c>
      <c r="S655" s="236"/>
      <c r="T655" s="364">
        <f t="shared" si="63"/>
        <v>636004</v>
      </c>
      <c r="U655" s="365">
        <f t="shared" si="67"/>
        <v>-0.62378</v>
      </c>
      <c r="V655" s="365">
        <f>IF($Q655="ekrk",IF($R655="data",IFERROR(INDEX(data!$A:$ALL,MATCH($M655,data!$A:$A,0),MATCH(V$2,data!$1:$1,0)),"#data"),IFERROR(U655*INDEX(indexy_SDcast!$A:$ALI,MATCH($R655,indexy_SDcast!$K:$K,0),MATCH(V$2,indexy_SDcast!$2:$2,0)),"#ekrk")),"#popis")</f>
        <v>-0.79858320635242586</v>
      </c>
      <c r="W655" s="365">
        <f>IF($Q655="ekrk",IF($R655="data",IFERROR(INDEX(data!$A:$ALL,MATCH($M655,data!$A:$A,0),MATCH(W$2,data!$1:$1,0)),"#data"),IFERROR(V655*INDEX(indexy_SDcast!$A:$ALI,MATCH($R655,indexy_SDcast!$K:$K,0),MATCH(W$2,indexy_SDcast!$2:$2,0)),"#ekrk")),"#popis")</f>
        <v>-0.8075603242845637</v>
      </c>
      <c r="X655" s="365">
        <f>IF($Q655="ekrk",IF($R655="data",IFERROR(INDEX(data!$A:$ALL,MATCH($M655,data!$A:$A,0),MATCH(X$2,data!$1:$1,0)),"#data"),IFERROR(W655*INDEX(indexy_SDcast!$A:$ALI,MATCH($R655,indexy_SDcast!$K:$K,0),MATCH(X$2,indexy_SDcast!$2:$2,0)),"#ekrk")),"#popis")</f>
        <v>-0.51871698443445113</v>
      </c>
      <c r="Y655" s="362">
        <f>IF($Q655="ekrk",IF($R655="data",IFERROR(INDEX(data!$A:$ALL,MATCH($M655,data!$A:$A,0),MATCH(Y$2,data!$1:$1,0)),"#data"),IFERROR(X655*INDEX(indexy_SDcast!$A:$ALI,MATCH($R655,indexy_SDcast!$K:$K,0),MATCH(Y$2,indexy_SDcast!$2:$2,0)),"#ekrk")),"#popis")</f>
        <v>-0.70174521656532307</v>
      </c>
    </row>
    <row r="656" spans="1:25" x14ac:dyDescent="0.25">
      <c r="A656" s="330">
        <v>636006</v>
      </c>
      <c r="B656" s="329">
        <v>-9.4540100000000002</v>
      </c>
      <c r="C656" s="157"/>
      <c r="D656" s="330">
        <v>636006</v>
      </c>
      <c r="E656" s="329">
        <v>-9.4540100000000002</v>
      </c>
      <c r="F656" s="157"/>
      <c r="G656" s="330">
        <v>636006</v>
      </c>
      <c r="H656" s="329">
        <v>-9.4540100000000002</v>
      </c>
      <c r="I656" s="157"/>
      <c r="J656" s="330">
        <v>636006</v>
      </c>
      <c r="K656" s="329">
        <v>-9.4540100000000002</v>
      </c>
      <c r="L656" s="157"/>
      <c r="M656" s="360">
        <f t="shared" si="64"/>
        <v>636006</v>
      </c>
      <c r="N656" s="237">
        <f t="shared" si="65"/>
        <v>-9.4540100000000002</v>
      </c>
      <c r="O656" s="361"/>
      <c r="P656" s="361"/>
      <c r="Q656" s="361" t="s">
        <v>698</v>
      </c>
      <c r="R656" s="362">
        <v>35</v>
      </c>
      <c r="S656" s="236"/>
      <c r="T656" s="364">
        <f t="shared" si="63"/>
        <v>636006</v>
      </c>
      <c r="U656" s="365">
        <f t="shared" si="67"/>
        <v>-9.4540100000000002</v>
      </c>
      <c r="V656" s="365">
        <f>IF($Q656="ekrk",IF($R656="data",IFERROR(INDEX(data!$A:$ALL,MATCH($M656,data!$A:$A,0),MATCH(V$2,data!$1:$1,0)),"#data"),IFERROR(U656*INDEX(indexy_SDcast!$A:$ALI,MATCH($R656,indexy_SDcast!$K:$K,0),MATCH(V$2,indexy_SDcast!$2:$2,0)),"#ekrk")),"#popis")</f>
        <v>-12.103327485151652</v>
      </c>
      <c r="W656" s="365">
        <f>IF($Q656="ekrk",IF($R656="data",IFERROR(INDEX(data!$A:$ALL,MATCH($M656,data!$A:$A,0),MATCH(W$2,data!$1:$1,0)),"#data"),IFERROR(V656*INDEX(indexy_SDcast!$A:$ALI,MATCH($R656,indexy_SDcast!$K:$K,0),MATCH(W$2,indexy_SDcast!$2:$2,0)),"#ekrk")),"#popis")</f>
        <v>-12.239384689136408</v>
      </c>
      <c r="X656" s="365">
        <f>IF($Q656="ekrk",IF($R656="data",IFERROR(INDEX(data!$A:$ALL,MATCH($M656,data!$A:$A,0),MATCH(X$2,data!$1:$1,0)),"#data"),IFERROR(W656*INDEX(indexy_SDcast!$A:$ALI,MATCH($R656,indexy_SDcast!$K:$K,0),MATCH(X$2,indexy_SDcast!$2:$2,0)),"#ekrk")),"#popis")</f>
        <v>-7.8616748821910694</v>
      </c>
      <c r="Y656" s="362">
        <f>IF($Q656="ekrk",IF($R656="data",IFERROR(INDEX(data!$A:$ALL,MATCH($M656,data!$A:$A,0),MATCH(Y$2,data!$1:$1,0)),"#data"),IFERROR(X656*INDEX(indexy_SDcast!$A:$ALI,MATCH($R656,indexy_SDcast!$K:$K,0),MATCH(Y$2,indexy_SDcast!$2:$2,0)),"#ekrk")),"#popis")</f>
        <v>-10.635650862260299</v>
      </c>
    </row>
    <row r="657" spans="1:44" x14ac:dyDescent="0.25">
      <c r="A657" s="330">
        <v>636007</v>
      </c>
      <c r="B657" s="329">
        <v>-15.339099999999998</v>
      </c>
      <c r="C657" s="157"/>
      <c r="D657" s="330">
        <v>636007</v>
      </c>
      <c r="E657" s="329">
        <v>-15.339099999999998</v>
      </c>
      <c r="F657" s="157"/>
      <c r="G657" s="330">
        <v>636007</v>
      </c>
      <c r="H657" s="329">
        <v>-15.339099999999998</v>
      </c>
      <c r="I657" s="157"/>
      <c r="J657" s="330">
        <v>636007</v>
      </c>
      <c r="K657" s="329">
        <v>-15.339099999999998</v>
      </c>
      <c r="L657" s="157"/>
      <c r="M657" s="360">
        <f t="shared" si="64"/>
        <v>636007</v>
      </c>
      <c r="N657" s="237">
        <f t="shared" si="65"/>
        <v>-15.339099999999998</v>
      </c>
      <c r="O657" s="361"/>
      <c r="P657" s="361"/>
      <c r="Q657" s="361" t="s">
        <v>698</v>
      </c>
      <c r="R657" s="362">
        <v>35</v>
      </c>
      <c r="S657" s="236"/>
      <c r="T657" s="364">
        <f t="shared" si="63"/>
        <v>636007</v>
      </c>
      <c r="U657" s="365">
        <f t="shared" si="67"/>
        <v>-15.339099999999998</v>
      </c>
      <c r="V657" s="365">
        <f>IF($Q657="ekrk",IF($R657="data",IFERROR(INDEX(data!$A:$ALL,MATCH($M657,data!$A:$A,0),MATCH(V$2,data!$1:$1,0)),"#data"),IFERROR(U657*INDEX(indexy_SDcast!$A:$ALI,MATCH($R657,indexy_SDcast!$K:$K,0),MATCH(V$2,indexy_SDcast!$2:$2,0)),"#ekrk")),"#popis")</f>
        <v>-19.637608869409878</v>
      </c>
      <c r="W657" s="365">
        <f>IF($Q657="ekrk",IF($R657="data",IFERROR(INDEX(data!$A:$ALL,MATCH($M657,data!$A:$A,0),MATCH(W$2,data!$1:$1,0)),"#data"),IFERROR(V657*INDEX(indexy_SDcast!$A:$ALI,MATCH($R657,indexy_SDcast!$K:$K,0),MATCH(W$2,indexy_SDcast!$2:$2,0)),"#ekrk")),"#popis")</f>
        <v>-19.858361233501153</v>
      </c>
      <c r="X657" s="365">
        <f>IF($Q657="ekrk",IF($R657="data",IFERROR(INDEX(data!$A:$ALL,MATCH($M657,data!$A:$A,0),MATCH(X$2,data!$1:$1,0)),"#data"),IFERROR(W657*INDEX(indexy_SDcast!$A:$ALI,MATCH($R657,indexy_SDcast!$K:$K,0),MATCH(X$2,indexy_SDcast!$2:$2,0)),"#ekrk")),"#popis")</f>
        <v>-12.755541530569252</v>
      </c>
      <c r="Y657" s="362">
        <f>IF($Q657="ekrk",IF($R657="data",IFERROR(INDEX(data!$A:$ALL,MATCH($M657,data!$A:$A,0),MATCH(Y$2,data!$1:$1,0)),"#data"),IFERROR(X657*INDEX(indexy_SDcast!$A:$ALI,MATCH($R657,indexy_SDcast!$K:$K,0),MATCH(Y$2,indexy_SDcast!$2:$2,0)),"#ekrk")),"#popis")</f>
        <v>-17.256308396256927</v>
      </c>
    </row>
    <row r="658" spans="1:44" x14ac:dyDescent="0.25">
      <c r="A658" s="330">
        <v>637001</v>
      </c>
      <c r="B658" s="329">
        <v>-1344.6023700000003</v>
      </c>
      <c r="C658" s="157"/>
      <c r="D658" s="330">
        <v>637001</v>
      </c>
      <c r="E658" s="329">
        <v>-1344.6023700000003</v>
      </c>
      <c r="F658" s="157"/>
      <c r="G658" s="330">
        <v>637001</v>
      </c>
      <c r="H658" s="329">
        <v>-1344.6023700000003</v>
      </c>
      <c r="I658" s="157"/>
      <c r="J658" s="330">
        <v>637001</v>
      </c>
      <c r="K658" s="329">
        <v>-1344.6023700000003</v>
      </c>
      <c r="L658" s="157"/>
      <c r="M658" s="360">
        <f t="shared" si="64"/>
        <v>637001</v>
      </c>
      <c r="N658" s="237">
        <f t="shared" si="65"/>
        <v>-1344.6023700000003</v>
      </c>
      <c r="O658" s="361"/>
      <c r="P658" s="361"/>
      <c r="Q658" s="361" t="s">
        <v>698</v>
      </c>
      <c r="R658" s="362">
        <v>35</v>
      </c>
      <c r="S658" s="236"/>
      <c r="T658" s="364">
        <f t="shared" si="63"/>
        <v>637001</v>
      </c>
      <c r="U658" s="365">
        <f t="shared" si="67"/>
        <v>-1344.6023700000003</v>
      </c>
      <c r="V658" s="365">
        <f>IF($Q658="ekrk",IF($R658="data",IFERROR(INDEX(data!$A:$ALL,MATCH($M658,data!$A:$A,0),MATCH(V$2,data!$1:$1,0)),"#data"),IFERROR(U658*INDEX(indexy_SDcast!$A:$ALI,MATCH($R658,indexy_SDcast!$K:$K,0),MATCH(V$2,indexy_SDcast!$2:$2,0)),"#ekrk")),"#popis")</f>
        <v>-1721.4031740416028</v>
      </c>
      <c r="W658" s="365">
        <f>IF($Q658="ekrk",IF($R658="data",IFERROR(INDEX(data!$A:$ALL,MATCH($M658,data!$A:$A,0),MATCH(W$2,data!$1:$1,0)),"#data"),IFERROR(V658*INDEX(indexy_SDcast!$A:$ALI,MATCH($R658,indexy_SDcast!$K:$K,0),MATCH(W$2,indexy_SDcast!$2:$2,0)),"#ekrk")),"#popis")</f>
        <v>-1740.7539933165426</v>
      </c>
      <c r="X658" s="365">
        <f>IF($Q658="ekrk",IF($R658="data",IFERROR(INDEX(data!$A:$ALL,MATCH($M658,data!$A:$A,0),MATCH(X$2,data!$1:$1,0)),"#data"),IFERROR(W658*INDEX(indexy_SDcast!$A:$ALI,MATCH($R658,indexy_SDcast!$K:$K,0),MATCH(X$2,indexy_SDcast!$2:$2,0)),"#ekrk")),"#popis")</f>
        <v>-1118.1315313569144</v>
      </c>
      <c r="Y658" s="362">
        <f>IF($Q658="ekrk",IF($R658="data",IFERROR(INDEX(data!$A:$ALL,MATCH($M658,data!$A:$A,0),MATCH(Y$2,data!$1:$1,0)),"#data"),IFERROR(X658*INDEX(indexy_SDcast!$A:$ALI,MATCH($R658,indexy_SDcast!$K:$K,0),MATCH(Y$2,indexy_SDcast!$2:$2,0)),"#ekrk")),"#popis")</f>
        <v>-1512.6619662860248</v>
      </c>
    </row>
    <row r="659" spans="1:44" x14ac:dyDescent="0.25">
      <c r="A659" s="330">
        <v>637002</v>
      </c>
      <c r="B659" s="329">
        <v>-29.41234</v>
      </c>
      <c r="C659" s="157"/>
      <c r="D659" s="330">
        <v>637002</v>
      </c>
      <c r="E659" s="329">
        <v>-29.41234</v>
      </c>
      <c r="F659" s="157"/>
      <c r="G659" s="330">
        <v>637002</v>
      </c>
      <c r="H659" s="329">
        <v>-29.41234</v>
      </c>
      <c r="I659" s="157"/>
      <c r="J659" s="330">
        <v>637002</v>
      </c>
      <c r="K659" s="329">
        <v>-29.41234</v>
      </c>
      <c r="L659" s="157"/>
      <c r="M659" s="360">
        <f t="shared" si="64"/>
        <v>637002</v>
      </c>
      <c r="N659" s="237">
        <f t="shared" si="65"/>
        <v>-29.41234</v>
      </c>
      <c r="O659" s="361"/>
      <c r="P659" s="361"/>
      <c r="Q659" s="361" t="s">
        <v>698</v>
      </c>
      <c r="R659" s="362">
        <v>35</v>
      </c>
      <c r="S659" s="236"/>
      <c r="T659" s="364">
        <f t="shared" si="63"/>
        <v>637002</v>
      </c>
      <c r="U659" s="365">
        <f t="shared" si="67"/>
        <v>-29.41234</v>
      </c>
      <c r="V659" s="365">
        <f>IF($Q659="ekrk",IF($R659="data",IFERROR(INDEX(data!$A:$ALL,MATCH($M659,data!$A:$A,0),MATCH(V$2,data!$1:$1,0)),"#data"),IFERROR(U659*INDEX(indexy_SDcast!$A:$ALI,MATCH($R659,indexy_SDcast!$K:$K,0),MATCH(V$2,indexy_SDcast!$2:$2,0)),"#ekrk")),"#popis")</f>
        <v>-37.654623077892381</v>
      </c>
      <c r="W659" s="365">
        <f>IF($Q659="ekrk",IF($R659="data",IFERROR(INDEX(data!$A:$ALL,MATCH($M659,data!$A:$A,0),MATCH(W$2,data!$1:$1,0)),"#data"),IFERROR(V659*INDEX(indexy_SDcast!$A:$ALI,MATCH($R659,indexy_SDcast!$K:$K,0),MATCH(W$2,indexy_SDcast!$2:$2,0)),"#ekrk")),"#popis")</f>
        <v>-38.077910206110879</v>
      </c>
      <c r="X659" s="365">
        <f>IF($Q659="ekrk",IF($R659="data",IFERROR(INDEX(data!$A:$ALL,MATCH($M659,data!$A:$A,0),MATCH(X$2,data!$1:$1,0)),"#data"),IFERROR(W659*INDEX(indexy_SDcast!$A:$ALI,MATCH($R659,indexy_SDcast!$K:$K,0),MATCH(X$2,indexy_SDcast!$2:$2,0)),"#ekrk")),"#popis")</f>
        <v>-24.458431353940146</v>
      </c>
      <c r="Y659" s="362">
        <f>IF($Q659="ekrk",IF($R659="data",IFERROR(INDEX(data!$A:$ALL,MATCH($M659,data!$A:$A,0),MATCH(Y$2,data!$1:$1,0)),"#data"),IFERROR(X659*INDEX(indexy_SDcast!$A:$ALI,MATCH($R659,indexy_SDcast!$K:$K,0),MATCH(Y$2,indexy_SDcast!$2:$2,0)),"#ekrk")),"#popis")</f>
        <v>-33.088539073059273</v>
      </c>
    </row>
    <row r="660" spans="1:44" x14ac:dyDescent="0.25">
      <c r="A660" s="330">
        <v>637003</v>
      </c>
      <c r="B660" s="329">
        <v>-612.36487999999997</v>
      </c>
      <c r="C660" s="157"/>
      <c r="D660" s="330">
        <v>637003</v>
      </c>
      <c r="E660" s="329">
        <v>-612.36487999999997</v>
      </c>
      <c r="F660" s="157"/>
      <c r="G660" s="330">
        <v>637003</v>
      </c>
      <c r="H660" s="329">
        <v>-612.36487999999997</v>
      </c>
      <c r="I660" s="157"/>
      <c r="J660" s="330">
        <v>637003</v>
      </c>
      <c r="K660" s="329">
        <v>-612.36487999999997</v>
      </c>
      <c r="L660" s="157"/>
      <c r="M660" s="360">
        <f t="shared" si="64"/>
        <v>637003</v>
      </c>
      <c r="N660" s="237">
        <f t="shared" si="65"/>
        <v>-612.36487999999997</v>
      </c>
      <c r="O660" s="361"/>
      <c r="P660" s="361"/>
      <c r="Q660" s="361" t="s">
        <v>698</v>
      </c>
      <c r="R660" s="362">
        <v>35</v>
      </c>
      <c r="S660" s="236"/>
      <c r="T660" s="364">
        <f t="shared" si="63"/>
        <v>637003</v>
      </c>
      <c r="U660" s="365">
        <f t="shared" si="67"/>
        <v>-612.36487999999997</v>
      </c>
      <c r="V660" s="365">
        <f>IF($Q660="ekrk",IF($R660="data",IFERROR(INDEX(data!$A:$ALL,MATCH($M660,data!$A:$A,0),MATCH(V$2,data!$1:$1,0)),"#data"),IFERROR(U660*INDEX(indexy_SDcast!$A:$ALI,MATCH($R660,indexy_SDcast!$K:$K,0),MATCH(V$2,indexy_SDcast!$2:$2,0)),"#ekrk")),"#popis")</f>
        <v>-783.96920280871211</v>
      </c>
      <c r="W660" s="365">
        <f>IF($Q660="ekrk",IF($R660="data",IFERROR(INDEX(data!$A:$ALL,MATCH($M660,data!$A:$A,0),MATCH(W$2,data!$1:$1,0)),"#data"),IFERROR(V660*INDEX(indexy_SDcast!$A:$ALI,MATCH($R660,indexy_SDcast!$K:$K,0),MATCH(W$2,indexy_SDcast!$2:$2,0)),"#ekrk")),"#popis")</f>
        <v>-792.78204025983177</v>
      </c>
      <c r="X660" s="365">
        <f>IF($Q660="ekrk",IF($R660="data",IFERROR(INDEX(data!$A:$ALL,MATCH($M660,data!$A:$A,0),MATCH(X$2,data!$1:$1,0)),"#data"),IFERROR(W660*INDEX(indexy_SDcast!$A:$ALI,MATCH($R660,indexy_SDcast!$K:$K,0),MATCH(X$2,indexy_SDcast!$2:$2,0)),"#ekrk")),"#popis")</f>
        <v>-509.22450852410219</v>
      </c>
      <c r="Y660" s="362">
        <f>IF($Q660="ekrk",IF($R660="data",IFERROR(INDEX(data!$A:$ALL,MATCH($M660,data!$A:$A,0),MATCH(Y$2,data!$1:$1,0)),"#data"),IFERROR(X660*INDEX(indexy_SDcast!$A:$ALI,MATCH($R660,indexy_SDcast!$K:$K,0),MATCH(Y$2,indexy_SDcast!$2:$2,0)),"#ekrk")),"#popis")</f>
        <v>-688.903339851547</v>
      </c>
    </row>
    <row r="661" spans="1:44" x14ac:dyDescent="0.25">
      <c r="A661" s="330">
        <v>637004</v>
      </c>
      <c r="B661" s="329">
        <v>-1919.3766100000005</v>
      </c>
      <c r="C661" s="157"/>
      <c r="D661" s="330">
        <v>637004</v>
      </c>
      <c r="E661" s="329">
        <v>-1919.3766100000005</v>
      </c>
      <c r="F661" s="157"/>
      <c r="G661" s="330">
        <v>637004</v>
      </c>
      <c r="H661" s="329">
        <v>-1919.3766100000005</v>
      </c>
      <c r="I661" s="157"/>
      <c r="J661" s="330">
        <v>637004</v>
      </c>
      <c r="K661" s="329">
        <v>-1919.3766100000005</v>
      </c>
      <c r="L661" s="157"/>
      <c r="M661" s="360">
        <f t="shared" si="64"/>
        <v>637004</v>
      </c>
      <c r="N661" s="237">
        <f t="shared" si="65"/>
        <v>-1919.3766100000005</v>
      </c>
      <c r="O661" s="361"/>
      <c r="P661" s="361"/>
      <c r="Q661" s="361" t="s">
        <v>698</v>
      </c>
      <c r="R661" s="362">
        <v>35</v>
      </c>
      <c r="S661" s="236"/>
      <c r="T661" s="364">
        <f t="shared" si="63"/>
        <v>637004</v>
      </c>
      <c r="U661" s="365">
        <f t="shared" si="67"/>
        <v>-1919.3766100000005</v>
      </c>
      <c r="V661" s="365">
        <f>IF($Q661="ekrk",IF($R661="data",IFERROR(INDEX(data!$A:$ALL,MATCH($M661,data!$A:$A,0),MATCH(V$2,data!$1:$1,0)),"#data"),IFERROR(U661*INDEX(indexy_SDcast!$A:$ALI,MATCH($R661,indexy_SDcast!$K:$K,0),MATCH(V$2,indexy_SDcast!$2:$2,0)),"#ekrk")),"#popis")</f>
        <v>-2457.2476312348103</v>
      </c>
      <c r="W661" s="365">
        <f>IF($Q661="ekrk",IF($R661="data",IFERROR(INDEX(data!$A:$ALL,MATCH($M661,data!$A:$A,0),MATCH(W$2,data!$1:$1,0)),"#data"),IFERROR(V661*INDEX(indexy_SDcast!$A:$ALI,MATCH($R661,indexy_SDcast!$K:$K,0),MATCH(W$2,indexy_SDcast!$2:$2,0)),"#ekrk")),"#popis")</f>
        <v>-2484.870302984717</v>
      </c>
      <c r="X661" s="365">
        <f>IF($Q661="ekrk",IF($R661="data",IFERROR(INDEX(data!$A:$ALL,MATCH($M661,data!$A:$A,0),MATCH(X$2,data!$1:$1,0)),"#data"),IFERROR(W661*INDEX(indexy_SDcast!$A:$ALI,MATCH($R661,indexy_SDcast!$K:$K,0),MATCH(X$2,indexy_SDcast!$2:$2,0)),"#ekrk")),"#popis")</f>
        <v>-1596.0967763205292</v>
      </c>
      <c r="Y661" s="362">
        <f>IF($Q661="ekrk",IF($R661="data",IFERROR(INDEX(data!$A:$ALL,MATCH($M661,data!$A:$A,0),MATCH(Y$2,data!$1:$1,0)),"#data"),IFERROR(X661*INDEX(indexy_SDcast!$A:$ALI,MATCH($R661,indexy_SDcast!$K:$K,0),MATCH(Y$2,indexy_SDcast!$2:$2,0)),"#ekrk")),"#popis")</f>
        <v>-2159.2762750566958</v>
      </c>
    </row>
    <row r="662" spans="1:44" x14ac:dyDescent="0.25">
      <c r="A662" s="330">
        <v>637005</v>
      </c>
      <c r="B662" s="329">
        <v>-4458.2598200000002</v>
      </c>
      <c r="C662" s="157"/>
      <c r="D662" s="330">
        <v>637005</v>
      </c>
      <c r="E662" s="329">
        <v>-4458.2598200000002</v>
      </c>
      <c r="F662" s="157"/>
      <c r="G662" s="330">
        <v>637005</v>
      </c>
      <c r="H662" s="329">
        <v>-4458.2598200000002</v>
      </c>
      <c r="I662" s="157"/>
      <c r="J662" s="330">
        <v>637005</v>
      </c>
      <c r="K662" s="329">
        <v>-4458.2598200000002</v>
      </c>
      <c r="L662" s="157"/>
      <c r="M662" s="360">
        <f t="shared" si="64"/>
        <v>637005</v>
      </c>
      <c r="N662" s="237">
        <f t="shared" si="65"/>
        <v>-4458.2598200000002</v>
      </c>
      <c r="O662" s="361"/>
      <c r="P662" s="361"/>
      <c r="Q662" s="361" t="s">
        <v>698</v>
      </c>
      <c r="R662" s="362">
        <v>35</v>
      </c>
      <c r="S662" s="236"/>
      <c r="T662" s="364">
        <f t="shared" si="63"/>
        <v>637005</v>
      </c>
      <c r="U662" s="365">
        <f t="shared" si="67"/>
        <v>-4458.2598200000002</v>
      </c>
      <c r="V662" s="365">
        <f>IF($Q662="ekrk",IF($R662="data",IFERROR(INDEX(data!$A:$ALL,MATCH($M662,data!$A:$A,0),MATCH(V$2,data!$1:$1,0)),"#data"),IFERROR(U662*INDEX(indexy_SDcast!$A:$ALI,MATCH($R662,indexy_SDcast!$K:$K,0),MATCH(V$2,indexy_SDcast!$2:$2,0)),"#ekrk")),"#popis")</f>
        <v>-5707.6075247808349</v>
      </c>
      <c r="W662" s="365">
        <f>IF($Q662="ekrk",IF($R662="data",IFERROR(INDEX(data!$A:$ALL,MATCH($M662,data!$A:$A,0),MATCH(W$2,data!$1:$1,0)),"#data"),IFERROR(V662*INDEX(indexy_SDcast!$A:$ALI,MATCH($R662,indexy_SDcast!$K:$K,0),MATCH(W$2,indexy_SDcast!$2:$2,0)),"#ekrk")),"#popis")</f>
        <v>-5771.7684856584701</v>
      </c>
      <c r="X662" s="365">
        <f>IF($Q662="ekrk",IF($R662="data",IFERROR(INDEX(data!$A:$ALL,MATCH($M662,data!$A:$A,0),MATCH(X$2,data!$1:$1,0)),"#data"),IFERROR(W662*INDEX(indexy_SDcast!$A:$ALI,MATCH($R662,indexy_SDcast!$K:$K,0),MATCH(X$2,indexy_SDcast!$2:$2,0)),"#ekrk")),"#popis")</f>
        <v>-3707.3569041259398</v>
      </c>
      <c r="Y662" s="362">
        <f>IF($Q662="ekrk",IF($R662="data",IFERROR(INDEX(data!$A:$ALL,MATCH($M662,data!$A:$A,0),MATCH(Y$2,data!$1:$1,0)),"#data"),IFERROR(X662*INDEX(indexy_SDcast!$A:$ALI,MATCH($R662,indexy_SDcast!$K:$K,0),MATCH(Y$2,indexy_SDcast!$2:$2,0)),"#ekrk")),"#popis")</f>
        <v>-5015.4902415761617</v>
      </c>
    </row>
    <row r="663" spans="1:44" x14ac:dyDescent="0.25">
      <c r="A663" s="330">
        <v>637010</v>
      </c>
      <c r="B663" s="329">
        <v>-293.29521</v>
      </c>
      <c r="C663" s="157"/>
      <c r="D663" s="330">
        <v>637010</v>
      </c>
      <c r="E663" s="329">
        <v>-293.29521</v>
      </c>
      <c r="F663" s="157"/>
      <c r="G663" s="330">
        <v>637010</v>
      </c>
      <c r="H663" s="329">
        <v>-293.29521</v>
      </c>
      <c r="I663" s="157"/>
      <c r="J663" s="330">
        <v>637010</v>
      </c>
      <c r="K663" s="329">
        <v>-293.29521</v>
      </c>
      <c r="L663" s="157"/>
      <c r="M663" s="360">
        <f t="shared" si="64"/>
        <v>637010</v>
      </c>
      <c r="N663" s="237">
        <f t="shared" si="65"/>
        <v>-293.29521</v>
      </c>
      <c r="O663" s="361"/>
      <c r="P663" s="361"/>
      <c r="Q663" s="361" t="s">
        <v>698</v>
      </c>
      <c r="R663" s="362">
        <v>35</v>
      </c>
      <c r="S663" s="236"/>
      <c r="T663" s="364">
        <f t="shared" si="63"/>
        <v>637010</v>
      </c>
      <c r="U663" s="365">
        <f t="shared" si="67"/>
        <v>-293.29521</v>
      </c>
      <c r="V663" s="365">
        <f>IF($Q663="ekrk",IF($R663="data",IFERROR(INDEX(data!$A:$ALL,MATCH($M663,data!$A:$A,0),MATCH(V$2,data!$1:$1,0)),"#data"),IFERROR(U663*INDEX(indexy_SDcast!$A:$ALI,MATCH($R663,indexy_SDcast!$K:$K,0),MATCH(V$2,indexy_SDcast!$2:$2,0)),"#ekrk")),"#popis")</f>
        <v>-375.48595532015787</v>
      </c>
      <c r="W663" s="365">
        <f>IF($Q663="ekrk",IF($R663="data",IFERROR(INDEX(data!$A:$ALL,MATCH($M663,data!$A:$A,0),MATCH(W$2,data!$1:$1,0)),"#data"),IFERROR(V663*INDEX(indexy_SDcast!$A:$ALI,MATCH($R663,indexy_SDcast!$K:$K,0),MATCH(W$2,indexy_SDcast!$2:$2,0)),"#ekrk")),"#popis")</f>
        <v>-379.70690772180768</v>
      </c>
      <c r="X663" s="365">
        <f>IF($Q663="ekrk",IF($R663="data",IFERROR(INDEX(data!$A:$ALL,MATCH($M663,data!$A:$A,0),MATCH(X$2,data!$1:$1,0)),"#data"),IFERROR(W663*INDEX(indexy_SDcast!$A:$ALI,MATCH($R663,indexy_SDcast!$K:$K,0),MATCH(X$2,indexy_SDcast!$2:$2,0)),"#ekrk")),"#popis")</f>
        <v>-243.89561524939731</v>
      </c>
      <c r="Y663" s="362">
        <f>IF($Q663="ekrk",IF($R663="data",IFERROR(INDEX(data!$A:$ALL,MATCH($M663,data!$A:$A,0),MATCH(Y$2,data!$1:$1,0)),"#data"),IFERROR(X663*INDEX(indexy_SDcast!$A:$ALI,MATCH($R663,indexy_SDcast!$K:$K,0),MATCH(Y$2,indexy_SDcast!$2:$2,0)),"#ekrk")),"#popis")</f>
        <v>-329.95368665077734</v>
      </c>
    </row>
    <row r="664" spans="1:44" x14ac:dyDescent="0.25">
      <c r="A664" s="330">
        <v>637011</v>
      </c>
      <c r="B664" s="329">
        <v>-940.6715499999998</v>
      </c>
      <c r="C664" s="157"/>
      <c r="D664" s="330">
        <v>637011</v>
      </c>
      <c r="E664" s="329">
        <v>-940.6715499999998</v>
      </c>
      <c r="F664" s="157"/>
      <c r="G664" s="330">
        <v>637011</v>
      </c>
      <c r="H664" s="329">
        <v>-940.6715499999998</v>
      </c>
      <c r="I664" s="157"/>
      <c r="J664" s="330">
        <v>637011</v>
      </c>
      <c r="K664" s="329">
        <v>-940.6715499999998</v>
      </c>
      <c r="L664" s="157"/>
      <c r="M664" s="360">
        <f t="shared" si="64"/>
        <v>637011</v>
      </c>
      <c r="N664" s="237">
        <f t="shared" si="65"/>
        <v>-940.6715499999998</v>
      </c>
      <c r="O664" s="361"/>
      <c r="P664" s="361"/>
      <c r="Q664" s="361" t="s">
        <v>698</v>
      </c>
      <c r="R664" s="362">
        <v>35</v>
      </c>
      <c r="S664" s="236"/>
      <c r="T664" s="364">
        <f t="shared" si="63"/>
        <v>637011</v>
      </c>
      <c r="U664" s="365">
        <f t="shared" si="67"/>
        <v>-940.6715499999998</v>
      </c>
      <c r="V664" s="365">
        <f>IF($Q664="ekrk",IF($R664="data",IFERROR(INDEX(data!$A:$ALL,MATCH($M664,data!$A:$A,0),MATCH(V$2,data!$1:$1,0)),"#data"),IFERROR(U664*INDEX(indexy_SDcast!$A:$ALI,MATCH($R664,indexy_SDcast!$K:$K,0),MATCH(V$2,indexy_SDcast!$2:$2,0)),"#ekrk")),"#popis")</f>
        <v>-1204.2779546049987</v>
      </c>
      <c r="W664" s="365">
        <f>IF($Q664="ekrk",IF($R664="data",IFERROR(INDEX(data!$A:$ALL,MATCH($M664,data!$A:$A,0),MATCH(W$2,data!$1:$1,0)),"#data"),IFERROR(V664*INDEX(indexy_SDcast!$A:$ALI,MATCH($R664,indexy_SDcast!$K:$K,0),MATCH(W$2,indexy_SDcast!$2:$2,0)),"#ekrk")),"#popis")</f>
        <v>-1217.815611214311</v>
      </c>
      <c r="X664" s="365">
        <f>IF($Q664="ekrk",IF($R664="data",IFERROR(INDEX(data!$A:$ALL,MATCH($M664,data!$A:$A,0),MATCH(X$2,data!$1:$1,0)),"#data"),IFERROR(W664*INDEX(indexy_SDcast!$A:$ALI,MATCH($R664,indexy_SDcast!$K:$K,0),MATCH(X$2,indexy_SDcast!$2:$2,0)),"#ekrk")),"#popis")</f>
        <v>-782.23461758838187</v>
      </c>
      <c r="Y664" s="362">
        <f>IF($Q664="ekrk",IF($R664="data",IFERROR(INDEX(data!$A:$ALL,MATCH($M664,data!$A:$A,0),MATCH(Y$2,data!$1:$1,0)),"#data"),IFERROR(X664*INDEX(indexy_SDcast!$A:$ALI,MATCH($R664,indexy_SDcast!$K:$K,0),MATCH(Y$2,indexy_SDcast!$2:$2,0)),"#ekrk")),"#popis")</f>
        <v>-1058.2445101984479</v>
      </c>
    </row>
    <row r="665" spans="1:44" x14ac:dyDescent="0.25">
      <c r="A665" s="330">
        <v>637012</v>
      </c>
      <c r="B665" s="329">
        <v>-96.886330000000001</v>
      </c>
      <c r="C665" s="157"/>
      <c r="D665" s="330">
        <v>637012</v>
      </c>
      <c r="E665" s="329">
        <v>-96.886330000000001</v>
      </c>
      <c r="F665" s="157"/>
      <c r="G665" s="330">
        <v>637012</v>
      </c>
      <c r="H665" s="329">
        <v>-96.886330000000001</v>
      </c>
      <c r="I665" s="157"/>
      <c r="J665" s="330">
        <v>637012</v>
      </c>
      <c r="K665" s="329">
        <v>-96.886330000000001</v>
      </c>
      <c r="L665" s="157"/>
      <c r="M665" s="360">
        <f t="shared" si="64"/>
        <v>637012</v>
      </c>
      <c r="N665" s="237">
        <f t="shared" si="65"/>
        <v>-96.886330000000001</v>
      </c>
      <c r="O665" s="361"/>
      <c r="P665" s="361"/>
      <c r="Q665" s="361" t="s">
        <v>698</v>
      </c>
      <c r="R665" s="362">
        <v>35</v>
      </c>
      <c r="S665" s="236"/>
      <c r="T665" s="364">
        <f t="shared" si="63"/>
        <v>637012</v>
      </c>
      <c r="U665" s="365">
        <f t="shared" si="67"/>
        <v>-96.886330000000001</v>
      </c>
      <c r="V665" s="365">
        <f>IF($Q665="ekrk",IF($R665="data",IFERROR(INDEX(data!$A:$ALL,MATCH($M665,data!$A:$A,0),MATCH(V$2,data!$1:$1,0)),"#data"),IFERROR(U665*INDEX(indexy_SDcast!$A:$ALI,MATCH($R665,indexy_SDcast!$K:$K,0),MATCH(V$2,indexy_SDcast!$2:$2,0)),"#ekrk")),"#popis")</f>
        <v>-124.03699391310916</v>
      </c>
      <c r="W665" s="365">
        <f>IF($Q665="ekrk",IF($R665="data",IFERROR(INDEX(data!$A:$ALL,MATCH($M665,data!$A:$A,0),MATCH(W$2,data!$1:$1,0)),"#data"),IFERROR(V665*INDEX(indexy_SDcast!$A:$ALI,MATCH($R665,indexy_SDcast!$K:$K,0),MATCH(W$2,indexy_SDcast!$2:$2,0)),"#ekrk")),"#popis")</f>
        <v>-125.43133167709971</v>
      </c>
      <c r="X665" s="365">
        <f>IF($Q665="ekrk",IF($R665="data",IFERROR(INDEX(data!$A:$ALL,MATCH($M665,data!$A:$A,0),MATCH(X$2,data!$1:$1,0)),"#data"),IFERROR(W665*INDEX(indexy_SDcast!$A:$ALI,MATCH($R665,indexy_SDcast!$K:$K,0),MATCH(X$2,indexy_SDcast!$2:$2,0)),"#ekrk")),"#popis")</f>
        <v>-80.567804242715525</v>
      </c>
      <c r="Y665" s="362">
        <f>IF($Q665="ekrk",IF($R665="data",IFERROR(INDEX(data!$A:$ALL,MATCH($M665,data!$A:$A,0),MATCH(Y$2,data!$1:$1,0)),"#data"),IFERROR(X665*INDEX(indexy_SDcast!$A:$ALI,MATCH($R665,indexy_SDcast!$K:$K,0),MATCH(Y$2,indexy_SDcast!$2:$2,0)),"#ekrk")),"#popis")</f>
        <v>-108.99598997734674</v>
      </c>
    </row>
    <row r="666" spans="1:44" x14ac:dyDescent="0.25">
      <c r="A666" s="330">
        <v>637021</v>
      </c>
      <c r="B666" s="329">
        <v>-558.77461999999991</v>
      </c>
      <c r="C666" s="157"/>
      <c r="D666" s="330">
        <v>637021</v>
      </c>
      <c r="E666" s="329">
        <v>-558.77461999999991</v>
      </c>
      <c r="F666" s="157"/>
      <c r="G666" s="330">
        <v>637021</v>
      </c>
      <c r="H666" s="329">
        <v>-558.77461999999991</v>
      </c>
      <c r="I666" s="157"/>
      <c r="J666" s="330">
        <v>637021</v>
      </c>
      <c r="K666" s="329">
        <v>-558.77461999999991</v>
      </c>
      <c r="L666" s="157"/>
      <c r="M666" s="360">
        <f t="shared" si="64"/>
        <v>637021</v>
      </c>
      <c r="N666" s="237">
        <f t="shared" si="65"/>
        <v>-558.77461999999991</v>
      </c>
      <c r="O666" s="361"/>
      <c r="P666" s="361"/>
      <c r="Q666" s="361" t="s">
        <v>698</v>
      </c>
      <c r="R666" s="362">
        <v>35</v>
      </c>
      <c r="S666" s="236"/>
      <c r="T666" s="364">
        <f t="shared" ref="T666:T700" si="68">M666</f>
        <v>637021</v>
      </c>
      <c r="U666" s="365">
        <f t="shared" si="67"/>
        <v>-558.77461999999991</v>
      </c>
      <c r="V666" s="365">
        <f>IF($Q666="ekrk",IF($R666="data",IFERROR(INDEX(data!$A:$ALL,MATCH($M666,data!$A:$A,0),MATCH(V$2,data!$1:$1,0)),"#data"),IFERROR(U666*INDEX(indexy_SDcast!$A:$ALI,MATCH($R666,indexy_SDcast!$K:$K,0),MATCH(V$2,indexy_SDcast!$2:$2,0)),"#ekrk")),"#popis")</f>
        <v>-715.36122938849962</v>
      </c>
      <c r="W666" s="365">
        <f>IF($Q666="ekrk",IF($R666="data",IFERROR(INDEX(data!$A:$ALL,MATCH($M666,data!$A:$A,0),MATCH(W$2,data!$1:$1,0)),"#data"),IFERROR(V666*INDEX(indexy_SDcast!$A:$ALI,MATCH($R666,indexy_SDcast!$K:$K,0),MATCH(W$2,indexy_SDcast!$2:$2,0)),"#ekrk")),"#popis")</f>
        <v>-723.4028236384363</v>
      </c>
      <c r="X666" s="365">
        <f>IF($Q666="ekrk",IF($R666="data",IFERROR(INDEX(data!$A:$ALL,MATCH($M666,data!$A:$A,0),MATCH(X$2,data!$1:$1,0)),"#data"),IFERROR(W666*INDEX(indexy_SDcast!$A:$ALI,MATCH($R666,indexy_SDcast!$K:$K,0),MATCH(X$2,indexy_SDcast!$2:$2,0)),"#ekrk")),"#popis")</f>
        <v>-464.66043455209575</v>
      </c>
      <c r="Y666" s="362">
        <f>IF($Q666="ekrk",IF($R666="data",IFERROR(INDEX(data!$A:$ALL,MATCH($M666,data!$A:$A,0),MATCH(Y$2,data!$1:$1,0)),"#data"),IFERROR(X666*INDEX(indexy_SDcast!$A:$ALI,MATCH($R666,indexy_SDcast!$K:$K,0),MATCH(Y$2,indexy_SDcast!$2:$2,0)),"#ekrk")),"#popis")</f>
        <v>-628.61492308683512</v>
      </c>
    </row>
    <row r="667" spans="1:44" x14ac:dyDescent="0.25">
      <c r="A667" s="330">
        <v>637032</v>
      </c>
      <c r="B667" s="329">
        <v>-8.199999999999999E-3</v>
      </c>
      <c r="C667" s="157"/>
      <c r="D667" s="330">
        <v>637032</v>
      </c>
      <c r="E667" s="329">
        <v>-8.199999999999999E-3</v>
      </c>
      <c r="F667" s="157"/>
      <c r="G667" s="330">
        <v>637032</v>
      </c>
      <c r="H667" s="329">
        <v>-8.199999999999999E-3</v>
      </c>
      <c r="I667" s="157"/>
      <c r="J667" s="330">
        <v>637032</v>
      </c>
      <c r="K667" s="329">
        <v>-8.199999999999999E-3</v>
      </c>
      <c r="L667" s="157"/>
      <c r="M667" s="360">
        <f t="shared" si="64"/>
        <v>637032</v>
      </c>
      <c r="N667" s="237">
        <f t="shared" si="65"/>
        <v>-8.199999999999999E-3</v>
      </c>
      <c r="O667" s="361"/>
      <c r="P667" s="361"/>
      <c r="Q667" s="361" t="s">
        <v>698</v>
      </c>
      <c r="R667" s="362">
        <v>35</v>
      </c>
      <c r="S667" s="236"/>
      <c r="T667" s="364">
        <f t="shared" si="68"/>
        <v>637032</v>
      </c>
      <c r="U667" s="365">
        <f t="shared" si="67"/>
        <v>-8.199999999999999E-3</v>
      </c>
      <c r="V667" s="365">
        <f>IF($Q667="ekrk",IF($R667="data",IFERROR(INDEX(data!$A:$ALL,MATCH($M667,data!$A:$A,0),MATCH(V$2,data!$1:$1,0)),"#data"),IFERROR(U667*INDEX(indexy_SDcast!$A:$ALI,MATCH($R667,indexy_SDcast!$K:$K,0),MATCH(V$2,indexy_SDcast!$2:$2,0)),"#ekrk")),"#popis")</f>
        <v>-1.0497903575122465E-2</v>
      </c>
      <c r="W667" s="365">
        <f>IF($Q667="ekrk",IF($R667="data",IFERROR(INDEX(data!$A:$ALL,MATCH($M667,data!$A:$A,0),MATCH(W$2,data!$1:$1,0)),"#data"),IFERROR(V667*INDEX(indexy_SDcast!$A:$ALI,MATCH($R667,indexy_SDcast!$K:$K,0),MATCH(W$2,indexy_SDcast!$2:$2,0)),"#ekrk")),"#popis")</f>
        <v>-1.0615913718191384E-2</v>
      </c>
      <c r="X667" s="365">
        <f>IF($Q667="ekrk",IF($R667="data",IFERROR(INDEX(data!$A:$ALL,MATCH($M667,data!$A:$A,0),MATCH(X$2,data!$1:$1,0)),"#data"),IFERROR(W667*INDEX(indexy_SDcast!$A:$ALI,MATCH($R667,indexy_SDcast!$K:$K,0),MATCH(X$2,indexy_SDcast!$2:$2,0)),"#ekrk")),"#popis")</f>
        <v>-6.8188772842388322E-3</v>
      </c>
      <c r="Y667" s="362">
        <f>IF($Q667="ekrk",IF($R667="data",IFERROR(INDEX(data!$A:$ALL,MATCH($M667,data!$A:$A,0),MATCH(Y$2,data!$1:$1,0)),"#data"),IFERROR(X667*INDEX(indexy_SDcast!$A:$ALI,MATCH($R667,indexy_SDcast!$K:$K,0),MATCH(Y$2,indexy_SDcast!$2:$2,0)),"#ekrk")),"#popis")</f>
        <v>-9.2249042544417081E-3</v>
      </c>
    </row>
    <row r="668" spans="1:44" x14ac:dyDescent="0.25">
      <c r="A668" s="330">
        <v>637036</v>
      </c>
      <c r="B668" s="329">
        <v>-0.78734000000000004</v>
      </c>
      <c r="C668" s="157"/>
      <c r="D668" s="330">
        <v>637036</v>
      </c>
      <c r="E668" s="329">
        <v>-0.78734000000000004</v>
      </c>
      <c r="F668" s="157"/>
      <c r="G668" s="330">
        <v>637036</v>
      </c>
      <c r="H668" s="329">
        <v>-0.78734000000000004</v>
      </c>
      <c r="I668" s="157"/>
      <c r="J668" s="330">
        <v>637036</v>
      </c>
      <c r="K668" s="329">
        <v>-0.78734000000000004</v>
      </c>
      <c r="L668" s="157"/>
      <c r="M668" s="360">
        <f t="shared" si="64"/>
        <v>637036</v>
      </c>
      <c r="N668" s="237">
        <f t="shared" si="65"/>
        <v>-0.78734000000000004</v>
      </c>
      <c r="O668" s="361"/>
      <c r="P668" s="361"/>
      <c r="Q668" s="361" t="s">
        <v>698</v>
      </c>
      <c r="R668" s="362">
        <v>35</v>
      </c>
      <c r="S668" s="236"/>
      <c r="T668" s="364">
        <f t="shared" si="68"/>
        <v>637036</v>
      </c>
      <c r="U668" s="365">
        <f t="shared" si="67"/>
        <v>-0.78734000000000004</v>
      </c>
      <c r="V668" s="365">
        <f>IF($Q668="ekrk",IF($R668="data",IFERROR(INDEX(data!$A:$ALL,MATCH($M668,data!$A:$A,0),MATCH(V$2,data!$1:$1,0)),"#data"),IFERROR(U668*INDEX(indexy_SDcast!$A:$ALI,MATCH($R668,indexy_SDcast!$K:$K,0),MATCH(V$2,indexy_SDcast!$2:$2,0)),"#ekrk")),"#popis")</f>
        <v>-1.0079779757118199</v>
      </c>
      <c r="W668" s="365">
        <f>IF($Q668="ekrk",IF($R668="data",IFERROR(INDEX(data!$A:$ALL,MATCH($M668,data!$A:$A,0),MATCH(W$2,data!$1:$1,0)),"#data"),IFERROR(V668*INDEX(indexy_SDcast!$A:$ALI,MATCH($R668,indexy_SDcast!$K:$K,0),MATCH(W$2,indexy_SDcast!$2:$2,0)),"#ekrk")),"#popis")</f>
        <v>-1.0193089642537567</v>
      </c>
      <c r="X668" s="365">
        <f>IF($Q668="ekrk",IF($R668="data",IFERROR(INDEX(data!$A:$ALL,MATCH($M668,data!$A:$A,0),MATCH(X$2,data!$1:$1,0)),"#data"),IFERROR(W668*INDEX(indexy_SDcast!$A:$ALI,MATCH($R668,indexy_SDcast!$K:$K,0),MATCH(X$2,indexy_SDcast!$2:$2,0)),"#ekrk")),"#popis")</f>
        <v>-0.65472863914300028</v>
      </c>
      <c r="Y668" s="362">
        <f>IF($Q668="ekrk",IF($R668="data",IFERROR(INDEX(data!$A:$ALL,MATCH($M668,data!$A:$A,0),MATCH(Y$2,data!$1:$1,0)),"#data"),IFERROR(X668*INDEX(indexy_SDcast!$A:$ALI,MATCH($R668,indexy_SDcast!$K:$K,0),MATCH(Y$2,indexy_SDcast!$2:$2,0)),"#ekrk")),"#popis")</f>
        <v>-0.88574830679172367</v>
      </c>
    </row>
    <row r="669" spans="1:44" x14ac:dyDescent="0.25">
      <c r="A669" s="330">
        <v>637037</v>
      </c>
      <c r="B669" s="329">
        <v>-128.63856999999999</v>
      </c>
      <c r="C669" s="157"/>
      <c r="D669" s="330">
        <v>637037</v>
      </c>
      <c r="E669" s="329">
        <v>-128.63856999999999</v>
      </c>
      <c r="F669" s="157"/>
      <c r="G669" s="330">
        <v>637037</v>
      </c>
      <c r="H669" s="329">
        <v>-128.63856999999999</v>
      </c>
      <c r="I669" s="157"/>
      <c r="J669" s="330">
        <v>637037</v>
      </c>
      <c r="K669" s="329">
        <v>-128.63856999999999</v>
      </c>
      <c r="L669" s="157"/>
      <c r="M669" s="360">
        <f t="shared" si="64"/>
        <v>637037</v>
      </c>
      <c r="N669" s="237">
        <f t="shared" si="65"/>
        <v>-128.63856999999999</v>
      </c>
      <c r="O669" s="361"/>
      <c r="P669" s="361"/>
      <c r="Q669" s="361" t="s">
        <v>698</v>
      </c>
      <c r="R669" s="362">
        <v>35</v>
      </c>
      <c r="S669" s="236"/>
      <c r="T669" s="364">
        <f t="shared" si="68"/>
        <v>637037</v>
      </c>
      <c r="U669" s="365">
        <f t="shared" si="67"/>
        <v>-128.63856999999999</v>
      </c>
      <c r="V669" s="365">
        <f>IF($Q669="ekrk",IF($R669="data",IFERROR(INDEX(data!$A:$ALL,MATCH($M669,data!$A:$A,0),MATCH(V$2,data!$1:$1,0)),"#data"),IFERROR(U669*INDEX(indexy_SDcast!$A:$ALI,MATCH($R669,indexy_SDcast!$K:$K,0),MATCH(V$2,indexy_SDcast!$2:$2,0)),"#ekrk")),"#popis")</f>
        <v>-164.68723218312701</v>
      </c>
      <c r="W669" s="365">
        <f>IF($Q669="ekrk",IF($R669="data",IFERROR(INDEX(data!$A:$ALL,MATCH($M669,data!$A:$A,0),MATCH(W$2,data!$1:$1,0)),"#data"),IFERROR(V669*INDEX(indexy_SDcast!$A:$ALI,MATCH($R669,indexy_SDcast!$K:$K,0),MATCH(W$2,indexy_SDcast!$2:$2,0)),"#ekrk")),"#popis")</f>
        <v>-166.53853170140519</v>
      </c>
      <c r="X669" s="365">
        <f>IF($Q669="ekrk",IF($R669="data",IFERROR(INDEX(data!$A:$ALL,MATCH($M669,data!$A:$A,0),MATCH(X$2,data!$1:$1,0)),"#data"),IFERROR(W669*INDEX(indexy_SDcast!$A:$ALI,MATCH($R669,indexy_SDcast!$K:$K,0),MATCH(X$2,indexy_SDcast!$2:$2,0)),"#ekrk")),"#popis")</f>
        <v>-106.97202717682522</v>
      </c>
      <c r="Y669" s="362">
        <f>IF($Q669="ekrk",IF($R669="data",IFERROR(INDEX(data!$A:$ALL,MATCH($M669,data!$A:$A,0),MATCH(Y$2,data!$1:$1,0)),"#data"),IFERROR(X669*INDEX(indexy_SDcast!$A:$ALI,MATCH($R669,indexy_SDcast!$K:$K,0),MATCH(Y$2,indexy_SDcast!$2:$2,0)),"#ekrk")),"#popis")</f>
        <v>-144.71688922906065</v>
      </c>
    </row>
    <row r="670" spans="1:44" x14ac:dyDescent="0.25">
      <c r="A670" s="330">
        <v>637200</v>
      </c>
      <c r="B670" s="329">
        <v>-62.271560000000008</v>
      </c>
      <c r="C670" s="157"/>
      <c r="D670" s="330">
        <v>637200</v>
      </c>
      <c r="E670" s="329">
        <v>-62.271560000000008</v>
      </c>
      <c r="F670" s="157"/>
      <c r="G670" s="330">
        <v>637200</v>
      </c>
      <c r="H670" s="329">
        <v>-62.271560000000008</v>
      </c>
      <c r="I670" s="157"/>
      <c r="J670" s="330">
        <v>637200</v>
      </c>
      <c r="K670" s="329">
        <v>-62.271560000000008</v>
      </c>
      <c r="L670" s="157"/>
      <c r="M670" s="360">
        <f t="shared" si="64"/>
        <v>637200</v>
      </c>
      <c r="N670" s="237">
        <f t="shared" si="65"/>
        <v>-62.271560000000008</v>
      </c>
      <c r="O670" s="361"/>
      <c r="P670" s="361"/>
      <c r="Q670" s="361" t="s">
        <v>698</v>
      </c>
      <c r="R670" s="362">
        <v>35</v>
      </c>
      <c r="S670" s="236"/>
      <c r="T670" s="364">
        <f t="shared" si="68"/>
        <v>637200</v>
      </c>
      <c r="U670" s="365">
        <f t="shared" si="67"/>
        <v>-62.271560000000008</v>
      </c>
      <c r="V670" s="365">
        <f>IF($Q670="ekrk",IF($R670="data",IFERROR(INDEX(data!$A:$ALL,MATCH($M670,data!$A:$A,0),MATCH(V$2,data!$1:$1,0)),"#data"),IFERROR(U670*INDEX(indexy_SDcast!$A:$ALI,MATCH($R670,indexy_SDcast!$K:$K,0),MATCH(V$2,indexy_SDcast!$2:$2,0)),"#ekrk")),"#popis")</f>
        <v>-79.722052725908938</v>
      </c>
      <c r="W670" s="365">
        <f>IF($Q670="ekrk",IF($R670="data",IFERROR(INDEX(data!$A:$ALL,MATCH($M670,data!$A:$A,0),MATCH(W$2,data!$1:$1,0)),"#data"),IFERROR(V670*INDEX(indexy_SDcast!$A:$ALI,MATCH($R670,indexy_SDcast!$K:$K,0),MATCH(W$2,indexy_SDcast!$2:$2,0)),"#ekrk")),"#popis")</f>
        <v>-80.618232689899756</v>
      </c>
      <c r="X670" s="365">
        <f>IF($Q670="ekrk",IF($R670="data",IFERROR(INDEX(data!$A:$ALL,MATCH($M670,data!$A:$A,0),MATCH(X$2,data!$1:$1,0)),"#data"),IFERROR(W670*INDEX(indexy_SDcast!$A:$ALI,MATCH($R670,indexy_SDcast!$K:$K,0),MATCH(X$2,indexy_SDcast!$2:$2,0)),"#ekrk")),"#popis")</f>
        <v>-51.783186090014091</v>
      </c>
      <c r="Y670" s="362">
        <f>IF($Q670="ekrk",IF($R670="data",IFERROR(INDEX(data!$A:$ALL,MATCH($M670,data!$A:$A,0),MATCH(Y$2,data!$1:$1,0)),"#data"),IFERROR(X670*INDEX(indexy_SDcast!$A:$ALI,MATCH($R670,indexy_SDcast!$K:$K,0),MATCH(Y$2,indexy_SDcast!$2:$2,0)),"#ekrk")),"#popis")</f>
        <v>-70.054777899356353</v>
      </c>
    </row>
    <row r="671" spans="1:44" s="18" customFormat="1" x14ac:dyDescent="0.25">
      <c r="A671" s="333" t="s">
        <v>754</v>
      </c>
      <c r="B671" s="334">
        <v>-62839.746719999974</v>
      </c>
      <c r="C671" s="164"/>
      <c r="D671" s="333" t="s">
        <v>754</v>
      </c>
      <c r="E671" s="334">
        <v>-62839.746719999974</v>
      </c>
      <c r="F671" s="164"/>
      <c r="G671" s="333" t="s">
        <v>754</v>
      </c>
      <c r="H671" s="334">
        <v>-62839.746719999974</v>
      </c>
      <c r="I671" s="164"/>
      <c r="J671" s="333" t="s">
        <v>754</v>
      </c>
      <c r="K671" s="334">
        <v>-62839.746719999974</v>
      </c>
      <c r="L671" s="164"/>
      <c r="M671" s="358" t="str">
        <f t="shared" si="64"/>
        <v>P5111</v>
      </c>
      <c r="N671" s="239">
        <f t="shared" si="65"/>
        <v>-62839.746719999974</v>
      </c>
      <c r="O671" s="243"/>
      <c r="P671" s="243">
        <f>MATCH(Q671,Q672:Q$1550,0)</f>
        <v>19</v>
      </c>
      <c r="Q671" s="243" t="s">
        <v>697</v>
      </c>
      <c r="R671" s="359" t="str">
        <f>IF(Q671="ekrk",INDEX(indexy_SDcast!$A:$C,MATCH($M671,indexy_SDcast!$A:$A,0),2),"")</f>
        <v/>
      </c>
      <c r="S671" s="240"/>
      <c r="T671" s="363" t="str">
        <f t="shared" si="68"/>
        <v>P5111</v>
      </c>
      <c r="U671" s="244">
        <f>SUM(U672:U689)</f>
        <v>-62839.746719999974</v>
      </c>
      <c r="V671" s="244">
        <f>SUM(V672:V689)</f>
        <v>-80449.463628253419</v>
      </c>
      <c r="W671" s="244">
        <f>SUM(W672:W689)</f>
        <v>-81353.820640551188</v>
      </c>
      <c r="X671" s="244">
        <f>SUM(X672:X689)</f>
        <v>-52255.673348332879</v>
      </c>
      <c r="Y671" s="359">
        <f>SUM(Y672:Y689)</f>
        <v>-70693.981325044777</v>
      </c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8"/>
      <c r="AN671" s="58"/>
      <c r="AO671" s="58"/>
      <c r="AP671" s="58"/>
      <c r="AQ671" s="58"/>
      <c r="AR671" s="58"/>
    </row>
    <row r="672" spans="1:44" x14ac:dyDescent="0.25">
      <c r="A672" s="330">
        <v>713001</v>
      </c>
      <c r="B672" s="329">
        <v>-91.167209999999997</v>
      </c>
      <c r="C672" s="157"/>
      <c r="D672" s="330">
        <v>713001</v>
      </c>
      <c r="E672" s="329">
        <v>-91.167209999999997</v>
      </c>
      <c r="F672" s="157"/>
      <c r="G672" s="330">
        <v>713001</v>
      </c>
      <c r="H672" s="329">
        <v>-91.167209999999997</v>
      </c>
      <c r="I672" s="157"/>
      <c r="J672" s="330">
        <v>713001</v>
      </c>
      <c r="K672" s="329">
        <v>-91.167209999999997</v>
      </c>
      <c r="L672" s="157"/>
      <c r="M672" s="360">
        <f t="shared" si="64"/>
        <v>713001</v>
      </c>
      <c r="N672" s="237">
        <f t="shared" si="65"/>
        <v>-91.167209999999997</v>
      </c>
      <c r="O672" s="361"/>
      <c r="P672" s="361"/>
      <c r="Q672" s="361" t="s">
        <v>698</v>
      </c>
      <c r="R672" s="362">
        <v>35</v>
      </c>
      <c r="S672" s="236"/>
      <c r="T672" s="364">
        <f t="shared" si="68"/>
        <v>713001</v>
      </c>
      <c r="U672" s="365">
        <f t="shared" ref="U672:U689" si="69">N672</f>
        <v>-91.167209999999997</v>
      </c>
      <c r="V672" s="365">
        <f>IF($Q672="ekrk",IF($R672="data",IFERROR(INDEX(data!$A:$ALL,MATCH($M672,data!$A:$A,0),MATCH(V$2,data!$1:$1,0)),"#data"),IFERROR(U672*INDEX(indexy_SDcast!$A:$ALI,MATCH($R672,indexy_SDcast!$K:$K,0),MATCH(V$2,indexy_SDcast!$2:$2,0)),"#ekrk")),"#popis")</f>
        <v>-116.71519265767569</v>
      </c>
      <c r="W672" s="365">
        <f>IF($Q672="ekrk",IF($R672="data",IFERROR(INDEX(data!$A:$ALL,MATCH($M672,data!$A:$A,0),MATCH(W$2,data!$1:$1,0)),"#data"),IFERROR(V672*INDEX(indexy_SDcast!$A:$ALI,MATCH($R672,indexy_SDcast!$K:$K,0),MATCH(W$2,indexy_SDcast!$2:$2,0)),"#ekrk")),"#popis")</f>
        <v>-118.02722381563839</v>
      </c>
      <c r="X672" s="365">
        <f>IF($Q672="ekrk",IF($R672="data",IFERROR(INDEX(data!$A:$ALL,MATCH($M672,data!$A:$A,0),MATCH(X$2,data!$1:$1,0)),"#data"),IFERROR(W672*INDEX(indexy_SDcast!$A:$ALI,MATCH($R672,indexy_SDcast!$K:$K,0),MATCH(X$2,indexy_SDcast!$2:$2,0)),"#ekrk")),"#popis")</f>
        <v>-75.811953333711131</v>
      </c>
      <c r="Y672" s="362">
        <f>IF($Q672="ekrk",IF($R672="data",IFERROR(INDEX(data!$A:$ALL,MATCH($M672,data!$A:$A,0),MATCH(Y$2,data!$1:$1,0)),"#data"),IFERROR(X672*INDEX(indexy_SDcast!$A:$ALI,MATCH($R672,indexy_SDcast!$K:$K,0),MATCH(Y$2,indexy_SDcast!$2:$2,0)),"#ekrk")),"#popis")</f>
        <v>-102.56204675543665</v>
      </c>
    </row>
    <row r="673" spans="1:25" x14ac:dyDescent="0.25">
      <c r="A673" s="330">
        <v>713002</v>
      </c>
      <c r="B673" s="329">
        <v>-12293.494140000001</v>
      </c>
      <c r="C673" s="157"/>
      <c r="D673" s="330">
        <v>713002</v>
      </c>
      <c r="E673" s="329">
        <v>-12293.494140000001</v>
      </c>
      <c r="F673" s="157"/>
      <c r="G673" s="330">
        <v>713002</v>
      </c>
      <c r="H673" s="329">
        <v>-12293.494140000001</v>
      </c>
      <c r="I673" s="157"/>
      <c r="J673" s="330">
        <v>713002</v>
      </c>
      <c r="K673" s="329">
        <v>-12293.494140000001</v>
      </c>
      <c r="L673" s="157"/>
      <c r="M673" s="360">
        <f t="shared" si="64"/>
        <v>713002</v>
      </c>
      <c r="N673" s="237">
        <f t="shared" si="65"/>
        <v>-12293.494140000001</v>
      </c>
      <c r="O673" s="361"/>
      <c r="P673" s="361"/>
      <c r="Q673" s="361" t="s">
        <v>698</v>
      </c>
      <c r="R673" s="362">
        <v>35</v>
      </c>
      <c r="S673" s="236"/>
      <c r="T673" s="364">
        <f t="shared" si="68"/>
        <v>713002</v>
      </c>
      <c r="U673" s="365">
        <f t="shared" si="69"/>
        <v>-12293.494140000001</v>
      </c>
      <c r="V673" s="365">
        <f>IF($Q673="ekrk",IF($R673="data",IFERROR(INDEX(data!$A:$ALL,MATCH($M673,data!$A:$A,0),MATCH(V$2,data!$1:$1,0)),"#data"),IFERROR(U673*INDEX(indexy_SDcast!$A:$ALI,MATCH($R673,indexy_SDcast!$K:$K,0),MATCH(V$2,indexy_SDcast!$2:$2,0)),"#ekrk")),"#popis")</f>
        <v>-15738.526351591841</v>
      </c>
      <c r="W673" s="365">
        <f>IF($Q673="ekrk",IF($R673="data",IFERROR(INDEX(data!$A:$ALL,MATCH($M673,data!$A:$A,0),MATCH(W$2,data!$1:$1,0)),"#data"),IFERROR(V673*INDEX(indexy_SDcast!$A:$ALI,MATCH($R673,indexy_SDcast!$K:$K,0),MATCH(W$2,indexy_SDcast!$2:$2,0)),"#ekrk")),"#popis")</f>
        <v>-15915.447937235538</v>
      </c>
      <c r="X673" s="365">
        <f>IF($Q673="ekrk",IF($R673="data",IFERROR(INDEX(data!$A:$ALL,MATCH($M673,data!$A:$A,0),MATCH(X$2,data!$1:$1,0)),"#data"),IFERROR(W673*INDEX(indexy_SDcast!$A:$ALI,MATCH($R673,indexy_SDcast!$K:$K,0),MATCH(X$2,indexy_SDcast!$2:$2,0)),"#ekrk")),"#popis")</f>
        <v>-10222.905845752342</v>
      </c>
      <c r="Y673" s="362">
        <f>IF($Q673="ekrk",IF($R673="data",IFERROR(INDEX(data!$A:$ALL,MATCH($M673,data!$A:$A,0),MATCH(Y$2,data!$1:$1,0)),"#data"),IFERROR(X673*INDEX(indexy_SDcast!$A:$ALI,MATCH($R673,indexy_SDcast!$K:$K,0),MATCH(Y$2,indexy_SDcast!$2:$2,0)),"#ekrk")),"#popis")</f>
        <v>-13830.037365126855</v>
      </c>
    </row>
    <row r="674" spans="1:25" x14ac:dyDescent="0.25">
      <c r="A674" s="330">
        <v>713003</v>
      </c>
      <c r="B674" s="329">
        <v>-501.01366000000007</v>
      </c>
      <c r="C674" s="157"/>
      <c r="D674" s="330">
        <v>713003</v>
      </c>
      <c r="E674" s="329">
        <v>-501.01366000000007</v>
      </c>
      <c r="F674" s="157"/>
      <c r="G674" s="330">
        <v>713003</v>
      </c>
      <c r="H674" s="329">
        <v>-501.01366000000007</v>
      </c>
      <c r="I674" s="157"/>
      <c r="J674" s="330">
        <v>713003</v>
      </c>
      <c r="K674" s="329">
        <v>-501.01366000000007</v>
      </c>
      <c r="L674" s="157"/>
      <c r="M674" s="360">
        <f t="shared" ref="M674:M730" si="70">J674</f>
        <v>713003</v>
      </c>
      <c r="N674" s="237">
        <f t="shared" ref="N674:N730" si="71">K674</f>
        <v>-501.01366000000007</v>
      </c>
      <c r="O674" s="361"/>
      <c r="P674" s="361"/>
      <c r="Q674" s="361" t="s">
        <v>698</v>
      </c>
      <c r="R674" s="362">
        <v>35</v>
      </c>
      <c r="S674" s="236"/>
      <c r="T674" s="364">
        <f t="shared" si="68"/>
        <v>713003</v>
      </c>
      <c r="U674" s="365">
        <f t="shared" si="69"/>
        <v>-501.01366000000007</v>
      </c>
      <c r="V674" s="365">
        <f>IF($Q674="ekrk",IF($R674="data",IFERROR(INDEX(data!$A:$ALL,MATCH($M674,data!$A:$A,0),MATCH(V$2,data!$1:$1,0)),"#data"),IFERROR(U674*INDEX(indexy_SDcast!$A:$ALI,MATCH($R674,indexy_SDcast!$K:$K,0),MATCH(V$2,indexy_SDcast!$2:$2,0)),"#ekrk")),"#popis")</f>
        <v>-641.41379176819419</v>
      </c>
      <c r="W674" s="365">
        <f>IF($Q674="ekrk",IF($R674="data",IFERROR(INDEX(data!$A:$ALL,MATCH($M674,data!$A:$A,0),MATCH(W$2,data!$1:$1,0)),"#data"),IFERROR(V674*INDEX(indexy_SDcast!$A:$ALI,MATCH($R674,indexy_SDcast!$K:$K,0),MATCH(W$2,indexy_SDcast!$2:$2,0)),"#ekrk")),"#popis")</f>
        <v>-648.62412026771642</v>
      </c>
      <c r="X674" s="365">
        <f>IF($Q674="ekrk",IF($R674="data",IFERROR(INDEX(data!$A:$ALL,MATCH($M674,data!$A:$A,0),MATCH(X$2,data!$1:$1,0)),"#data"),IFERROR(W674*INDEX(indexy_SDcast!$A:$ALI,MATCH($R674,indexy_SDcast!$K:$K,0),MATCH(X$2,indexy_SDcast!$2:$2,0)),"#ekrk")),"#popis")</f>
        <v>-416.6281299106534</v>
      </c>
      <c r="Y674" s="362">
        <f>IF($Q674="ekrk",IF($R674="data",IFERROR(INDEX(data!$A:$ALL,MATCH($M674,data!$A:$A,0),MATCH(Y$2,data!$1:$1,0)),"#data"),IFERROR(X674*INDEX(indexy_SDcast!$A:$ALI,MATCH($R674,indexy_SDcast!$K:$K,0),MATCH(Y$2,indexy_SDcast!$2:$2,0)),"#ekrk")),"#popis")</f>
        <v>-563.63451752041601</v>
      </c>
    </row>
    <row r="675" spans="1:25" x14ac:dyDescent="0.25">
      <c r="A675" s="330">
        <v>713004</v>
      </c>
      <c r="B675" s="329">
        <v>-7619.0397599999997</v>
      </c>
      <c r="C675" s="157"/>
      <c r="D675" s="330">
        <v>713004</v>
      </c>
      <c r="E675" s="329">
        <v>-7619.0397599999997</v>
      </c>
      <c r="F675" s="157"/>
      <c r="G675" s="330">
        <v>713004</v>
      </c>
      <c r="H675" s="329">
        <v>-7619.0397599999997</v>
      </c>
      <c r="I675" s="157"/>
      <c r="J675" s="330">
        <v>713004</v>
      </c>
      <c r="K675" s="329">
        <v>-7619.0397599999997</v>
      </c>
      <c r="L675" s="157"/>
      <c r="M675" s="360">
        <f t="shared" si="70"/>
        <v>713004</v>
      </c>
      <c r="N675" s="237">
        <f t="shared" si="71"/>
        <v>-7619.0397599999997</v>
      </c>
      <c r="O675" s="361"/>
      <c r="P675" s="361"/>
      <c r="Q675" s="361" t="s">
        <v>698</v>
      </c>
      <c r="R675" s="362">
        <v>35</v>
      </c>
      <c r="S675" s="236"/>
      <c r="T675" s="364">
        <f t="shared" si="68"/>
        <v>713004</v>
      </c>
      <c r="U675" s="365">
        <f t="shared" si="69"/>
        <v>-7619.0397599999997</v>
      </c>
      <c r="V675" s="365">
        <f>IF($Q675="ekrk",IF($R675="data",IFERROR(INDEX(data!$A:$ALL,MATCH($M675,data!$A:$A,0),MATCH(V$2,data!$1:$1,0)),"#data"),IFERROR(U675*INDEX(indexy_SDcast!$A:$ALI,MATCH($R675,indexy_SDcast!$K:$K,0),MATCH(V$2,indexy_SDcast!$2:$2,0)),"#ekrk")),"#popis")</f>
        <v>-9754.1396018907581</v>
      </c>
      <c r="W675" s="365">
        <f>IF($Q675="ekrk",IF($R675="data",IFERROR(INDEX(data!$A:$ALL,MATCH($M675,data!$A:$A,0),MATCH(W$2,data!$1:$1,0)),"#data"),IFERROR(V675*INDEX(indexy_SDcast!$A:$ALI,MATCH($R675,indexy_SDcast!$K:$K,0),MATCH(W$2,indexy_SDcast!$2:$2,0)),"#ekrk")),"#popis")</f>
        <v>-9863.788866784098</v>
      </c>
      <c r="X675" s="365">
        <f>IF($Q675="ekrk",IF($R675="data",IFERROR(INDEX(data!$A:$ALL,MATCH($M675,data!$A:$A,0),MATCH(X$2,data!$1:$1,0)),"#data"),IFERROR(W675*INDEX(indexy_SDcast!$A:$ALI,MATCH($R675,indexy_SDcast!$K:$K,0),MATCH(X$2,indexy_SDcast!$2:$2,0)),"#ekrk")),"#popis")</f>
        <v>-6335.7679447776209</v>
      </c>
      <c r="Y675" s="362">
        <f>IF($Q675="ekrk",IF($R675="data",IFERROR(INDEX(data!$A:$ALL,MATCH($M675,data!$A:$A,0),MATCH(Y$2,data!$1:$1,0)),"#data"),IFERROR(X675*INDEX(indexy_SDcast!$A:$ALI,MATCH($R675,indexy_SDcast!$K:$K,0),MATCH(Y$2,indexy_SDcast!$2:$2,0)),"#ekrk")),"#popis")</f>
        <v>-8571.3307679005538</v>
      </c>
    </row>
    <row r="676" spans="1:25" x14ac:dyDescent="0.25">
      <c r="A676" s="330">
        <v>713005</v>
      </c>
      <c r="B676" s="329">
        <v>-680.70999000000006</v>
      </c>
      <c r="C676" s="157"/>
      <c r="D676" s="330">
        <v>713005</v>
      </c>
      <c r="E676" s="329">
        <v>-680.70999000000006</v>
      </c>
      <c r="F676" s="157"/>
      <c r="G676" s="330">
        <v>713005</v>
      </c>
      <c r="H676" s="329">
        <v>-680.70999000000006</v>
      </c>
      <c r="I676" s="157"/>
      <c r="J676" s="330">
        <v>713005</v>
      </c>
      <c r="K676" s="329">
        <v>-680.70999000000006</v>
      </c>
      <c r="L676" s="157"/>
      <c r="M676" s="360">
        <f t="shared" si="70"/>
        <v>713005</v>
      </c>
      <c r="N676" s="237">
        <f t="shared" si="71"/>
        <v>-680.70999000000006</v>
      </c>
      <c r="O676" s="361"/>
      <c r="P676" s="361"/>
      <c r="Q676" s="361" t="s">
        <v>698</v>
      </c>
      <c r="R676" s="362">
        <v>35</v>
      </c>
      <c r="S676" s="236"/>
      <c r="T676" s="364">
        <f t="shared" si="68"/>
        <v>713005</v>
      </c>
      <c r="U676" s="365">
        <f t="shared" si="69"/>
        <v>-680.70999000000006</v>
      </c>
      <c r="V676" s="365">
        <f>IF($Q676="ekrk",IF($R676="data",IFERROR(INDEX(data!$A:$ALL,MATCH($M676,data!$A:$A,0),MATCH(V$2,data!$1:$1,0)),"#data"),IFERROR(U676*INDEX(indexy_SDcast!$A:$ALI,MATCH($R676,indexy_SDcast!$K:$K,0),MATCH(V$2,indexy_SDcast!$2:$2,0)),"#ekrk")),"#popis")</f>
        <v>-871.46680946860715</v>
      </c>
      <c r="W676" s="365">
        <f>IF($Q676="ekrk",IF($R676="data",IFERROR(INDEX(data!$A:$ALL,MATCH($M676,data!$A:$A,0),MATCH(W$2,data!$1:$1,0)),"#data"),IFERROR(V676*INDEX(indexy_SDcast!$A:$ALI,MATCH($R676,indexy_SDcast!$K:$K,0),MATCH(W$2,indexy_SDcast!$2:$2,0)),"#ekrk")),"#popis")</f>
        <v>-881.26323426230738</v>
      </c>
      <c r="X676" s="365">
        <f>IF($Q676="ekrk",IF($R676="data",IFERROR(INDEX(data!$A:$ALL,MATCH($M676,data!$A:$A,0),MATCH(X$2,data!$1:$1,0)),"#data"),IFERROR(W676*INDEX(indexy_SDcast!$A:$ALI,MATCH($R676,indexy_SDcast!$K:$K,0),MATCH(X$2,indexy_SDcast!$2:$2,0)),"#ekrk")),"#popis")</f>
        <v>-566.05827902017597</v>
      </c>
      <c r="Y676" s="362">
        <f>IF($Q676="ekrk",IF($R676="data",IFERROR(INDEX(data!$A:$ALL,MATCH($M676,data!$A:$A,0),MATCH(Y$2,data!$1:$1,0)),"#data"),IFERROR(X676*INDEX(indexy_SDcast!$A:$ALI,MATCH($R676,indexy_SDcast!$K:$K,0),MATCH(Y$2,indexy_SDcast!$2:$2,0)),"#ekrk")),"#popis")</f>
        <v>-765.79079058438697</v>
      </c>
    </row>
    <row r="677" spans="1:25" x14ac:dyDescent="0.25">
      <c r="A677" s="330">
        <v>713006</v>
      </c>
      <c r="B677" s="329">
        <v>-118.40613</v>
      </c>
      <c r="C677" s="157"/>
      <c r="D677" s="330">
        <v>713006</v>
      </c>
      <c r="E677" s="329">
        <v>-118.40613</v>
      </c>
      <c r="F677" s="157"/>
      <c r="G677" s="330">
        <v>713006</v>
      </c>
      <c r="H677" s="329">
        <v>-118.40613</v>
      </c>
      <c r="I677" s="157"/>
      <c r="J677" s="330">
        <v>713006</v>
      </c>
      <c r="K677" s="329">
        <v>-118.40613</v>
      </c>
      <c r="L677" s="157"/>
      <c r="M677" s="360">
        <f t="shared" si="70"/>
        <v>713006</v>
      </c>
      <c r="N677" s="237">
        <f t="shared" si="71"/>
        <v>-118.40613</v>
      </c>
      <c r="O677" s="361"/>
      <c r="P677" s="361"/>
      <c r="Q677" s="361" t="s">
        <v>698</v>
      </c>
      <c r="R677" s="362">
        <v>35</v>
      </c>
      <c r="S677" s="236"/>
      <c r="T677" s="364">
        <f t="shared" si="68"/>
        <v>713006</v>
      </c>
      <c r="U677" s="365">
        <f t="shared" si="69"/>
        <v>-118.40613</v>
      </c>
      <c r="V677" s="365">
        <f>IF($Q677="ekrk",IF($R677="data",IFERROR(INDEX(data!$A:$ALL,MATCH($M677,data!$A:$A,0),MATCH(V$2,data!$1:$1,0)),"#data"),IFERROR(U677*INDEX(indexy_SDcast!$A:$ALI,MATCH($R677,indexy_SDcast!$K:$K,0),MATCH(V$2,indexy_SDcast!$2:$2,0)),"#ekrk")),"#popis")</f>
        <v>-151.58733359066042</v>
      </c>
      <c r="W677" s="365">
        <f>IF($Q677="ekrk",IF($R677="data",IFERROR(INDEX(data!$A:$ALL,MATCH($M677,data!$A:$A,0),MATCH(W$2,data!$1:$1,0)),"#data"),IFERROR(V677*INDEX(indexy_SDcast!$A:$ALI,MATCH($R677,indexy_SDcast!$K:$K,0),MATCH(W$2,indexy_SDcast!$2:$2,0)),"#ekrk")),"#popis")</f>
        <v>-153.29137314450639</v>
      </c>
      <c r="X677" s="365">
        <f>IF($Q677="ekrk",IF($R677="data",IFERROR(INDEX(data!$A:$ALL,MATCH($M677,data!$A:$A,0),MATCH(X$2,data!$1:$1,0)),"#data"),IFERROR(W677*INDEX(indexy_SDcast!$A:$ALI,MATCH($R677,indexy_SDcast!$K:$K,0),MATCH(X$2,indexy_SDcast!$2:$2,0)),"#ekrk")),"#popis")</f>
        <v>-98.463032947759771</v>
      </c>
      <c r="Y677" s="362">
        <f>IF($Q677="ekrk",IF($R677="data",IFERROR(INDEX(data!$A:$ALL,MATCH($M677,data!$A:$A,0),MATCH(Y$2,data!$1:$1,0)),"#data"),IFERROR(X677*INDEX(indexy_SDcast!$A:$ALI,MATCH($R677,indexy_SDcast!$K:$K,0),MATCH(Y$2,indexy_SDcast!$2:$2,0)),"#ekrk")),"#popis")</f>
        <v>-133.20551370597292</v>
      </c>
    </row>
    <row r="678" spans="1:25" x14ac:dyDescent="0.25">
      <c r="A678" s="330">
        <v>714001</v>
      </c>
      <c r="B678" s="329">
        <v>-147.96009999999998</v>
      </c>
      <c r="C678" s="157"/>
      <c r="D678" s="330">
        <v>714001</v>
      </c>
      <c r="E678" s="329">
        <v>-147.96009999999998</v>
      </c>
      <c r="F678" s="157"/>
      <c r="G678" s="330">
        <v>714001</v>
      </c>
      <c r="H678" s="329">
        <v>-147.96009999999998</v>
      </c>
      <c r="I678" s="157"/>
      <c r="J678" s="330">
        <v>714001</v>
      </c>
      <c r="K678" s="329">
        <v>-147.96009999999998</v>
      </c>
      <c r="L678" s="157"/>
      <c r="M678" s="360">
        <f t="shared" si="70"/>
        <v>714001</v>
      </c>
      <c r="N678" s="237">
        <f t="shared" si="71"/>
        <v>-147.96009999999998</v>
      </c>
      <c r="O678" s="361"/>
      <c r="P678" s="361"/>
      <c r="Q678" s="361" t="s">
        <v>698</v>
      </c>
      <c r="R678" s="362">
        <v>35</v>
      </c>
      <c r="S678" s="236"/>
      <c r="T678" s="364">
        <f t="shared" si="68"/>
        <v>714001</v>
      </c>
      <c r="U678" s="365">
        <f t="shared" si="69"/>
        <v>-147.96009999999998</v>
      </c>
      <c r="V678" s="365">
        <f>IF($Q678="ekrk",IF($R678="data",IFERROR(INDEX(data!$A:$ALL,MATCH($M678,data!$A:$A,0),MATCH(V$2,data!$1:$1,0)),"#data"),IFERROR(U678*INDEX(indexy_SDcast!$A:$ALI,MATCH($R678,indexy_SDcast!$K:$K,0),MATCH(V$2,indexy_SDcast!$2:$2,0)),"#ekrk")),"#popis")</f>
        <v>-189.42327594700944</v>
      </c>
      <c r="W678" s="365">
        <f>IF($Q678="ekrk",IF($R678="data",IFERROR(INDEX(data!$A:$ALL,MATCH($M678,data!$A:$A,0),MATCH(W$2,data!$1:$1,0)),"#data"),IFERROR(V678*INDEX(indexy_SDcast!$A:$ALI,MATCH($R678,indexy_SDcast!$K:$K,0),MATCH(W$2,indexy_SDcast!$2:$2,0)),"#ekrk")),"#popis")</f>
        <v>-191.55264089450841</v>
      </c>
      <c r="X678" s="365">
        <f>IF($Q678="ekrk",IF($R678="data",IFERROR(INDEX(data!$A:$ALL,MATCH($M678,data!$A:$A,0),MATCH(X$2,data!$1:$1,0)),"#data"),IFERROR(W678*INDEX(indexy_SDcast!$A:$ALI,MATCH($R678,indexy_SDcast!$K:$K,0),MATCH(X$2,indexy_SDcast!$2:$2,0)),"#ekrk")),"#popis")</f>
        <v>-123.03923961752511</v>
      </c>
      <c r="Y678" s="362">
        <f>IF($Q678="ekrk",IF($R678="data",IFERROR(INDEX(data!$A:$ALL,MATCH($M678,data!$A:$A,0),MATCH(Y$2,data!$1:$1,0)),"#data"),IFERROR(X678*INDEX(indexy_SDcast!$A:$ALI,MATCH($R678,indexy_SDcast!$K:$K,0),MATCH(Y$2,indexy_SDcast!$2:$2,0)),"#ekrk")),"#popis")</f>
        <v>-166.45338487531956</v>
      </c>
    </row>
    <row r="679" spans="1:25" x14ac:dyDescent="0.25">
      <c r="A679" s="330">
        <v>714003</v>
      </c>
      <c r="B679" s="329">
        <v>-2.3249</v>
      </c>
      <c r="C679" s="157"/>
      <c r="D679" s="330">
        <v>714003</v>
      </c>
      <c r="E679" s="329">
        <v>-2.3249</v>
      </c>
      <c r="F679" s="157"/>
      <c r="G679" s="330">
        <v>714003</v>
      </c>
      <c r="H679" s="329">
        <v>-2.3249</v>
      </c>
      <c r="I679" s="157"/>
      <c r="J679" s="330">
        <v>714003</v>
      </c>
      <c r="K679" s="329">
        <v>-2.3249</v>
      </c>
      <c r="L679" s="157"/>
      <c r="M679" s="360">
        <f t="shared" si="70"/>
        <v>714003</v>
      </c>
      <c r="N679" s="237">
        <f t="shared" si="71"/>
        <v>-2.3249</v>
      </c>
      <c r="O679" s="361"/>
      <c r="P679" s="361"/>
      <c r="Q679" s="361" t="s">
        <v>698</v>
      </c>
      <c r="R679" s="362">
        <v>35</v>
      </c>
      <c r="S679" s="236"/>
      <c r="T679" s="364">
        <f t="shared" si="68"/>
        <v>714003</v>
      </c>
      <c r="U679" s="365">
        <f t="shared" si="69"/>
        <v>-2.3249</v>
      </c>
      <c r="V679" s="365">
        <f>IF($Q679="ekrk",IF($R679="data",IFERROR(INDEX(data!$A:$ALL,MATCH($M679,data!$A:$A,0),MATCH(V$2,data!$1:$1,0)),"#data"),IFERROR(U679*INDEX(indexy_SDcast!$A:$ALI,MATCH($R679,indexy_SDcast!$K:$K,0),MATCH(V$2,indexy_SDcast!$2:$2,0)),"#ekrk")),"#popis")</f>
        <v>-2.9764117099758804</v>
      </c>
      <c r="W679" s="365">
        <f>IF($Q679="ekrk",IF($R679="data",IFERROR(INDEX(data!$A:$ALL,MATCH($M679,data!$A:$A,0),MATCH(W$2,data!$1:$1,0)),"#data"),IFERROR(V679*INDEX(indexy_SDcast!$A:$ALI,MATCH($R679,indexy_SDcast!$K:$K,0),MATCH(W$2,indexy_SDcast!$2:$2,0)),"#ekrk")),"#popis")</f>
        <v>-3.0098704638320912</v>
      </c>
      <c r="X679" s="365">
        <f>IF($Q679="ekrk",IF($R679="data",IFERROR(INDEX(data!$A:$ALL,MATCH($M679,data!$A:$A,0),MATCH(X$2,data!$1:$1,0)),"#data"),IFERROR(W679*INDEX(indexy_SDcast!$A:$ALI,MATCH($R679,indexy_SDcast!$K:$K,0),MATCH(X$2,indexy_SDcast!$2:$2,0)),"#ekrk")),"#popis")</f>
        <v>-1.9333180241618122</v>
      </c>
      <c r="Y679" s="362">
        <f>IF($Q679="ekrk",IF($R679="data",IFERROR(INDEX(data!$A:$ALL,MATCH($M679,data!$A:$A,0),MATCH(Y$2,data!$1:$1,0)),"#data"),IFERROR(X679*INDEX(indexy_SDcast!$A:$ALI,MATCH($R679,indexy_SDcast!$K:$K,0),MATCH(Y$2,indexy_SDcast!$2:$2,0)),"#ekrk")),"#popis")</f>
        <v>-2.6154853537989666</v>
      </c>
    </row>
    <row r="680" spans="1:25" x14ac:dyDescent="0.25">
      <c r="A680" s="330">
        <v>714004</v>
      </c>
      <c r="B680" s="329">
        <v>-225.72409999999999</v>
      </c>
      <c r="C680" s="157"/>
      <c r="D680" s="330">
        <v>714004</v>
      </c>
      <c r="E680" s="329">
        <v>-225.72409999999999</v>
      </c>
      <c r="F680" s="157"/>
      <c r="G680" s="330">
        <v>714004</v>
      </c>
      <c r="H680" s="329">
        <v>-225.72409999999999</v>
      </c>
      <c r="I680" s="157"/>
      <c r="J680" s="330">
        <v>714004</v>
      </c>
      <c r="K680" s="329">
        <v>-225.72409999999999</v>
      </c>
      <c r="L680" s="157"/>
      <c r="M680" s="360">
        <f t="shared" si="70"/>
        <v>714004</v>
      </c>
      <c r="N680" s="237">
        <f t="shared" si="71"/>
        <v>-225.72409999999999</v>
      </c>
      <c r="O680" s="361"/>
      <c r="P680" s="361"/>
      <c r="Q680" s="361" t="s">
        <v>698</v>
      </c>
      <c r="R680" s="362">
        <v>35</v>
      </c>
      <c r="S680" s="236"/>
      <c r="T680" s="364">
        <f t="shared" si="68"/>
        <v>714004</v>
      </c>
      <c r="U680" s="365">
        <f t="shared" si="69"/>
        <v>-225.72409999999999</v>
      </c>
      <c r="V680" s="365">
        <f>IF($Q680="ekrk",IF($R680="data",IFERROR(INDEX(data!$A:$ALL,MATCH($M680,data!$A:$A,0),MATCH(V$2,data!$1:$1,0)),"#data"),IFERROR(U680*INDEX(indexy_SDcast!$A:$ALI,MATCH($R680,indexy_SDcast!$K:$K,0),MATCH(V$2,indexy_SDcast!$2:$2,0)),"#ekrk")),"#popis")</f>
        <v>-288.97924833918302</v>
      </c>
      <c r="W680" s="365">
        <f>IF($Q680="ekrk",IF($R680="data",IFERROR(INDEX(data!$A:$ALL,MATCH($M680,data!$A:$A,0),MATCH(W$2,data!$1:$1,0)),"#data"),IFERROR(V680*INDEX(indexy_SDcast!$A:$ALI,MATCH($R680,indexy_SDcast!$K:$K,0),MATCH(W$2,indexy_SDcast!$2:$2,0)),"#ekrk")),"#popis")</f>
        <v>-292.22775240443946</v>
      </c>
      <c r="X680" s="365">
        <f>IF($Q680="ekrk",IF($R680="data",IFERROR(INDEX(data!$A:$ALL,MATCH($M680,data!$A:$A,0),MATCH(X$2,data!$1:$1,0)),"#data"),IFERROR(W680*INDEX(indexy_SDcast!$A:$ALI,MATCH($R680,indexy_SDcast!$K:$K,0),MATCH(X$2,indexy_SDcast!$2:$2,0)),"#ekrk")),"#popis")</f>
        <v>-187.70548024332371</v>
      </c>
      <c r="Y680" s="362">
        <f>IF($Q680="ekrk",IF($R680="data",IFERROR(INDEX(data!$A:$ALL,MATCH($M680,data!$A:$A,0),MATCH(Y$2,data!$1:$1,0)),"#data"),IFERROR(X680*INDEX(indexy_SDcast!$A:$ALI,MATCH($R680,indexy_SDcast!$K:$K,0),MATCH(Y$2,indexy_SDcast!$2:$2,0)),"#ekrk")),"#popis")</f>
        <v>-253.93697688049087</v>
      </c>
    </row>
    <row r="681" spans="1:25" x14ac:dyDescent="0.25">
      <c r="A681" s="330">
        <v>714005</v>
      </c>
      <c r="B681" s="329">
        <v>-100.151</v>
      </c>
      <c r="C681" s="157"/>
      <c r="D681" s="330">
        <v>714005</v>
      </c>
      <c r="E681" s="329">
        <v>-100.151</v>
      </c>
      <c r="F681" s="157"/>
      <c r="G681" s="330">
        <v>714005</v>
      </c>
      <c r="H681" s="329">
        <v>-100.151</v>
      </c>
      <c r="I681" s="157"/>
      <c r="J681" s="330">
        <v>714005</v>
      </c>
      <c r="K681" s="329">
        <v>-100.151</v>
      </c>
      <c r="L681" s="157"/>
      <c r="M681" s="360">
        <f t="shared" si="70"/>
        <v>714005</v>
      </c>
      <c r="N681" s="237">
        <f t="shared" si="71"/>
        <v>-100.151</v>
      </c>
      <c r="O681" s="361"/>
      <c r="P681" s="361"/>
      <c r="Q681" s="361" t="s">
        <v>698</v>
      </c>
      <c r="R681" s="362">
        <v>35</v>
      </c>
      <c r="S681" s="236"/>
      <c r="T681" s="364">
        <f t="shared" si="68"/>
        <v>714005</v>
      </c>
      <c r="U681" s="365">
        <f t="shared" si="69"/>
        <v>-100.151</v>
      </c>
      <c r="V681" s="365">
        <f>IF($Q681="ekrk",IF($R681="data",IFERROR(INDEX(data!$A:$ALL,MATCH($M681,data!$A:$A,0),MATCH(V$2,data!$1:$1,0)),"#data"),IFERROR(U681*INDEX(indexy_SDcast!$A:$ALI,MATCH($R681,indexy_SDcast!$K:$K,0),MATCH(V$2,indexy_SDcast!$2:$2,0)),"#ekrk")),"#popis")</f>
        <v>-128.21652938440121</v>
      </c>
      <c r="W681" s="365">
        <f>IF($Q681="ekrk",IF($R681="data",IFERROR(INDEX(data!$A:$ALL,MATCH($M681,data!$A:$A,0),MATCH(W$2,data!$1:$1,0)),"#data"),IFERROR(V681*INDEX(indexy_SDcast!$A:$ALI,MATCH($R681,indexy_SDcast!$K:$K,0),MATCH(W$2,indexy_SDcast!$2:$2,0)),"#ekrk")),"#popis")</f>
        <v>-129.6578505842177</v>
      </c>
      <c r="X681" s="365">
        <f>IF($Q681="ekrk",IF($R681="data",IFERROR(INDEX(data!$A:$ALL,MATCH($M681,data!$A:$A,0),MATCH(X$2,data!$1:$1,0)),"#data"),IFERROR(W681*INDEX(indexy_SDcast!$A:$ALI,MATCH($R681,indexy_SDcast!$K:$K,0),MATCH(X$2,indexy_SDcast!$2:$2,0)),"#ekrk")),"#popis")</f>
        <v>-83.28260718217112</v>
      </c>
      <c r="Y681" s="362">
        <f>IF($Q681="ekrk",IF($R681="data",IFERROR(INDEX(data!$A:$ALL,MATCH($M681,data!$A:$A,0),MATCH(Y$2,data!$1:$1,0)),"#data"),IFERROR(X681*INDEX(indexy_SDcast!$A:$ALI,MATCH($R681,indexy_SDcast!$K:$K,0),MATCH(Y$2,indexy_SDcast!$2:$2,0)),"#ekrk")),"#popis")</f>
        <v>-112.66870560812089</v>
      </c>
    </row>
    <row r="682" spans="1:25" x14ac:dyDescent="0.25">
      <c r="A682" s="330">
        <v>716000</v>
      </c>
      <c r="B682" s="329">
        <v>-286.17179000000004</v>
      </c>
      <c r="C682" s="157"/>
      <c r="D682" s="330">
        <v>716000</v>
      </c>
      <c r="E682" s="329">
        <v>-286.17179000000004</v>
      </c>
      <c r="F682" s="157"/>
      <c r="G682" s="330">
        <v>716000</v>
      </c>
      <c r="H682" s="329">
        <v>-286.17179000000004</v>
      </c>
      <c r="I682" s="157"/>
      <c r="J682" s="330">
        <v>716000</v>
      </c>
      <c r="K682" s="329">
        <v>-286.17179000000004</v>
      </c>
      <c r="L682" s="157"/>
      <c r="M682" s="360">
        <f t="shared" si="70"/>
        <v>716000</v>
      </c>
      <c r="N682" s="237">
        <f t="shared" si="71"/>
        <v>-286.17179000000004</v>
      </c>
      <c r="O682" s="361"/>
      <c r="P682" s="361"/>
      <c r="Q682" s="361" t="s">
        <v>698</v>
      </c>
      <c r="R682" s="362">
        <v>35</v>
      </c>
      <c r="S682" s="236"/>
      <c r="T682" s="364">
        <f t="shared" si="68"/>
        <v>716000</v>
      </c>
      <c r="U682" s="365">
        <f t="shared" si="69"/>
        <v>-286.17179000000004</v>
      </c>
      <c r="V682" s="365">
        <f>IF($Q682="ekrk",IF($R682="data",IFERROR(INDEX(data!$A:$ALL,MATCH($M682,data!$A:$A,0),MATCH(V$2,data!$1:$1,0)),"#data"),IFERROR(U682*INDEX(indexy_SDcast!$A:$ALI,MATCH($R682,indexy_SDcast!$K:$K,0),MATCH(V$2,indexy_SDcast!$2:$2,0)),"#ekrk")),"#popis")</f>
        <v>-366.36632406587756</v>
      </c>
      <c r="W682" s="365">
        <f>IF($Q682="ekrk",IF($R682="data",IFERROR(INDEX(data!$A:$ALL,MATCH($M682,data!$A:$A,0),MATCH(W$2,data!$1:$1,0)),"#data"),IFERROR(V682*INDEX(indexy_SDcast!$A:$ALI,MATCH($R682,indexy_SDcast!$K:$K,0),MATCH(W$2,indexy_SDcast!$2:$2,0)),"#ekrk")),"#popis")</f>
        <v>-370.48475990492494</v>
      </c>
      <c r="X682" s="365">
        <f>IF($Q682="ekrk",IF($R682="data",IFERROR(INDEX(data!$A:$ALL,MATCH($M682,data!$A:$A,0),MATCH(X$2,data!$1:$1,0)),"#data"),IFERROR(W682*INDEX(indexy_SDcast!$A:$ALI,MATCH($R682,indexy_SDcast!$K:$K,0),MATCH(X$2,indexy_SDcast!$2:$2,0)),"#ekrk")),"#popis")</f>
        <v>-237.97199002694703</v>
      </c>
      <c r="Y682" s="362">
        <f>IF($Q682="ekrk",IF($R682="data",IFERROR(INDEX(data!$A:$ALL,MATCH($M682,data!$A:$A,0),MATCH(Y$2,data!$1:$1,0)),"#data"),IFERROR(X682*INDEX(indexy_SDcast!$A:$ALI,MATCH($R682,indexy_SDcast!$K:$K,0),MATCH(Y$2,indexy_SDcast!$2:$2,0)),"#ekrk")),"#popis")</f>
        <v>-321.93992232587794</v>
      </c>
    </row>
    <row r="683" spans="1:25" x14ac:dyDescent="0.25">
      <c r="A683" s="330">
        <v>717001</v>
      </c>
      <c r="B683" s="329">
        <v>-22103.632139999994</v>
      </c>
      <c r="C683" s="157"/>
      <c r="D683" s="330">
        <v>717001</v>
      </c>
      <c r="E683" s="329">
        <v>-22103.632139999994</v>
      </c>
      <c r="F683" s="157"/>
      <c r="G683" s="330">
        <v>717001</v>
      </c>
      <c r="H683" s="329">
        <v>-22103.632139999994</v>
      </c>
      <c r="I683" s="157"/>
      <c r="J683" s="330">
        <v>717001</v>
      </c>
      <c r="K683" s="329">
        <v>-22103.632139999994</v>
      </c>
      <c r="L683" s="157"/>
      <c r="M683" s="360">
        <f t="shared" si="70"/>
        <v>717001</v>
      </c>
      <c r="N683" s="237">
        <f t="shared" si="71"/>
        <v>-22103.632139999994</v>
      </c>
      <c r="O683" s="361"/>
      <c r="P683" s="361"/>
      <c r="Q683" s="361" t="s">
        <v>698</v>
      </c>
      <c r="R683" s="362">
        <v>35</v>
      </c>
      <c r="S683" s="236"/>
      <c r="T683" s="364">
        <f t="shared" si="68"/>
        <v>717001</v>
      </c>
      <c r="U683" s="365">
        <f t="shared" si="69"/>
        <v>-22103.632139999994</v>
      </c>
      <c r="V683" s="365">
        <f>IF($Q683="ekrk",IF($R683="data",IFERROR(INDEX(data!$A:$ALL,MATCH($M683,data!$A:$A,0),MATCH(V$2,data!$1:$1,0)),"#data"),IFERROR(U683*INDEX(indexy_SDcast!$A:$ALI,MATCH($R683,indexy_SDcast!$K:$K,0),MATCH(V$2,indexy_SDcast!$2:$2,0)),"#ekrk")),"#popis")</f>
        <v>-28297.780349475339</v>
      </c>
      <c r="W683" s="365">
        <f>IF($Q683="ekrk",IF($R683="data",IFERROR(INDEX(data!$A:$ALL,MATCH($M683,data!$A:$A,0),MATCH(W$2,data!$1:$1,0)),"#data"),IFERROR(V683*INDEX(indexy_SDcast!$A:$ALI,MATCH($R683,indexy_SDcast!$K:$K,0),MATCH(W$2,indexy_SDcast!$2:$2,0)),"#ekrk")),"#popis")</f>
        <v>-28615.884348400235</v>
      </c>
      <c r="X683" s="365">
        <f>IF($Q683="ekrk",IF($R683="data",IFERROR(INDEX(data!$A:$ALL,MATCH($M683,data!$A:$A,0),MATCH(X$2,data!$1:$1,0)),"#data"),IFERROR(W683*INDEX(indexy_SDcast!$A:$ALI,MATCH($R683,indexy_SDcast!$K:$K,0),MATCH(X$2,indexy_SDcast!$2:$2,0)),"#ekrk")),"#popis")</f>
        <v>-18380.726231538698</v>
      </c>
      <c r="Y683" s="362">
        <f>IF($Q683="ekrk",IF($R683="data",IFERROR(INDEX(data!$A:$ALL,MATCH($M683,data!$A:$A,0),MATCH(Y$2,data!$1:$1,0)),"#data"),IFERROR(X683*INDEX(indexy_SDcast!$A:$ALI,MATCH($R683,indexy_SDcast!$K:$K,0),MATCH(Y$2,indexy_SDcast!$2:$2,0)),"#ekrk")),"#popis")</f>
        <v>-24866.328069134197</v>
      </c>
    </row>
    <row r="684" spans="1:25" x14ac:dyDescent="0.25">
      <c r="A684" s="330">
        <v>717002</v>
      </c>
      <c r="B684" s="329">
        <v>-17285.318389999982</v>
      </c>
      <c r="C684" s="157"/>
      <c r="D684" s="330">
        <v>717002</v>
      </c>
      <c r="E684" s="329">
        <v>-17285.318389999982</v>
      </c>
      <c r="F684" s="157"/>
      <c r="G684" s="330">
        <v>717002</v>
      </c>
      <c r="H684" s="329">
        <v>-17285.318389999982</v>
      </c>
      <c r="I684" s="157"/>
      <c r="J684" s="330">
        <v>717002</v>
      </c>
      <c r="K684" s="329">
        <v>-17285.318389999982</v>
      </c>
      <c r="L684" s="157"/>
      <c r="M684" s="360">
        <f t="shared" si="70"/>
        <v>717002</v>
      </c>
      <c r="N684" s="237">
        <f t="shared" si="71"/>
        <v>-17285.318389999982</v>
      </c>
      <c r="O684" s="361"/>
      <c r="P684" s="361"/>
      <c r="Q684" s="361" t="s">
        <v>698</v>
      </c>
      <c r="R684" s="362">
        <v>35</v>
      </c>
      <c r="S684" s="236"/>
      <c r="T684" s="364">
        <f t="shared" si="68"/>
        <v>717002</v>
      </c>
      <c r="U684" s="365">
        <f t="shared" si="69"/>
        <v>-17285.318389999982</v>
      </c>
      <c r="V684" s="365">
        <f>IF($Q684="ekrk",IF($R684="data",IFERROR(INDEX(data!$A:$ALL,MATCH($M684,data!$A:$A,0),MATCH(V$2,data!$1:$1,0)),"#data"),IFERROR(U684*INDEX(indexy_SDcast!$A:$ALI,MATCH($R684,indexy_SDcast!$K:$K,0),MATCH(V$2,indexy_SDcast!$2:$2,0)),"#ekrk")),"#popis")</f>
        <v>-22129.220210184259</v>
      </c>
      <c r="W684" s="365">
        <f>IF($Q684="ekrk",IF($R684="data",IFERROR(INDEX(data!$A:$ALL,MATCH($M684,data!$A:$A,0),MATCH(W$2,data!$1:$1,0)),"#data"),IFERROR(V684*INDEX(indexy_SDcast!$A:$ALI,MATCH($R684,indexy_SDcast!$K:$K,0),MATCH(W$2,indexy_SDcast!$2:$2,0)),"#ekrk")),"#popis")</f>
        <v>-22377.981538988613</v>
      </c>
      <c r="X684" s="365">
        <f>IF($Q684="ekrk",IF($R684="data",IFERROR(INDEX(data!$A:$ALL,MATCH($M684,data!$A:$A,0),MATCH(X$2,data!$1:$1,0)),"#data"),IFERROR(W684*INDEX(indexy_SDcast!$A:$ALI,MATCH($R684,indexy_SDcast!$K:$K,0),MATCH(X$2,indexy_SDcast!$2:$2,0)),"#ekrk")),"#popis")</f>
        <v>-14373.959136634954</v>
      </c>
      <c r="Y684" s="362">
        <f>IF($Q684="ekrk",IF($R684="data",IFERROR(INDEX(data!$A:$ALL,MATCH($M684,data!$A:$A,0),MATCH(Y$2,data!$1:$1,0)),"#data"),IFERROR(X684*INDEX(indexy_SDcast!$A:$ALI,MATCH($R684,indexy_SDcast!$K:$K,0),MATCH(Y$2,indexy_SDcast!$2:$2,0)),"#ekrk")),"#popis")</f>
        <v>-19445.781360401259</v>
      </c>
    </row>
    <row r="685" spans="1:25" x14ac:dyDescent="0.25">
      <c r="A685" s="330">
        <v>717003</v>
      </c>
      <c r="B685" s="329">
        <v>-1098.4299300000005</v>
      </c>
      <c r="C685" s="157"/>
      <c r="D685" s="330">
        <v>717003</v>
      </c>
      <c r="E685" s="329">
        <v>-1098.4299300000005</v>
      </c>
      <c r="F685" s="157"/>
      <c r="G685" s="330">
        <v>717003</v>
      </c>
      <c r="H685" s="329">
        <v>-1098.4299300000005</v>
      </c>
      <c r="I685" s="157"/>
      <c r="J685" s="330">
        <v>717003</v>
      </c>
      <c r="K685" s="329">
        <v>-1098.4299300000005</v>
      </c>
      <c r="L685" s="157"/>
      <c r="M685" s="360">
        <f t="shared" si="70"/>
        <v>717003</v>
      </c>
      <c r="N685" s="237">
        <f t="shared" si="71"/>
        <v>-1098.4299300000005</v>
      </c>
      <c r="O685" s="361"/>
      <c r="P685" s="361"/>
      <c r="Q685" s="361" t="s">
        <v>698</v>
      </c>
      <c r="R685" s="362">
        <v>35</v>
      </c>
      <c r="S685" s="236"/>
      <c r="T685" s="364">
        <f t="shared" si="68"/>
        <v>717003</v>
      </c>
      <c r="U685" s="365">
        <f t="shared" si="69"/>
        <v>-1098.4299300000005</v>
      </c>
      <c r="V685" s="365">
        <f>IF($Q685="ekrk",IF($R685="data",IFERROR(INDEX(data!$A:$ALL,MATCH($M685,data!$A:$A,0),MATCH(V$2,data!$1:$1,0)),"#data"),IFERROR(U685*INDEX(indexy_SDcast!$A:$ALI,MATCH($R685,indexy_SDcast!$K:$K,0),MATCH(V$2,indexy_SDcast!$2:$2,0)),"#ekrk")),"#popis")</f>
        <v>-1406.2453035571373</v>
      </c>
      <c r="W685" s="365">
        <f>IF($Q685="ekrk",IF($R685="data",IFERROR(INDEX(data!$A:$ALL,MATCH($M685,data!$A:$A,0),MATCH(W$2,data!$1:$1,0)),"#data"),IFERROR(V685*INDEX(indexy_SDcast!$A:$ALI,MATCH($R685,indexy_SDcast!$K:$K,0),MATCH(W$2,indexy_SDcast!$2:$2,0)),"#ekrk")),"#popis")</f>
        <v>-1422.0533368730498</v>
      </c>
      <c r="X685" s="365">
        <f>IF($Q685="ekrk",IF($R685="data",IFERROR(INDEX(data!$A:$ALL,MATCH($M685,data!$A:$A,0),MATCH(X$2,data!$1:$1,0)),"#data"),IFERROR(W685*INDEX(indexy_SDcast!$A:$ALI,MATCH($R685,indexy_SDcast!$K:$K,0),MATCH(X$2,indexy_SDcast!$2:$2,0)),"#ekrk")),"#popis")</f>
        <v>-913.42181682988473</v>
      </c>
      <c r="Y685" s="362">
        <f>IF($Q685="ekrk",IF($R685="data",IFERROR(INDEX(data!$A:$ALL,MATCH($M685,data!$A:$A,0),MATCH(Y$2,data!$1:$1,0)),"#data"),IFERROR(X685*INDEX(indexy_SDcast!$A:$ALI,MATCH($R685,indexy_SDcast!$K:$K,0),MATCH(Y$2,indexy_SDcast!$2:$2,0)),"#ekrk")),"#popis")</f>
        <v>-1235.7208456662333</v>
      </c>
    </row>
    <row r="686" spans="1:25" x14ac:dyDescent="0.25">
      <c r="A686" s="330">
        <v>718002</v>
      </c>
      <c r="B686" s="329">
        <v>-134.01516000000001</v>
      </c>
      <c r="C686" s="157"/>
      <c r="D686" s="330">
        <v>718002</v>
      </c>
      <c r="E686" s="329">
        <v>-134.01516000000001</v>
      </c>
      <c r="F686" s="157"/>
      <c r="G686" s="330">
        <v>718002</v>
      </c>
      <c r="H686" s="329">
        <v>-134.01516000000001</v>
      </c>
      <c r="I686" s="157"/>
      <c r="J686" s="330">
        <v>718002</v>
      </c>
      <c r="K686" s="329">
        <v>-134.01516000000001</v>
      </c>
      <c r="L686" s="157"/>
      <c r="M686" s="360">
        <f t="shared" si="70"/>
        <v>718002</v>
      </c>
      <c r="N686" s="237">
        <f t="shared" si="71"/>
        <v>-134.01516000000001</v>
      </c>
      <c r="O686" s="361"/>
      <c r="P686" s="361"/>
      <c r="Q686" s="361" t="s">
        <v>698</v>
      </c>
      <c r="R686" s="362">
        <v>35</v>
      </c>
      <c r="S686" s="236"/>
      <c r="T686" s="364">
        <f t="shared" si="68"/>
        <v>718002</v>
      </c>
      <c r="U686" s="365">
        <f t="shared" si="69"/>
        <v>-134.01516000000001</v>
      </c>
      <c r="V686" s="365">
        <f>IF($Q686="ekrk",IF($R686="data",IFERROR(INDEX(data!$A:$ALL,MATCH($M686,data!$A:$A,0),MATCH(V$2,data!$1:$1,0)),"#data"),IFERROR(U686*INDEX(indexy_SDcast!$A:$ALI,MATCH($R686,indexy_SDcast!$K:$K,0),MATCH(V$2,indexy_SDcast!$2:$2,0)),"#ekrk")),"#popis")</f>
        <v>-171.57051552251335</v>
      </c>
      <c r="W686" s="365">
        <f>IF($Q686="ekrk",IF($R686="data",IFERROR(INDEX(data!$A:$ALL,MATCH($M686,data!$A:$A,0),MATCH(W$2,data!$1:$1,0)),"#data"),IFERROR(V686*INDEX(indexy_SDcast!$A:$ALI,MATCH($R686,indexy_SDcast!$K:$K,0),MATCH(W$2,indexy_SDcast!$2:$2,0)),"#ekrk")),"#popis")</f>
        <v>-173.4991921328797</v>
      </c>
      <c r="X686" s="365">
        <f>IF($Q686="ekrk",IF($R686="data",IFERROR(INDEX(data!$A:$ALL,MATCH($M686,data!$A:$A,0),MATCH(X$2,data!$1:$1,0)),"#data"),IFERROR(W686*INDEX(indexy_SDcast!$A:$ALI,MATCH($R686,indexy_SDcast!$K:$K,0),MATCH(X$2,indexy_SDcast!$2:$2,0)),"#ekrk")),"#popis")</f>
        <v>-111.44304027654057</v>
      </c>
      <c r="Y686" s="362">
        <f>IF($Q686="ekrk",IF($R686="data",IFERROR(INDEX(data!$A:$ALL,MATCH($M686,data!$A:$A,0),MATCH(Y$2,data!$1:$1,0)),"#data"),IFERROR(X686*INDEX(indexy_SDcast!$A:$ALI,MATCH($R686,indexy_SDcast!$K:$K,0),MATCH(Y$2,indexy_SDcast!$2:$2,0)),"#ekrk")),"#popis")</f>
        <v>-150.76549020044956</v>
      </c>
    </row>
    <row r="687" spans="1:25" x14ac:dyDescent="0.25">
      <c r="A687" s="330">
        <v>718004</v>
      </c>
      <c r="B687" s="329">
        <v>-17.372160000000001</v>
      </c>
      <c r="C687" s="157"/>
      <c r="D687" s="330">
        <v>718004</v>
      </c>
      <c r="E687" s="329">
        <v>-17.372160000000001</v>
      </c>
      <c r="F687" s="157"/>
      <c r="G687" s="330">
        <v>718004</v>
      </c>
      <c r="H687" s="329">
        <v>-17.372160000000001</v>
      </c>
      <c r="I687" s="157"/>
      <c r="J687" s="330">
        <v>718004</v>
      </c>
      <c r="K687" s="329">
        <v>-17.372160000000001</v>
      </c>
      <c r="L687" s="157"/>
      <c r="M687" s="360">
        <f t="shared" si="70"/>
        <v>718004</v>
      </c>
      <c r="N687" s="237">
        <f t="shared" si="71"/>
        <v>-17.372160000000001</v>
      </c>
      <c r="O687" s="361"/>
      <c r="P687" s="361"/>
      <c r="Q687" s="361" t="s">
        <v>698</v>
      </c>
      <c r="R687" s="362">
        <v>35</v>
      </c>
      <c r="S687" s="236"/>
      <c r="T687" s="364">
        <f t="shared" si="68"/>
        <v>718004</v>
      </c>
      <c r="U687" s="365">
        <f t="shared" si="69"/>
        <v>-17.372160000000001</v>
      </c>
      <c r="V687" s="365">
        <f>IF($Q687="ekrk",IF($R687="data",IFERROR(INDEX(data!$A:$ALL,MATCH($M687,data!$A:$A,0),MATCH(V$2,data!$1:$1,0)),"#data"),IFERROR(U687*INDEX(indexy_SDcast!$A:$ALI,MATCH($R687,indexy_SDcast!$K:$K,0),MATCH(V$2,indexy_SDcast!$2:$2,0)),"#ekrk")),"#popis")</f>
        <v>-22.240397630682867</v>
      </c>
      <c r="W687" s="365">
        <f>IF($Q687="ekrk",IF($R687="data",IFERROR(INDEX(data!$A:$ALL,MATCH($M687,data!$A:$A,0),MATCH(W$2,data!$1:$1,0)),"#data"),IFERROR(V687*INDEX(indexy_SDcast!$A:$ALI,MATCH($R687,indexy_SDcast!$K:$K,0),MATCH(W$2,indexy_SDcast!$2:$2,0)),"#ekrk")),"#popis")</f>
        <v>-22.490408738855567</v>
      </c>
      <c r="X687" s="365">
        <f>IF($Q687="ekrk",IF($R687="data",IFERROR(INDEX(data!$A:$ALL,MATCH($M687,data!$A:$A,0),MATCH(X$2,data!$1:$1,0)),"#data"),IFERROR(W687*INDEX(indexy_SDcast!$A:$ALI,MATCH($R687,indexy_SDcast!$K:$K,0),MATCH(X$2,indexy_SDcast!$2:$2,0)),"#ekrk")),"#popis")</f>
        <v>-14.446174049044204</v>
      </c>
      <c r="Y687" s="362">
        <f>IF($Q687="ekrk",IF($R687="data",IFERROR(INDEX(data!$A:$ALL,MATCH($M687,data!$A:$A,0),MATCH(Y$2,data!$1:$1,0)),"#data"),IFERROR(X687*INDEX(indexy_SDcast!$A:$ALI,MATCH($R687,indexy_SDcast!$K:$K,0),MATCH(Y$2,indexy_SDcast!$2:$2,0)),"#ekrk")),"#popis")</f>
        <v>-19.543477157663666</v>
      </c>
    </row>
    <row r="688" spans="1:25" x14ac:dyDescent="0.25">
      <c r="A688" s="330">
        <v>718007</v>
      </c>
      <c r="B688" s="329">
        <v>-76.74512</v>
      </c>
      <c r="C688" s="157"/>
      <c r="D688" s="330">
        <v>718007</v>
      </c>
      <c r="E688" s="329">
        <v>-76.74512</v>
      </c>
      <c r="F688" s="157"/>
      <c r="G688" s="330">
        <v>718007</v>
      </c>
      <c r="H688" s="329">
        <v>-76.74512</v>
      </c>
      <c r="I688" s="157"/>
      <c r="J688" s="330">
        <v>718007</v>
      </c>
      <c r="K688" s="329">
        <v>-76.74512</v>
      </c>
      <c r="L688" s="157"/>
      <c r="M688" s="360">
        <f t="shared" si="70"/>
        <v>718007</v>
      </c>
      <c r="N688" s="237">
        <f t="shared" si="71"/>
        <v>-76.74512</v>
      </c>
      <c r="O688" s="361"/>
      <c r="P688" s="361"/>
      <c r="Q688" s="361" t="s">
        <v>698</v>
      </c>
      <c r="R688" s="362">
        <v>35</v>
      </c>
      <c r="S688" s="236"/>
      <c r="T688" s="364">
        <f t="shared" si="68"/>
        <v>718007</v>
      </c>
      <c r="U688" s="365">
        <f t="shared" si="69"/>
        <v>-76.74512</v>
      </c>
      <c r="V688" s="365">
        <f>IF($Q688="ekrk",IF($R688="data",IFERROR(INDEX(data!$A:$ALL,MATCH($M688,data!$A:$A,0),MATCH(V$2,data!$1:$1,0)),"#data"),IFERROR(U688*INDEX(indexy_SDcast!$A:$ALI,MATCH($R688,indexy_SDcast!$K:$K,0),MATCH(V$2,indexy_SDcast!$2:$2,0)),"#ekrk")),"#popis")</f>
        <v>-98.251569466000319</v>
      </c>
      <c r="W688" s="365">
        <f>IF($Q688="ekrk",IF($R688="data",IFERROR(INDEX(data!$A:$ALL,MATCH($M688,data!$A:$A,0),MATCH(W$2,data!$1:$1,0)),"#data"),IFERROR(V688*INDEX(indexy_SDcast!$A:$ALI,MATCH($R688,indexy_SDcast!$K:$K,0),MATCH(W$2,indexy_SDcast!$2:$2,0)),"#ekrk")),"#popis")</f>
        <v>-99.356045391737069</v>
      </c>
      <c r="X688" s="365">
        <f>IF($Q688="ekrk",IF($R688="data",IFERROR(INDEX(data!$A:$ALL,MATCH($M688,data!$A:$A,0),MATCH(X$2,data!$1:$1,0)),"#data"),IFERROR(W688*INDEX(indexy_SDcast!$A:$ALI,MATCH($R688,indexy_SDcast!$K:$K,0),MATCH(X$2,indexy_SDcast!$2:$2,0)),"#ekrk")),"#popis")</f>
        <v>-63.818970176119912</v>
      </c>
      <c r="Y688" s="362">
        <f>IF($Q688="ekrk",IF($R688="data",IFERROR(INDEX(data!$A:$ALL,MATCH($M688,data!$A:$A,0),MATCH(Y$2,data!$1:$1,0)),"#data"),IFERROR(X688*INDEX(indexy_SDcast!$A:$ALI,MATCH($R688,indexy_SDcast!$K:$K,0),MATCH(Y$2,indexy_SDcast!$2:$2,0)),"#ekrk")),"#popis")</f>
        <v>-86.337363901907239</v>
      </c>
    </row>
    <row r="689" spans="1:44" x14ac:dyDescent="0.25">
      <c r="A689" s="330">
        <v>719014</v>
      </c>
      <c r="B689" s="329">
        <v>-58.071039999999996</v>
      </c>
      <c r="C689" s="157"/>
      <c r="D689" s="330">
        <v>719014</v>
      </c>
      <c r="E689" s="329">
        <v>-58.071039999999996</v>
      </c>
      <c r="F689" s="157"/>
      <c r="G689" s="330">
        <v>719014</v>
      </c>
      <c r="H689" s="329">
        <v>-58.071039999999996</v>
      </c>
      <c r="I689" s="157"/>
      <c r="J689" s="330">
        <v>719014</v>
      </c>
      <c r="K689" s="329">
        <v>-58.071039999999996</v>
      </c>
      <c r="L689" s="157"/>
      <c r="M689" s="360">
        <f t="shared" si="70"/>
        <v>719014</v>
      </c>
      <c r="N689" s="237">
        <f t="shared" si="71"/>
        <v>-58.071039999999996</v>
      </c>
      <c r="O689" s="361"/>
      <c r="P689" s="361"/>
      <c r="Q689" s="361" t="s">
        <v>698</v>
      </c>
      <c r="R689" s="362">
        <v>35</v>
      </c>
      <c r="S689" s="236"/>
      <c r="T689" s="364">
        <f t="shared" si="68"/>
        <v>719014</v>
      </c>
      <c r="U689" s="365">
        <f t="shared" si="69"/>
        <v>-58.071039999999996</v>
      </c>
      <c r="V689" s="365">
        <f>IF($Q689="ekrk",IF($R689="data",IFERROR(INDEX(data!$A:$ALL,MATCH($M689,data!$A:$A,0),MATCH(V$2,data!$1:$1,0)),"#data"),IFERROR(U689*INDEX(indexy_SDcast!$A:$ALI,MATCH($R689,indexy_SDcast!$K:$K,0),MATCH(V$2,indexy_SDcast!$2:$2,0)),"#ekrk")),"#popis")</f>
        <v>-74.344412003302395</v>
      </c>
      <c r="W689" s="365">
        <f>IF($Q689="ekrk",IF($R689="data",IFERROR(INDEX(data!$A:$ALL,MATCH($M689,data!$A:$A,0),MATCH(W$2,data!$1:$1,0)),"#data"),IFERROR(V689*INDEX(indexy_SDcast!$A:$ALI,MATCH($R689,indexy_SDcast!$K:$K,0),MATCH(W$2,indexy_SDcast!$2:$2,0)),"#ekrk")),"#popis")</f>
        <v>-75.180140264102505</v>
      </c>
      <c r="X689" s="365">
        <f>IF($Q689="ekrk",IF($R689="data",IFERROR(INDEX(data!$A:$ALL,MATCH($M689,data!$A:$A,0),MATCH(X$2,data!$1:$1,0)),"#data"),IFERROR(W689*INDEX(indexy_SDcast!$A:$ALI,MATCH($R689,indexy_SDcast!$K:$K,0),MATCH(X$2,indexy_SDcast!$2:$2,0)),"#ekrk")),"#popis")</f>
        <v>-48.2901579912347</v>
      </c>
      <c r="Y689" s="362">
        <f>IF($Q689="ekrk",IF($R689="data",IFERROR(INDEX(data!$A:$ALL,MATCH($M689,data!$A:$A,0),MATCH(Y$2,data!$1:$1,0)),"#data"),IFERROR(X689*INDEX(indexy_SDcast!$A:$ALI,MATCH($R689,indexy_SDcast!$K:$K,0),MATCH(Y$2,indexy_SDcast!$2:$2,0)),"#ekrk")),"#popis")</f>
        <v>-65.329241945835918</v>
      </c>
    </row>
    <row r="690" spans="1:44" s="18" customFormat="1" x14ac:dyDescent="0.25">
      <c r="A690" s="333" t="s">
        <v>755</v>
      </c>
      <c r="B690" s="334">
        <v>-3567.1473700000001</v>
      </c>
      <c r="C690" s="164"/>
      <c r="D690" s="333" t="s">
        <v>755</v>
      </c>
      <c r="E690" s="334">
        <v>-3567.1473700000001</v>
      </c>
      <c r="F690" s="164"/>
      <c r="G690" s="333" t="s">
        <v>755</v>
      </c>
      <c r="H690" s="334">
        <v>-3567.1473700000001</v>
      </c>
      <c r="I690" s="164"/>
      <c r="J690" s="333" t="s">
        <v>755</v>
      </c>
      <c r="K690" s="334">
        <v>-3567.1473700000001</v>
      </c>
      <c r="L690" s="164"/>
      <c r="M690" s="358" t="str">
        <f t="shared" si="70"/>
        <v>P5112</v>
      </c>
      <c r="N690" s="239">
        <f t="shared" si="71"/>
        <v>-3567.1473700000001</v>
      </c>
      <c r="O690" s="243"/>
      <c r="P690" s="243">
        <f>MATCH(Q690,Q691:Q$1550,0)</f>
        <v>3</v>
      </c>
      <c r="Q690" s="243" t="s">
        <v>697</v>
      </c>
      <c r="R690" s="359" t="str">
        <f>IF(Q690="ekrk",INDEX(indexy_SDcast!$A:$C,MATCH($M690,indexy_SDcast!$A:$A,0),2),"")</f>
        <v/>
      </c>
      <c r="S690" s="240"/>
      <c r="T690" s="363" t="str">
        <f t="shared" si="68"/>
        <v>P5112</v>
      </c>
      <c r="U690" s="244">
        <f>SUM(U691:U692)</f>
        <v>-3567.1473700000001</v>
      </c>
      <c r="V690" s="244">
        <f>SUM(V691:V692)</f>
        <v>-4566.7767229892324</v>
      </c>
      <c r="W690" s="244">
        <f>SUM(W691:W692)</f>
        <v>-4618.1132560967471</v>
      </c>
      <c r="X690" s="244">
        <f>SUM(X691:X692)</f>
        <v>-2966.3341671738167</v>
      </c>
      <c r="Y690" s="359">
        <f>SUM(Y691:Y692)</f>
        <v>-4012.9991402114092</v>
      </c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8"/>
      <c r="AN690" s="58"/>
      <c r="AO690" s="58"/>
      <c r="AP690" s="58"/>
      <c r="AQ690" s="58"/>
      <c r="AR690" s="58"/>
    </row>
    <row r="691" spans="1:44" x14ac:dyDescent="0.25">
      <c r="A691" s="330">
        <v>712001</v>
      </c>
      <c r="B691" s="329">
        <v>-3523.5727200000001</v>
      </c>
      <c r="C691" s="157"/>
      <c r="D691" s="330">
        <v>712001</v>
      </c>
      <c r="E691" s="329">
        <v>-3523.5727200000001</v>
      </c>
      <c r="F691" s="157"/>
      <c r="G691" s="330">
        <v>712001</v>
      </c>
      <c r="H691" s="329">
        <v>-3523.5727200000001</v>
      </c>
      <c r="I691" s="157"/>
      <c r="J691" s="330">
        <v>712001</v>
      </c>
      <c r="K691" s="329">
        <v>-3523.5727200000001</v>
      </c>
      <c r="L691" s="157"/>
      <c r="M691" s="360">
        <f t="shared" si="70"/>
        <v>712001</v>
      </c>
      <c r="N691" s="237">
        <f t="shared" si="71"/>
        <v>-3523.5727200000001</v>
      </c>
      <c r="O691" s="361"/>
      <c r="P691" s="361"/>
      <c r="Q691" s="361" t="s">
        <v>698</v>
      </c>
      <c r="R691" s="362">
        <v>35</v>
      </c>
      <c r="S691" s="236"/>
      <c r="T691" s="364">
        <f t="shared" si="68"/>
        <v>712001</v>
      </c>
      <c r="U691" s="365">
        <f>N691</f>
        <v>-3523.5727200000001</v>
      </c>
      <c r="V691" s="365">
        <f>IF($Q691="ekrk",IF($R691="data",IFERROR(INDEX(data!$A:$ALL,MATCH($M691,data!$A:$A,0),MATCH(V$2,data!$1:$1,0)),"#data"),IFERROR(U691*INDEX(indexy_SDcast!$A:$ALI,MATCH($R691,indexy_SDcast!$K:$K,0),MATCH(V$2,indexy_SDcast!$2:$2,0)),"#ekrk")),"#popis")</f>
        <v>-4510.9910554258531</v>
      </c>
      <c r="W691" s="365">
        <f>IF($Q691="ekrk",IF($R691="data",IFERROR(INDEX(data!$A:$ALL,MATCH($M691,data!$A:$A,0),MATCH(W$2,data!$1:$1,0)),"#data"),IFERROR(V691*INDEX(indexy_SDcast!$A:$ALI,MATCH($R691,indexy_SDcast!$K:$K,0),MATCH(W$2,indexy_SDcast!$2:$2,0)),"#ekrk")),"#popis")</f>
        <v>-4561.7004847918215</v>
      </c>
      <c r="X691" s="365">
        <f>IF($Q691="ekrk",IF($R691="data",IFERROR(INDEX(data!$A:$ALL,MATCH($M691,data!$A:$A,0),MATCH(X$2,data!$1:$1,0)),"#data"),IFERROR(W691*INDEX(indexy_SDcast!$A:$ALI,MATCH($R691,indexy_SDcast!$K:$K,0),MATCH(X$2,indexy_SDcast!$2:$2,0)),"#ekrk")),"#popis")</f>
        <v>-2930.0987780209316</v>
      </c>
      <c r="Y691" s="362">
        <f>IF($Q691="ekrk",IF($R691="data",IFERROR(INDEX(data!$A:$ALL,MATCH($M691,data!$A:$A,0),MATCH(Y$2,data!$1:$1,0)),"#data"),IFERROR(X691*INDEX(indexy_SDcast!$A:$ALI,MATCH($R691,indexy_SDcast!$K:$K,0),MATCH(Y$2,indexy_SDcast!$2:$2,0)),"#ekrk")),"#popis")</f>
        <v>-3963.9781677515543</v>
      </c>
    </row>
    <row r="692" spans="1:44" x14ac:dyDescent="0.25">
      <c r="A692" s="330">
        <v>712002</v>
      </c>
      <c r="B692" s="329">
        <v>-43.574649999999998</v>
      </c>
      <c r="C692" s="157"/>
      <c r="D692" s="330">
        <v>712002</v>
      </c>
      <c r="E692" s="329">
        <v>-43.574649999999998</v>
      </c>
      <c r="F692" s="157"/>
      <c r="G692" s="330">
        <v>712002</v>
      </c>
      <c r="H692" s="329">
        <v>-43.574649999999998</v>
      </c>
      <c r="I692" s="157"/>
      <c r="J692" s="330">
        <v>712002</v>
      </c>
      <c r="K692" s="329">
        <v>-43.574649999999998</v>
      </c>
      <c r="L692" s="157"/>
      <c r="M692" s="360">
        <f t="shared" si="70"/>
        <v>712002</v>
      </c>
      <c r="N692" s="237">
        <f t="shared" si="71"/>
        <v>-43.574649999999998</v>
      </c>
      <c r="O692" s="361"/>
      <c r="P692" s="361"/>
      <c r="Q692" s="361" t="s">
        <v>698</v>
      </c>
      <c r="R692" s="362">
        <v>35</v>
      </c>
      <c r="S692" s="236"/>
      <c r="T692" s="364">
        <f t="shared" si="68"/>
        <v>712002</v>
      </c>
      <c r="U692" s="365">
        <f>N692</f>
        <v>-43.574649999999998</v>
      </c>
      <c r="V692" s="365">
        <f>IF($Q692="ekrk",IF($R692="data",IFERROR(INDEX(data!$A:$ALL,MATCH($M692,data!$A:$A,0),MATCH(V$2,data!$1:$1,0)),"#data"),IFERROR(U692*INDEX(indexy_SDcast!$A:$ALI,MATCH($R692,indexy_SDcast!$K:$K,0),MATCH(V$2,indexy_SDcast!$2:$2,0)),"#ekrk")),"#popis")</f>
        <v>-55.785667563379285</v>
      </c>
      <c r="W692" s="365">
        <f>IF($Q692="ekrk",IF($R692="data",IFERROR(INDEX(data!$A:$ALL,MATCH($M692,data!$A:$A,0),MATCH(W$2,data!$1:$1,0)),"#data"),IFERROR(V692*INDEX(indexy_SDcast!$A:$ALI,MATCH($R692,indexy_SDcast!$K:$K,0),MATCH(W$2,indexy_SDcast!$2:$2,0)),"#ekrk")),"#popis")</f>
        <v>-56.412771304925393</v>
      </c>
      <c r="X692" s="365">
        <f>IF($Q692="ekrk",IF($R692="data",IFERROR(INDEX(data!$A:$ALL,MATCH($M692,data!$A:$A,0),MATCH(X$2,data!$1:$1,0)),"#data"),IFERROR(W692*INDEX(indexy_SDcast!$A:$ALI,MATCH($R692,indexy_SDcast!$K:$K,0),MATCH(X$2,indexy_SDcast!$2:$2,0)),"#ekrk")),"#popis")</f>
        <v>-36.235389152885077</v>
      </c>
      <c r="Y692" s="362">
        <f>IF($Q692="ekrk",IF($R692="data",IFERROR(INDEX(data!$A:$ALL,MATCH($M692,data!$A:$A,0),MATCH(Y$2,data!$1:$1,0)),"#data"),IFERROR(X692*INDEX(indexy_SDcast!$A:$ALI,MATCH($R692,indexy_SDcast!$K:$K,0),MATCH(Y$2,indexy_SDcast!$2:$2,0)),"#ekrk")),"#popis")</f>
        <v>-49.020972459854676</v>
      </c>
    </row>
    <row r="693" spans="1:44" s="18" customFormat="1" x14ac:dyDescent="0.25">
      <c r="A693" s="333" t="s">
        <v>756</v>
      </c>
      <c r="B693" s="334">
        <v>5.5565600000000002</v>
      </c>
      <c r="C693" s="164"/>
      <c r="D693" s="333" t="s">
        <v>756</v>
      </c>
      <c r="E693" s="334">
        <v>5.5565600000000002</v>
      </c>
      <c r="F693" s="164"/>
      <c r="G693" s="333" t="s">
        <v>756</v>
      </c>
      <c r="H693" s="334">
        <v>5.5565600000000002</v>
      </c>
      <c r="I693" s="164"/>
      <c r="J693" s="333" t="s">
        <v>756</v>
      </c>
      <c r="K693" s="334">
        <v>5.5565600000000002</v>
      </c>
      <c r="L693" s="164"/>
      <c r="M693" s="358" t="str">
        <f t="shared" si="70"/>
        <v>P5113</v>
      </c>
      <c r="N693" s="239">
        <f t="shared" si="71"/>
        <v>5.5565600000000002</v>
      </c>
      <c r="O693" s="243"/>
      <c r="P693" s="243">
        <f>MATCH(Q693,Q694:Q$1550,0)</f>
        <v>2</v>
      </c>
      <c r="Q693" s="243" t="s">
        <v>697</v>
      </c>
      <c r="R693" s="359" t="str">
        <f>IF(Q693="ekrk",INDEX(indexy_SDcast!$A:$C,MATCH($M693,indexy_SDcast!$A:$A,0),2),"")</f>
        <v/>
      </c>
      <c r="S693" s="240"/>
      <c r="T693" s="363" t="str">
        <f t="shared" si="68"/>
        <v>P5113</v>
      </c>
      <c r="U693" s="244">
        <f>SUM(U694:U694)</f>
        <v>5.5565600000000002</v>
      </c>
      <c r="V693" s="244">
        <f>SUM(V694:V694)</f>
        <v>7.1136867182173766</v>
      </c>
      <c r="W693" s="244">
        <f>SUM(W694:W694)</f>
        <v>7.193653845116283</v>
      </c>
      <c r="X693" s="244">
        <f>SUM(X694:X694)</f>
        <v>4.620670824696357</v>
      </c>
      <c r="Y693" s="359">
        <f>SUM(Y694:Y694)</f>
        <v>6.2510651200073921</v>
      </c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8"/>
      <c r="AN693" s="58"/>
      <c r="AO693" s="58"/>
      <c r="AP693" s="58"/>
      <c r="AQ693" s="58"/>
      <c r="AR693" s="58"/>
    </row>
    <row r="694" spans="1:44" x14ac:dyDescent="0.25">
      <c r="A694" s="330">
        <v>239002</v>
      </c>
      <c r="B694" s="329">
        <v>5.5565600000000002</v>
      </c>
      <c r="C694" s="157"/>
      <c r="D694" s="330">
        <v>239002</v>
      </c>
      <c r="E694" s="329">
        <v>5.5565600000000002</v>
      </c>
      <c r="F694" s="157"/>
      <c r="G694" s="330">
        <v>239002</v>
      </c>
      <c r="H694" s="329">
        <v>5.5565600000000002</v>
      </c>
      <c r="I694" s="157"/>
      <c r="J694" s="330">
        <v>239002</v>
      </c>
      <c r="K694" s="329">
        <v>5.5565600000000002</v>
      </c>
      <c r="L694" s="157"/>
      <c r="M694" s="360">
        <f t="shared" si="70"/>
        <v>239002</v>
      </c>
      <c r="N694" s="237">
        <f t="shared" si="71"/>
        <v>5.5565600000000002</v>
      </c>
      <c r="O694" s="361"/>
      <c r="P694" s="361"/>
      <c r="Q694" s="361" t="s">
        <v>698</v>
      </c>
      <c r="R694" s="362">
        <v>35</v>
      </c>
      <c r="S694" s="236"/>
      <c r="T694" s="364">
        <f t="shared" si="68"/>
        <v>239002</v>
      </c>
      <c r="U694" s="365">
        <f>N694</f>
        <v>5.5565600000000002</v>
      </c>
      <c r="V694" s="365">
        <f>IF($Q694="ekrk",IF($R694="data",IFERROR(INDEX(data!$A:$ALL,MATCH($M694,data!$A:$A,0),MATCH(V$2,data!$1:$1,0)),"#data"),IFERROR(U694*INDEX(indexy_SDcast!$A:$ALI,MATCH($R694,indexy_SDcast!$K:$K,0),MATCH(V$2,indexy_SDcast!$2:$2,0)),"#ekrk")),"#popis")</f>
        <v>7.1136867182173766</v>
      </c>
      <c r="W694" s="365">
        <f>IF($Q694="ekrk",IF($R694="data",IFERROR(INDEX(data!$A:$ALL,MATCH($M694,data!$A:$A,0),MATCH(W$2,data!$1:$1,0)),"#data"),IFERROR(V694*INDEX(indexy_SDcast!$A:$ALI,MATCH($R694,indexy_SDcast!$K:$K,0),MATCH(W$2,indexy_SDcast!$2:$2,0)),"#ekrk")),"#popis")</f>
        <v>7.193653845116283</v>
      </c>
      <c r="X694" s="365">
        <f>IF($Q694="ekrk",IF($R694="data",IFERROR(INDEX(data!$A:$ALL,MATCH($M694,data!$A:$A,0),MATCH(X$2,data!$1:$1,0)),"#data"),IFERROR(W694*INDEX(indexy_SDcast!$A:$ALI,MATCH($R694,indexy_SDcast!$K:$K,0),MATCH(X$2,indexy_SDcast!$2:$2,0)),"#ekrk")),"#popis")</f>
        <v>4.620670824696357</v>
      </c>
      <c r="Y694" s="362">
        <f>IF($Q694="ekrk",IF($R694="data",IFERROR(INDEX(data!$A:$ALL,MATCH($M694,data!$A:$A,0),MATCH(Y$2,data!$1:$1,0)),"#data"),IFERROR(X694*INDEX(indexy_SDcast!$A:$ALI,MATCH($R694,indexy_SDcast!$K:$K,0),MATCH(Y$2,indexy_SDcast!$2:$2,0)),"#ekrk")),"#popis")</f>
        <v>6.2510651200073921</v>
      </c>
    </row>
    <row r="695" spans="1:44" s="18" customFormat="1" x14ac:dyDescent="0.25">
      <c r="A695" s="333" t="s">
        <v>757</v>
      </c>
      <c r="B695" s="334">
        <v>-27111.169079999989</v>
      </c>
      <c r="C695" s="164"/>
      <c r="D695" s="333" t="s">
        <v>757</v>
      </c>
      <c r="E695" s="334">
        <v>-27111.169079999989</v>
      </c>
      <c r="F695" s="164"/>
      <c r="G695" s="333" t="s">
        <v>757</v>
      </c>
      <c r="H695" s="334">
        <v>-27111.169079999989</v>
      </c>
      <c r="I695" s="164"/>
      <c r="J695" s="333" t="s">
        <v>757</v>
      </c>
      <c r="K695" s="334">
        <v>-27111.169079999989</v>
      </c>
      <c r="L695" s="164"/>
      <c r="M695" s="358" t="str">
        <f t="shared" si="70"/>
        <v>P5121</v>
      </c>
      <c r="N695" s="239">
        <f t="shared" si="71"/>
        <v>-27111.169079999989</v>
      </c>
      <c r="O695" s="243"/>
      <c r="P695" s="243">
        <f>MATCH(Q695,Q696:Q$1550,0)</f>
        <v>4</v>
      </c>
      <c r="Q695" s="243" t="s">
        <v>697</v>
      </c>
      <c r="R695" s="359" t="str">
        <f>IF(Q695="ekrk",INDEX(indexy_SDcast!$A:$C,MATCH($M695,indexy_SDcast!$A:$A,0),2),"")</f>
        <v/>
      </c>
      <c r="S695" s="240"/>
      <c r="T695" s="363" t="str">
        <f t="shared" si="68"/>
        <v>P5121</v>
      </c>
      <c r="U695" s="244">
        <f>SUM(U696:U698)</f>
        <v>-27111.169079999989</v>
      </c>
      <c r="V695" s="244">
        <f>SUM(V696:V698)</f>
        <v>-34708.590098863599</v>
      </c>
      <c r="W695" s="244">
        <f>SUM(W696:W698)</f>
        <v>-35098.759969826577</v>
      </c>
      <c r="X695" s="244">
        <f>SUM(X696:X698)</f>
        <v>-22544.84573033782</v>
      </c>
      <c r="Y695" s="359">
        <f>SUM(Y696:Y698)</f>
        <v>-30499.748657192726</v>
      </c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8"/>
      <c r="AN695" s="58"/>
      <c r="AO695" s="58"/>
      <c r="AP695" s="58"/>
      <c r="AQ695" s="58"/>
      <c r="AR695" s="58"/>
    </row>
    <row r="696" spans="1:44" x14ac:dyDescent="0.25">
      <c r="A696" s="330">
        <v>711003</v>
      </c>
      <c r="B696" s="329">
        <v>-26975.510759999986</v>
      </c>
      <c r="C696" s="157"/>
      <c r="D696" s="330">
        <v>711003</v>
      </c>
      <c r="E696" s="329">
        <v>-26975.510759999986</v>
      </c>
      <c r="F696" s="157"/>
      <c r="G696" s="330">
        <v>711003</v>
      </c>
      <c r="H696" s="329">
        <v>-26975.510759999986</v>
      </c>
      <c r="I696" s="157"/>
      <c r="J696" s="330">
        <v>711003</v>
      </c>
      <c r="K696" s="329">
        <v>-26975.510759999986</v>
      </c>
      <c r="L696" s="157"/>
      <c r="M696" s="360">
        <f t="shared" si="70"/>
        <v>711003</v>
      </c>
      <c r="N696" s="237">
        <f t="shared" si="71"/>
        <v>-26975.510759999986</v>
      </c>
      <c r="O696" s="361"/>
      <c r="P696" s="361"/>
      <c r="Q696" s="361" t="s">
        <v>698</v>
      </c>
      <c r="R696" s="362">
        <v>35</v>
      </c>
      <c r="S696" s="236"/>
      <c r="T696" s="364">
        <f t="shared" si="68"/>
        <v>711003</v>
      </c>
      <c r="U696" s="365">
        <f>N696</f>
        <v>-26975.510759999986</v>
      </c>
      <c r="V696" s="365">
        <f>IF($Q696="ekrk",IF($R696="data",IFERROR(INDEX(data!$A:$ALL,MATCH($M696,data!$A:$A,0),MATCH(V$2,data!$1:$1,0)),"#data"),IFERROR(U696*INDEX(indexy_SDcast!$A:$ALI,MATCH($R696,indexy_SDcast!$K:$K,0),MATCH(V$2,indexy_SDcast!$2:$2,0)),"#ekrk")),"#popis")</f>
        <v>-34534.915957092489</v>
      </c>
      <c r="W696" s="365">
        <f>IF($Q696="ekrk",IF($R696="data",IFERROR(INDEX(data!$A:$ALL,MATCH($M696,data!$A:$A,0),MATCH(W$2,data!$1:$1,0)),"#data"),IFERROR(V696*INDEX(indexy_SDcast!$A:$ALI,MATCH($R696,indexy_SDcast!$K:$K,0),MATCH(W$2,indexy_SDcast!$2:$2,0)),"#ekrk")),"#popis")</f>
        <v>-34923.133503939411</v>
      </c>
      <c r="X696" s="365">
        <f>IF($Q696="ekrk",IF($R696="data",IFERROR(INDEX(data!$A:$ALL,MATCH($M696,data!$A:$A,0),MATCH(X$2,data!$1:$1,0)),"#data"),IFERROR(W696*INDEX(indexy_SDcast!$A:$ALI,MATCH($R696,indexy_SDcast!$K:$K,0),MATCH(X$2,indexy_SDcast!$2:$2,0)),"#ekrk")),"#popis")</f>
        <v>-22432.036286841965</v>
      </c>
      <c r="Y696" s="362">
        <f>IF($Q696="ekrk",IF($R696="data",IFERROR(INDEX(data!$A:$ALL,MATCH($M696,data!$A:$A,0),MATCH(Y$2,data!$1:$1,0)),"#data"),IFERROR(X696*INDEX(indexy_SDcast!$A:$ALI,MATCH($R696,indexy_SDcast!$K:$K,0),MATCH(Y$2,indexy_SDcast!$2:$2,0)),"#ekrk")),"#popis")</f>
        <v>-30347.134631178287</v>
      </c>
    </row>
    <row r="697" spans="1:44" x14ac:dyDescent="0.25">
      <c r="A697" s="330">
        <v>711005</v>
      </c>
      <c r="B697" s="329">
        <v>-1.07338</v>
      </c>
      <c r="C697" s="157"/>
      <c r="D697" s="330">
        <v>711005</v>
      </c>
      <c r="E697" s="329">
        <v>-1.07338</v>
      </c>
      <c r="F697" s="157"/>
      <c r="G697" s="330">
        <v>711005</v>
      </c>
      <c r="H697" s="329">
        <v>-1.07338</v>
      </c>
      <c r="I697" s="157"/>
      <c r="J697" s="330">
        <v>711005</v>
      </c>
      <c r="K697" s="329">
        <v>-1.07338</v>
      </c>
      <c r="L697" s="157"/>
      <c r="M697" s="360">
        <f t="shared" si="70"/>
        <v>711005</v>
      </c>
      <c r="N697" s="237">
        <f t="shared" si="71"/>
        <v>-1.07338</v>
      </c>
      <c r="O697" s="361"/>
      <c r="P697" s="361"/>
      <c r="Q697" s="361" t="s">
        <v>698</v>
      </c>
      <c r="R697" s="362">
        <v>35</v>
      </c>
      <c r="S697" s="236"/>
      <c r="T697" s="364">
        <f t="shared" si="68"/>
        <v>711005</v>
      </c>
      <c r="U697" s="365">
        <f>N697</f>
        <v>-1.07338</v>
      </c>
      <c r="V697" s="365">
        <f>IF($Q697="ekrk",IF($R697="data",IFERROR(INDEX(data!$A:$ALL,MATCH($M697,data!$A:$A,0),MATCH(V$2,data!$1:$1,0)),"#data"),IFERROR(U697*INDEX(indexy_SDcast!$A:$ALI,MATCH($R697,indexy_SDcast!$K:$K,0),MATCH(V$2,indexy_SDcast!$2:$2,0)),"#ekrk")),"#popis")</f>
        <v>-1.3741755779835307</v>
      </c>
      <c r="W697" s="365">
        <f>IF($Q697="ekrk",IF($R697="data",IFERROR(INDEX(data!$A:$ALL,MATCH($M697,data!$A:$A,0),MATCH(W$2,data!$1:$1,0)),"#data"),IFERROR(V697*INDEX(indexy_SDcast!$A:$ALI,MATCH($R697,indexy_SDcast!$K:$K,0),MATCH(W$2,indexy_SDcast!$2:$2,0)),"#ekrk")),"#popis")</f>
        <v>-1.3896231057112522</v>
      </c>
      <c r="X697" s="365">
        <f>IF($Q697="ekrk",IF($R697="data",IFERROR(INDEX(data!$A:$ALL,MATCH($M697,data!$A:$A,0),MATCH(X$2,data!$1:$1,0)),"#data"),IFERROR(W697*INDEX(indexy_SDcast!$A:$ALI,MATCH($R697,indexy_SDcast!$K:$K,0),MATCH(X$2,indexy_SDcast!$2:$2,0)),"#ekrk")),"#popis")</f>
        <v>-0.89259103650686311</v>
      </c>
      <c r="Y697" s="362">
        <f>IF($Q697="ekrk",IF($R697="data",IFERROR(INDEX(data!$A:$ALL,MATCH($M697,data!$A:$A,0),MATCH(Y$2,data!$1:$1,0)),"#data"),IFERROR(X697*INDEX(indexy_SDcast!$A:$ALI,MATCH($R697,indexy_SDcast!$K:$K,0),MATCH(Y$2,indexy_SDcast!$2:$2,0)),"#ekrk")),"#popis")</f>
        <v>-1.2075399669064195</v>
      </c>
    </row>
    <row r="698" spans="1:44" x14ac:dyDescent="0.25">
      <c r="A698" s="330">
        <v>718006</v>
      </c>
      <c r="B698" s="329">
        <v>-134.58493999999999</v>
      </c>
      <c r="C698" s="157"/>
      <c r="D698" s="330">
        <v>718006</v>
      </c>
      <c r="E698" s="329">
        <v>-134.58493999999999</v>
      </c>
      <c r="F698" s="157"/>
      <c r="G698" s="330">
        <v>718006</v>
      </c>
      <c r="H698" s="329">
        <v>-134.58493999999999</v>
      </c>
      <c r="I698" s="157"/>
      <c r="J698" s="330">
        <v>718006</v>
      </c>
      <c r="K698" s="329">
        <v>-134.58493999999999</v>
      </c>
      <c r="L698" s="157"/>
      <c r="M698" s="360">
        <f t="shared" si="70"/>
        <v>718006</v>
      </c>
      <c r="N698" s="237">
        <f t="shared" si="71"/>
        <v>-134.58493999999999</v>
      </c>
      <c r="O698" s="361"/>
      <c r="P698" s="361"/>
      <c r="Q698" s="361" t="s">
        <v>698</v>
      </c>
      <c r="R698" s="362">
        <v>35</v>
      </c>
      <c r="S698" s="236"/>
      <c r="T698" s="364">
        <f t="shared" si="68"/>
        <v>718006</v>
      </c>
      <c r="U698" s="365">
        <f>N698</f>
        <v>-134.58493999999999</v>
      </c>
      <c r="V698" s="365">
        <f>IF($Q698="ekrk",IF($R698="data",IFERROR(INDEX(data!$A:$ALL,MATCH($M698,data!$A:$A,0),MATCH(V$2,data!$1:$1,0)),"#data"),IFERROR(U698*INDEX(indexy_SDcast!$A:$ALI,MATCH($R698,indexy_SDcast!$K:$K,0),MATCH(V$2,indexy_SDcast!$2:$2,0)),"#ekrk")),"#popis")</f>
        <v>-172.29996619312712</v>
      </c>
      <c r="W698" s="365">
        <f>IF($Q698="ekrk",IF($R698="data",IFERROR(INDEX(data!$A:$ALL,MATCH($M698,data!$A:$A,0),MATCH(W$2,data!$1:$1,0)),"#data"),IFERROR(V698*INDEX(indexy_SDcast!$A:$ALI,MATCH($R698,indexy_SDcast!$K:$K,0),MATCH(W$2,indexy_SDcast!$2:$2,0)),"#ekrk")),"#popis")</f>
        <v>-174.23684278145905</v>
      </c>
      <c r="X698" s="365">
        <f>IF($Q698="ekrk",IF($R698="data",IFERROR(INDEX(data!$A:$ALL,MATCH($M698,data!$A:$A,0),MATCH(X$2,data!$1:$1,0)),"#data"),IFERROR(W698*INDEX(indexy_SDcast!$A:$ALI,MATCH($R698,indexy_SDcast!$K:$K,0),MATCH(X$2,indexy_SDcast!$2:$2,0)),"#ekrk")),"#popis")</f>
        <v>-111.91685245934707</v>
      </c>
      <c r="Y698" s="362">
        <f>IF($Q698="ekrk",IF($R698="data",IFERROR(INDEX(data!$A:$ALL,MATCH($M698,data!$A:$A,0),MATCH(Y$2,data!$1:$1,0)),"#data"),IFERROR(X698*INDEX(indexy_SDcast!$A:$ALI,MATCH($R698,indexy_SDcast!$K:$K,0),MATCH(Y$2,indexy_SDcast!$2:$2,0)),"#ekrk")),"#popis")</f>
        <v>-151.40648604753434</v>
      </c>
    </row>
    <row r="699" spans="1:44" s="18" customFormat="1" x14ac:dyDescent="0.25">
      <c r="A699" s="333" t="s">
        <v>758</v>
      </c>
      <c r="B699" s="334">
        <v>-0.10972</v>
      </c>
      <c r="C699" s="164"/>
      <c r="D699" s="333" t="s">
        <v>758</v>
      </c>
      <c r="E699" s="334">
        <v>-0.10972</v>
      </c>
      <c r="F699" s="164"/>
      <c r="G699" s="333" t="s">
        <v>758</v>
      </c>
      <c r="H699" s="334">
        <v>-0.10972</v>
      </c>
      <c r="I699" s="164"/>
      <c r="J699" s="333" t="s">
        <v>758</v>
      </c>
      <c r="K699" s="334">
        <v>-0.10972</v>
      </c>
      <c r="L699" s="164"/>
      <c r="M699" s="358" t="str">
        <f t="shared" si="70"/>
        <v>P5132</v>
      </c>
      <c r="N699" s="239">
        <f t="shared" si="71"/>
        <v>-0.10972</v>
      </c>
      <c r="O699" s="243"/>
      <c r="P699" s="243">
        <f>MATCH(Q699,Q700:Q$1550,0)</f>
        <v>4</v>
      </c>
      <c r="Q699" s="243" t="s">
        <v>697</v>
      </c>
      <c r="R699" s="359"/>
      <c r="S699" s="240"/>
      <c r="T699" s="363" t="str">
        <f t="shared" si="68"/>
        <v>P5132</v>
      </c>
      <c r="U699" s="244">
        <f>SUM(U700:U700)</f>
        <v>-0.10972</v>
      </c>
      <c r="V699" s="244">
        <f>SUM(V700:V700)</f>
        <v>-0.14046707076371182</v>
      </c>
      <c r="W699" s="244">
        <f>SUM(W700:W700)</f>
        <v>-0.14204610404389739</v>
      </c>
      <c r="X699" s="244">
        <f>SUM(X700:X700)</f>
        <v>-9.123990434471764E-2</v>
      </c>
      <c r="Y699" s="359">
        <f>SUM(Y700:Y700)</f>
        <v>-0.12343371887772489</v>
      </c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8"/>
      <c r="AN699" s="58"/>
      <c r="AO699" s="58"/>
      <c r="AP699" s="58"/>
      <c r="AQ699" s="58"/>
      <c r="AR699" s="58"/>
    </row>
    <row r="700" spans="1:44" x14ac:dyDescent="0.25">
      <c r="A700" s="369">
        <v>233001</v>
      </c>
      <c r="B700" s="370">
        <v>-0.10972</v>
      </c>
      <c r="C700" s="157"/>
      <c r="D700" s="369">
        <v>233001</v>
      </c>
      <c r="E700" s="370">
        <v>-0.10972</v>
      </c>
      <c r="F700" s="157"/>
      <c r="G700" s="369">
        <v>233001</v>
      </c>
      <c r="H700" s="370">
        <v>-0.10972</v>
      </c>
      <c r="I700" s="157"/>
      <c r="J700" s="369">
        <v>233001</v>
      </c>
      <c r="K700" s="370">
        <v>-0.10972</v>
      </c>
      <c r="L700" s="157"/>
      <c r="M700" s="371">
        <f t="shared" si="70"/>
        <v>233001</v>
      </c>
      <c r="N700" s="372">
        <f t="shared" si="71"/>
        <v>-0.10972</v>
      </c>
      <c r="O700" s="373"/>
      <c r="P700" s="373"/>
      <c r="Q700" s="373" t="s">
        <v>698</v>
      </c>
      <c r="R700" s="368">
        <v>35</v>
      </c>
      <c r="S700" s="236"/>
      <c r="T700" s="366">
        <f t="shared" si="68"/>
        <v>233001</v>
      </c>
      <c r="U700" s="367">
        <f>N700</f>
        <v>-0.10972</v>
      </c>
      <c r="V700" s="367">
        <f>IF($Q700="ekrk",IF($R700="data",IFERROR(INDEX(data!$A:$ALL,MATCH($M700,data!$A:$A,0),MATCH(V$2,data!$1:$1,0)),"#data"),IFERROR(U700*INDEX(indexy_SDcast!$A:$ALI,MATCH($R700,indexy_SDcast!$K:$K,0),MATCH(V$2,indexy_SDcast!$2:$2,0)),"#ekrk")),"#popis")</f>
        <v>-0.14046707076371182</v>
      </c>
      <c r="W700" s="367">
        <f>IF($Q700="ekrk",IF($R700="data",IFERROR(INDEX(data!$A:$ALL,MATCH($M700,data!$A:$A,0),MATCH(W$2,data!$1:$1,0)),"#data"),IFERROR(V700*INDEX(indexy_SDcast!$A:$ALI,MATCH($R700,indexy_SDcast!$K:$K,0),MATCH(W$2,indexy_SDcast!$2:$2,0)),"#ekrk")),"#popis")</f>
        <v>-0.14204610404389739</v>
      </c>
      <c r="X700" s="367">
        <f>IF($Q700="ekrk",IF($R700="data",IFERROR(INDEX(data!$A:$ALL,MATCH($M700,data!$A:$A,0),MATCH(X$2,data!$1:$1,0)),"#data"),IFERROR(W700*INDEX(indexy_SDcast!$A:$ALI,MATCH($R700,indexy_SDcast!$K:$K,0),MATCH(X$2,indexy_SDcast!$2:$2,0)),"#ekrk")),"#popis")</f>
        <v>-9.123990434471764E-2</v>
      </c>
      <c r="Y700" s="368">
        <f>IF($Q700="ekrk",IF($R700="data",IFERROR(INDEX(data!$A:$ALL,MATCH($M700,data!$A:$A,0),MATCH(Y$2,data!$1:$1,0)),"#data"),IFERROR(X700*INDEX(indexy_SDcast!$A:$ALI,MATCH($R700,indexy_SDcast!$K:$K,0),MATCH(Y$2,indexy_SDcast!$2:$2,0)),"#ekrk")),"#popis")</f>
        <v>-0.12343371887772489</v>
      </c>
    </row>
    <row r="701" spans="1:44" x14ac:dyDescent="0.25">
      <c r="A701" s="157"/>
      <c r="B701" s="157"/>
      <c r="C701" s="157"/>
      <c r="D701" s="157"/>
      <c r="E701" s="157"/>
      <c r="F701" s="157"/>
      <c r="G701" s="157"/>
      <c r="H701" s="157"/>
      <c r="I701" s="157"/>
      <c r="J701" s="160"/>
      <c r="K701" s="160"/>
      <c r="L701" s="157"/>
      <c r="M701" s="160"/>
      <c r="N701" s="160"/>
      <c r="O701" s="236"/>
      <c r="P701" s="236"/>
      <c r="Q701" s="236"/>
      <c r="R701" s="238"/>
      <c r="S701" s="236"/>
      <c r="T701" s="236"/>
      <c r="U701" s="238"/>
      <c r="V701" s="238"/>
      <c r="W701" s="238"/>
      <c r="X701" s="238"/>
      <c r="Y701" s="238"/>
    </row>
    <row r="702" spans="1:44" x14ac:dyDescent="0.25">
      <c r="A702" s="331" t="s">
        <v>1106</v>
      </c>
      <c r="B702" s="341" t="s">
        <v>660</v>
      </c>
      <c r="C702" s="157"/>
      <c r="D702" s="331" t="s">
        <v>1106</v>
      </c>
      <c r="E702" s="341" t="s">
        <v>660</v>
      </c>
      <c r="F702" s="157"/>
      <c r="G702" s="331" t="s">
        <v>1106</v>
      </c>
      <c r="H702" s="341" t="s">
        <v>660</v>
      </c>
      <c r="I702" s="157"/>
      <c r="J702" s="331" t="s">
        <v>1106</v>
      </c>
      <c r="K702" s="341" t="s">
        <v>660</v>
      </c>
      <c r="L702" s="157"/>
      <c r="M702" s="331" t="str">
        <f t="shared" si="70"/>
        <v>Časť 6</v>
      </c>
      <c r="N702" s="459" t="str">
        <f t="shared" si="71"/>
        <v>EU fondy</v>
      </c>
      <c r="O702" s="459"/>
      <c r="P702" s="459"/>
      <c r="Q702" s="459"/>
      <c r="R702" s="460"/>
      <c r="S702" s="236"/>
      <c r="T702" s="331" t="str">
        <f t="shared" ref="T702:T760" si="72">M702</f>
        <v>Časť 6</v>
      </c>
      <c r="U702" s="459" t="str">
        <f>N702</f>
        <v>EU fondy</v>
      </c>
      <c r="V702" s="459"/>
      <c r="W702" s="459"/>
      <c r="X702" s="459"/>
      <c r="Y702" s="460"/>
    </row>
    <row r="703" spans="1:44" s="18" customFormat="1" x14ac:dyDescent="0.25">
      <c r="A703" s="333" t="s">
        <v>696</v>
      </c>
      <c r="B703" s="334">
        <v>-45045.195679999983</v>
      </c>
      <c r="C703" s="164"/>
      <c r="D703" s="333" t="s">
        <v>696</v>
      </c>
      <c r="E703" s="334">
        <v>-45045.195679999983</v>
      </c>
      <c r="F703" s="164"/>
      <c r="G703" s="333" t="s">
        <v>696</v>
      </c>
      <c r="H703" s="334">
        <v>-45045.195679999983</v>
      </c>
      <c r="I703" s="164"/>
      <c r="J703" s="333" t="s">
        <v>696</v>
      </c>
      <c r="K703" s="334">
        <v>-45045.195679999983</v>
      </c>
      <c r="L703" s="164"/>
      <c r="M703" s="358" t="str">
        <f t="shared" si="70"/>
        <v>D11PAY</v>
      </c>
      <c r="N703" s="239">
        <f t="shared" si="71"/>
        <v>-45045.195679999983</v>
      </c>
      <c r="O703" s="243"/>
      <c r="P703" s="243">
        <f>MATCH(Q703,Q704:Q$1550,0)</f>
        <v>17</v>
      </c>
      <c r="Q703" s="243" t="s">
        <v>697</v>
      </c>
      <c r="R703" s="359" t="str">
        <f>IF(Q703="ekrk",INDEX(indexy_SDcast!$A:$C,MATCH($M703,indexy_SDcast!$A:$A,0),2),"")</f>
        <v/>
      </c>
      <c r="S703" s="240"/>
      <c r="T703" s="363" t="str">
        <f t="shared" si="72"/>
        <v>D11PAY</v>
      </c>
      <c r="U703" s="244">
        <f>SUM(U704:U719)</f>
        <v>-45045.195679999983</v>
      </c>
      <c r="V703" s="244">
        <f>SUM(V704:V719)</f>
        <v>-57668.307411117428</v>
      </c>
      <c r="W703" s="244">
        <f>SUM(W704:W719)</f>
        <v>-58316.574482674048</v>
      </c>
      <c r="X703" s="244">
        <f>SUM(X704:X719)</f>
        <v>-37458.25141298111</v>
      </c>
      <c r="Y703" s="359">
        <f>SUM(Y704:Y719)</f>
        <v>-50675.319179340375</v>
      </c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8"/>
      <c r="AN703" s="58"/>
      <c r="AO703" s="58"/>
      <c r="AP703" s="58"/>
      <c r="AQ703" s="58"/>
      <c r="AR703" s="58"/>
    </row>
    <row r="704" spans="1:44" x14ac:dyDescent="0.25">
      <c r="A704" s="330">
        <v>611000</v>
      </c>
      <c r="B704" s="329">
        <v>-31926.927959999986</v>
      </c>
      <c r="C704" s="157"/>
      <c r="D704" s="330">
        <v>611000</v>
      </c>
      <c r="E704" s="329">
        <v>-31926.927959999986</v>
      </c>
      <c r="F704" s="157"/>
      <c r="G704" s="330">
        <v>611000</v>
      </c>
      <c r="H704" s="329">
        <v>-31926.927959999986</v>
      </c>
      <c r="I704" s="157"/>
      <c r="J704" s="330">
        <v>611000</v>
      </c>
      <c r="K704" s="329">
        <v>-31926.927959999986</v>
      </c>
      <c r="L704" s="157"/>
      <c r="M704" s="360">
        <f t="shared" si="70"/>
        <v>611000</v>
      </c>
      <c r="N704" s="237">
        <f t="shared" si="71"/>
        <v>-31926.927959999986</v>
      </c>
      <c r="O704" s="361"/>
      <c r="P704" s="361"/>
      <c r="Q704" s="361" t="s">
        <v>698</v>
      </c>
      <c r="R704" s="362">
        <v>35</v>
      </c>
      <c r="S704" s="236"/>
      <c r="T704" s="364">
        <f t="shared" si="72"/>
        <v>611000</v>
      </c>
      <c r="U704" s="365">
        <f t="shared" ref="U704:U719" si="73">N704</f>
        <v>-31926.927959999986</v>
      </c>
      <c r="V704" s="365">
        <f>IF($Q704="ekrk",IF($R704="data",IFERROR(INDEX(data!$A:$ALL,MATCH($M704,data!$A:$A,0),MATCH(V$2,data!$1:$1,0)),"#data"),IFERROR(U704*INDEX(indexy_SDcast!$A:$ALI,MATCH($R704,indexy_SDcast!$K:$K,0),MATCH(V$2,indexy_SDcast!$2:$2,0)),"#ekrk")),"#popis")</f>
        <v>-40873.879411458693</v>
      </c>
      <c r="W704" s="365">
        <f>IF($Q704="ekrk",IF($R704="data",IFERROR(INDEX(data!$A:$ALL,MATCH($M704,data!$A:$A,0),MATCH(W$2,data!$1:$1,0)),"#data"),IFERROR(V704*INDEX(indexy_SDcast!$A:$ALI,MATCH($R704,indexy_SDcast!$K:$K,0),MATCH(W$2,indexy_SDcast!$2:$2,0)),"#ekrk")),"#popis")</f>
        <v>-41333.355184179505</v>
      </c>
      <c r="X704" s="365">
        <f>IF($Q704="ekrk",IF($R704="data",IFERROR(INDEX(data!$A:$ALL,MATCH($M704,data!$A:$A,0),MATCH(X$2,data!$1:$1,0)),"#data"),IFERROR(W704*INDEX(indexy_SDcast!$A:$ALI,MATCH($R704,indexy_SDcast!$K:$K,0),MATCH(X$2,indexy_SDcast!$2:$2,0)),"#ekrk")),"#popis")</f>
        <v>-26549.488270972382</v>
      </c>
      <c r="Y704" s="362">
        <f>IF($Q704="ekrk",IF($R704="data",IFERROR(INDEX(data!$A:$ALL,MATCH($M704,data!$A:$A,0),MATCH(Y$2,data!$1:$1,0)),"#data"),IFERROR(X704*INDEX(indexy_SDcast!$A:$ALI,MATCH($R704,indexy_SDcast!$K:$K,0),MATCH(Y$2,indexy_SDcast!$2:$2,0)),"#ekrk")),"#popis")</f>
        <v>-35917.421167007044</v>
      </c>
    </row>
    <row r="705" spans="1:44" x14ac:dyDescent="0.25">
      <c r="A705" s="330">
        <v>612001</v>
      </c>
      <c r="B705" s="329">
        <v>-6322.3263999999972</v>
      </c>
      <c r="C705" s="157"/>
      <c r="D705" s="330">
        <v>612001</v>
      </c>
      <c r="E705" s="329">
        <v>-6322.3263999999972</v>
      </c>
      <c r="F705" s="157"/>
      <c r="G705" s="330">
        <v>612001</v>
      </c>
      <c r="H705" s="329">
        <v>-6322.3263999999972</v>
      </c>
      <c r="I705" s="157"/>
      <c r="J705" s="330">
        <v>612001</v>
      </c>
      <c r="K705" s="329">
        <v>-6322.3263999999972</v>
      </c>
      <c r="L705" s="157"/>
      <c r="M705" s="360">
        <f t="shared" si="70"/>
        <v>612001</v>
      </c>
      <c r="N705" s="237">
        <f t="shared" si="71"/>
        <v>-6322.3263999999972</v>
      </c>
      <c r="O705" s="361"/>
      <c r="P705" s="361"/>
      <c r="Q705" s="361" t="s">
        <v>698</v>
      </c>
      <c r="R705" s="362">
        <v>35</v>
      </c>
      <c r="S705" s="236"/>
      <c r="T705" s="364">
        <f t="shared" si="72"/>
        <v>612001</v>
      </c>
      <c r="U705" s="365">
        <f t="shared" si="73"/>
        <v>-6322.3263999999972</v>
      </c>
      <c r="V705" s="365">
        <f>IF($Q705="ekrk",IF($R705="data",IFERROR(INDEX(data!$A:$ALL,MATCH($M705,data!$A:$A,0),MATCH(V$2,data!$1:$1,0)),"#data"),IFERROR(U705*INDEX(indexy_SDcast!$A:$ALI,MATCH($R705,indexy_SDcast!$K:$K,0),MATCH(V$2,indexy_SDcast!$2:$2,0)),"#ekrk")),"#popis")</f>
        <v>-8094.0454777623318</v>
      </c>
      <c r="W705" s="365">
        <f>IF($Q705="ekrk",IF($R705="data",IFERROR(INDEX(data!$A:$ALL,MATCH($M705,data!$A:$A,0),MATCH(W$2,data!$1:$1,0)),"#data"),IFERROR(V705*INDEX(indexy_SDcast!$A:$ALI,MATCH($R705,indexy_SDcast!$K:$K,0),MATCH(W$2,indexy_SDcast!$2:$2,0)),"#ekrk")),"#popis")</f>
        <v>-8185.0331171516491</v>
      </c>
      <c r="X705" s="365">
        <f>IF($Q705="ekrk",IF($R705="data",IFERROR(INDEX(data!$A:$ALL,MATCH($M705,data!$A:$A,0),MATCH(X$2,data!$1:$1,0)),"#data"),IFERROR(W705*INDEX(indexy_SDcast!$A:$ALI,MATCH($R705,indexy_SDcast!$K:$K,0),MATCH(X$2,indexy_SDcast!$2:$2,0)),"#ekrk")),"#popis")</f>
        <v>-5257.459496646763</v>
      </c>
      <c r="Y705" s="362">
        <f>IF($Q705="ekrk",IF($R705="data",IFERROR(INDEX(data!$A:$ALL,MATCH($M705,data!$A:$A,0),MATCH(Y$2,data!$1:$1,0)),"#data"),IFERROR(X705*INDEX(indexy_SDcast!$A:$ALI,MATCH($R705,indexy_SDcast!$K:$K,0),MATCH(Y$2,indexy_SDcast!$2:$2,0)),"#ekrk")),"#popis")</f>
        <v>-7112.5433786986714</v>
      </c>
    </row>
    <row r="706" spans="1:44" x14ac:dyDescent="0.25">
      <c r="A706" s="330">
        <v>612002</v>
      </c>
      <c r="B706" s="329">
        <v>-461.47171999999995</v>
      </c>
      <c r="C706" s="157"/>
      <c r="D706" s="330">
        <v>612002</v>
      </c>
      <c r="E706" s="329">
        <v>-461.47171999999995</v>
      </c>
      <c r="F706" s="157"/>
      <c r="G706" s="330">
        <v>612002</v>
      </c>
      <c r="H706" s="329">
        <v>-461.47171999999995</v>
      </c>
      <c r="I706" s="157"/>
      <c r="J706" s="330">
        <v>612002</v>
      </c>
      <c r="K706" s="329">
        <v>-461.47171999999995</v>
      </c>
      <c r="L706" s="157"/>
      <c r="M706" s="360">
        <f t="shared" si="70"/>
        <v>612002</v>
      </c>
      <c r="N706" s="237">
        <f t="shared" si="71"/>
        <v>-461.47171999999995</v>
      </c>
      <c r="O706" s="361"/>
      <c r="P706" s="361"/>
      <c r="Q706" s="361" t="s">
        <v>698</v>
      </c>
      <c r="R706" s="362">
        <v>35</v>
      </c>
      <c r="S706" s="236"/>
      <c r="T706" s="364">
        <f t="shared" si="72"/>
        <v>612002</v>
      </c>
      <c r="U706" s="365">
        <f t="shared" si="73"/>
        <v>-461.47171999999995</v>
      </c>
      <c r="V706" s="365">
        <f>IF($Q706="ekrk",IF($R706="data",IFERROR(INDEX(data!$A:$ALL,MATCH($M706,data!$A:$A,0),MATCH(V$2,data!$1:$1,0)),"#data"),IFERROR(U706*INDEX(indexy_SDcast!$A:$ALI,MATCH($R706,indexy_SDcast!$K:$K,0),MATCH(V$2,indexy_SDcast!$2:$2,0)),"#ekrk")),"#popis")</f>
        <v>-590.79092917145283</v>
      </c>
      <c r="W706" s="365">
        <f>IF($Q706="ekrk",IF($R706="data",IFERROR(INDEX(data!$A:$ALL,MATCH($M706,data!$A:$A,0),MATCH(W$2,data!$1:$1,0)),"#data"),IFERROR(V706*INDEX(indexy_SDcast!$A:$ALI,MATCH($R706,indexy_SDcast!$K:$K,0),MATCH(W$2,indexy_SDcast!$2:$2,0)),"#ekrk")),"#popis")</f>
        <v>-597.43219059821627</v>
      </c>
      <c r="X706" s="365">
        <f>IF($Q706="ekrk",IF($R706="data",IFERROR(INDEX(data!$A:$ALL,MATCH($M706,data!$A:$A,0),MATCH(X$2,data!$1:$1,0)),"#data"),IFERROR(W706*INDEX(indexy_SDcast!$A:$ALI,MATCH($R706,indexy_SDcast!$K:$K,0),MATCH(X$2,indexy_SDcast!$2:$2,0)),"#ekrk")),"#popis")</f>
        <v>-383.74622302763692</v>
      </c>
      <c r="Y706" s="362">
        <f>IF($Q706="ekrk",IF($R706="data",IFERROR(INDEX(data!$A:$ALL,MATCH($M706,data!$A:$A,0),MATCH(Y$2,data!$1:$1,0)),"#data"),IFERROR(X706*INDEX(indexy_SDcast!$A:$ALI,MATCH($R706,indexy_SDcast!$K:$K,0),MATCH(Y$2,indexy_SDcast!$2:$2,0)),"#ekrk")),"#popis")</f>
        <v>-519.15029672347953</v>
      </c>
    </row>
    <row r="707" spans="1:44" x14ac:dyDescent="0.25">
      <c r="A707" s="330">
        <v>613000</v>
      </c>
      <c r="B707" s="329">
        <v>-0.25487000000000004</v>
      </c>
      <c r="C707" s="157"/>
      <c r="D707" s="330">
        <v>613000</v>
      </c>
      <c r="E707" s="329">
        <v>-0.25487000000000004</v>
      </c>
      <c r="F707" s="157"/>
      <c r="G707" s="330">
        <v>613000</v>
      </c>
      <c r="H707" s="329">
        <v>-0.25487000000000004</v>
      </c>
      <c r="I707" s="157"/>
      <c r="J707" s="330">
        <v>613000</v>
      </c>
      <c r="K707" s="329">
        <v>-0.25487000000000004</v>
      </c>
      <c r="L707" s="157"/>
      <c r="M707" s="360">
        <f t="shared" si="70"/>
        <v>613000</v>
      </c>
      <c r="N707" s="237">
        <f t="shared" si="71"/>
        <v>-0.25487000000000004</v>
      </c>
      <c r="O707" s="361"/>
      <c r="P707" s="361"/>
      <c r="Q707" s="361" t="s">
        <v>698</v>
      </c>
      <c r="R707" s="362">
        <v>35</v>
      </c>
      <c r="S707" s="236"/>
      <c r="T707" s="364">
        <f t="shared" si="72"/>
        <v>613000</v>
      </c>
      <c r="U707" s="365">
        <f t="shared" si="73"/>
        <v>-0.25487000000000004</v>
      </c>
      <c r="V707" s="365">
        <f>IF($Q707="ekrk",IF($R707="data",IFERROR(INDEX(data!$A:$ALL,MATCH($M707,data!$A:$A,0),MATCH(V$2,data!$1:$1,0)),"#data"),IFERROR(U707*INDEX(indexy_SDcast!$A:$ALI,MATCH($R707,indexy_SDcast!$K:$K,0),MATCH(V$2,indexy_SDcast!$2:$2,0)),"#ekrk")),"#popis")</f>
        <v>-0.32629276636481258</v>
      </c>
      <c r="W707" s="365">
        <f>IF($Q707="ekrk",IF($R707="data",IFERROR(INDEX(data!$A:$ALL,MATCH($M707,data!$A:$A,0),MATCH(W$2,data!$1:$1,0)),"#data"),IFERROR(V707*INDEX(indexy_SDcast!$A:$ALI,MATCH($R707,indexy_SDcast!$K:$K,0),MATCH(W$2,indexy_SDcast!$2:$2,0)),"#ekrk")),"#popis")</f>
        <v>-0.32996072309212665</v>
      </c>
      <c r="X707" s="365">
        <f>IF($Q707="ekrk",IF($R707="data",IFERROR(INDEX(data!$A:$ALL,MATCH($M707,data!$A:$A,0),MATCH(X$2,data!$1:$1,0)),"#data"),IFERROR(W707*INDEX(indexy_SDcast!$A:$ALI,MATCH($R707,indexy_SDcast!$K:$K,0),MATCH(X$2,indexy_SDcast!$2:$2,0)),"#ekrk")),"#popis")</f>
        <v>-0.21194234797975017</v>
      </c>
      <c r="Y707" s="362">
        <f>IF($Q707="ekrk",IF($R707="data",IFERROR(INDEX(data!$A:$ALL,MATCH($M707,data!$A:$A,0),MATCH(Y$2,data!$1:$1,0)),"#data"),IFERROR(X707*INDEX(indexy_SDcast!$A:$ALI,MATCH($R707,indexy_SDcast!$K:$K,0),MATCH(Y$2,indexy_SDcast!$2:$2,0)),"#ekrk")),"#popis")</f>
        <v>-0.28672577406458027</v>
      </c>
    </row>
    <row r="708" spans="1:44" x14ac:dyDescent="0.25">
      <c r="A708" s="330">
        <v>614000</v>
      </c>
      <c r="B708" s="329">
        <v>-3231.645480000002</v>
      </c>
      <c r="C708" s="157"/>
      <c r="D708" s="330">
        <v>614000</v>
      </c>
      <c r="E708" s="329">
        <v>-3231.645480000002</v>
      </c>
      <c r="F708" s="157"/>
      <c r="G708" s="330">
        <v>614000</v>
      </c>
      <c r="H708" s="329">
        <v>-3231.645480000002</v>
      </c>
      <c r="I708" s="157"/>
      <c r="J708" s="330">
        <v>614000</v>
      </c>
      <c r="K708" s="329">
        <v>-3231.645480000002</v>
      </c>
      <c r="L708" s="157"/>
      <c r="M708" s="360">
        <f t="shared" si="70"/>
        <v>614000</v>
      </c>
      <c r="N708" s="237">
        <f t="shared" si="71"/>
        <v>-3231.645480000002</v>
      </c>
      <c r="O708" s="361"/>
      <c r="P708" s="361"/>
      <c r="Q708" s="361" t="s">
        <v>698</v>
      </c>
      <c r="R708" s="362">
        <v>35</v>
      </c>
      <c r="S708" s="236"/>
      <c r="T708" s="364">
        <f t="shared" si="72"/>
        <v>614000</v>
      </c>
      <c r="U708" s="365">
        <f t="shared" si="73"/>
        <v>-3231.645480000002</v>
      </c>
      <c r="V708" s="365">
        <f>IF($Q708="ekrk",IF($R708="data",IFERROR(INDEX(data!$A:$ALL,MATCH($M708,data!$A:$A,0),MATCH(V$2,data!$1:$1,0)),"#data"),IFERROR(U708*INDEX(indexy_SDcast!$A:$ALI,MATCH($R708,indexy_SDcast!$K:$K,0),MATCH(V$2,indexy_SDcast!$2:$2,0)),"#ekrk")),"#popis")</f>
        <v>-4137.2564192707778</v>
      </c>
      <c r="W708" s="365">
        <f>IF($Q708="ekrk",IF($R708="data",IFERROR(INDEX(data!$A:$ALL,MATCH($M708,data!$A:$A,0),MATCH(W$2,data!$1:$1,0)),"#data"),IFERROR(V708*INDEX(indexy_SDcast!$A:$ALI,MATCH($R708,indexy_SDcast!$K:$K,0),MATCH(W$2,indexy_SDcast!$2:$2,0)),"#ekrk")),"#popis")</f>
        <v>-4183.7645833491706</v>
      </c>
      <c r="X708" s="365">
        <f>IF($Q708="ekrk",IF($R708="data",IFERROR(INDEX(data!$A:$ALL,MATCH($M708,data!$A:$A,0),MATCH(X$2,data!$1:$1,0)),"#data"),IFERROR(W708*INDEX(indexy_SDcast!$A:$ALI,MATCH($R708,indexy_SDcast!$K:$K,0),MATCH(X$2,indexy_SDcast!$2:$2,0)),"#ekrk")),"#popis")</f>
        <v>-2687.3407261323305</v>
      </c>
      <c r="Y708" s="362">
        <f>IF($Q708="ekrk",IF($R708="data",IFERROR(INDEX(data!$A:$ALL,MATCH($M708,data!$A:$A,0),MATCH(Y$2,data!$1:$1,0)),"#data"),IFERROR(X708*INDEX(indexy_SDcast!$A:$ALI,MATCH($R708,indexy_SDcast!$K:$K,0),MATCH(Y$2,indexy_SDcast!$2:$2,0)),"#ekrk")),"#popis")</f>
        <v>-3635.5634313779674</v>
      </c>
    </row>
    <row r="709" spans="1:44" x14ac:dyDescent="0.25">
      <c r="A709" s="330">
        <v>615000</v>
      </c>
      <c r="B709" s="329">
        <v>-1.91909</v>
      </c>
      <c r="C709" s="157"/>
      <c r="D709" s="330">
        <v>615000</v>
      </c>
      <c r="E709" s="329">
        <v>-1.91909</v>
      </c>
      <c r="F709" s="157"/>
      <c r="G709" s="330">
        <v>615000</v>
      </c>
      <c r="H709" s="329">
        <v>-1.91909</v>
      </c>
      <c r="I709" s="157"/>
      <c r="J709" s="330">
        <v>615000</v>
      </c>
      <c r="K709" s="329">
        <v>-1.91909</v>
      </c>
      <c r="L709" s="157"/>
      <c r="M709" s="360">
        <f t="shared" si="70"/>
        <v>615000</v>
      </c>
      <c r="N709" s="237">
        <f t="shared" si="71"/>
        <v>-1.91909</v>
      </c>
      <c r="O709" s="361"/>
      <c r="P709" s="361"/>
      <c r="Q709" s="361" t="s">
        <v>698</v>
      </c>
      <c r="R709" s="362">
        <v>35</v>
      </c>
      <c r="S709" s="236"/>
      <c r="T709" s="364">
        <f t="shared" si="72"/>
        <v>615000</v>
      </c>
      <c r="U709" s="365">
        <f t="shared" si="73"/>
        <v>-1.91909</v>
      </c>
      <c r="V709" s="365">
        <f>IF($Q709="ekrk",IF($R709="data",IFERROR(INDEX(data!$A:$ALL,MATCH($M709,data!$A:$A,0),MATCH(V$2,data!$1:$1,0)),"#data"),IFERROR(U709*INDEX(indexy_SDcast!$A:$ALI,MATCH($R709,indexy_SDcast!$K:$K,0),MATCH(V$2,indexy_SDcast!$2:$2,0)),"#ekrk")),"#popis")</f>
        <v>-2.4568807039002163</v>
      </c>
      <c r="W709" s="365">
        <f>IF($Q709="ekrk",IF($R709="data",IFERROR(INDEX(data!$A:$ALL,MATCH($M709,data!$A:$A,0),MATCH(W$2,data!$1:$1,0)),"#data"),IFERROR(V709*INDEX(indexy_SDcast!$A:$ALI,MATCH($R709,indexy_SDcast!$K:$K,0),MATCH(W$2,indexy_SDcast!$2:$2,0)),"#ekrk")),"#popis")</f>
        <v>-2.4844992509077932</v>
      </c>
      <c r="X709" s="365">
        <f>IF($Q709="ekrk",IF($R709="data",IFERROR(INDEX(data!$A:$ALL,MATCH($M709,data!$A:$A,0),MATCH(X$2,data!$1:$1,0)),"#data"),IFERROR(W709*INDEX(indexy_SDcast!$A:$ALI,MATCH($R709,indexy_SDcast!$K:$K,0),MATCH(X$2,indexy_SDcast!$2:$2,0)),"#ekrk")),"#popis")</f>
        <v>-1.5958584399280367</v>
      </c>
      <c r="Y709" s="362">
        <f>IF($Q709="ekrk",IF($R709="data",IFERROR(INDEX(data!$A:$ALL,MATCH($M709,data!$A:$A,0),MATCH(Y$2,data!$1:$1,0)),"#data"),IFERROR(X709*INDEX(indexy_SDcast!$A:$ALI,MATCH($R709,indexy_SDcast!$K:$K,0),MATCH(Y$2,indexy_SDcast!$2:$2,0)),"#ekrk")),"#popis")</f>
        <v>-2.1589538421532364</v>
      </c>
    </row>
    <row r="710" spans="1:44" x14ac:dyDescent="0.25">
      <c r="A710" s="330">
        <v>616000</v>
      </c>
      <c r="B710" s="329">
        <v>-120.10827000000003</v>
      </c>
      <c r="C710" s="157"/>
      <c r="D710" s="330">
        <v>616000</v>
      </c>
      <c r="E710" s="329">
        <v>-120.10827000000003</v>
      </c>
      <c r="F710" s="157"/>
      <c r="G710" s="330">
        <v>616000</v>
      </c>
      <c r="H710" s="329">
        <v>-120.10827000000003</v>
      </c>
      <c r="I710" s="157"/>
      <c r="J710" s="330">
        <v>616000</v>
      </c>
      <c r="K710" s="329">
        <v>-120.10827000000003</v>
      </c>
      <c r="L710" s="157"/>
      <c r="M710" s="360">
        <f t="shared" si="70"/>
        <v>616000</v>
      </c>
      <c r="N710" s="237">
        <f t="shared" si="71"/>
        <v>-120.10827000000003</v>
      </c>
      <c r="O710" s="361"/>
      <c r="P710" s="361"/>
      <c r="Q710" s="361" t="s">
        <v>698</v>
      </c>
      <c r="R710" s="362">
        <v>35</v>
      </c>
      <c r="S710" s="236"/>
      <c r="T710" s="364">
        <f t="shared" si="72"/>
        <v>616000</v>
      </c>
      <c r="U710" s="365">
        <f t="shared" si="73"/>
        <v>-120.10827000000003</v>
      </c>
      <c r="V710" s="365">
        <f>IF($Q710="ekrk",IF($R710="data",IFERROR(INDEX(data!$A:$ALL,MATCH($M710,data!$A:$A,0),MATCH(V$2,data!$1:$1,0)),"#data"),IFERROR(U710*INDEX(indexy_SDcast!$A:$ALI,MATCH($R710,indexy_SDcast!$K:$K,0),MATCH(V$2,indexy_SDcast!$2:$2,0)),"#ekrk")),"#popis")</f>
        <v>-153.76646793107008</v>
      </c>
      <c r="W710" s="365">
        <f>IF($Q710="ekrk",IF($R710="data",IFERROR(INDEX(data!$A:$ALL,MATCH($M710,data!$A:$A,0),MATCH(W$2,data!$1:$1,0)),"#data"),IFERROR(V710*INDEX(indexy_SDcast!$A:$ALI,MATCH($R710,indexy_SDcast!$K:$K,0),MATCH(W$2,indexy_SDcast!$2:$2,0)),"#ekrk")),"#popis")</f>
        <v>-155.49500380015061</v>
      </c>
      <c r="X710" s="365">
        <f>IF($Q710="ekrk",IF($R710="data",IFERROR(INDEX(data!$A:$ALL,MATCH($M710,data!$A:$A,0),MATCH(X$2,data!$1:$1,0)),"#data"),IFERROR(W710*INDEX(indexy_SDcast!$A:$ALI,MATCH($R710,indexy_SDcast!$K:$K,0),MATCH(X$2,indexy_SDcast!$2:$2,0)),"#ekrk")),"#popis")</f>
        <v>-99.878482189295681</v>
      </c>
      <c r="Y710" s="362">
        <f>IF($Q710="ekrk",IF($R710="data",IFERROR(INDEX(data!$A:$ALL,MATCH($M710,data!$A:$A,0),MATCH(Y$2,data!$1:$1,0)),"#data"),IFERROR(X710*INDEX(indexy_SDcast!$A:$ALI,MATCH($R710,indexy_SDcast!$K:$K,0),MATCH(Y$2,indexy_SDcast!$2:$2,0)),"#ekrk")),"#popis")</f>
        <v>-135.12040133129676</v>
      </c>
    </row>
    <row r="711" spans="1:44" x14ac:dyDescent="0.25">
      <c r="A711" s="330">
        <v>631001</v>
      </c>
      <c r="B711" s="329">
        <v>-70.469040000000021</v>
      </c>
      <c r="C711" s="157"/>
      <c r="D711" s="330">
        <v>631001</v>
      </c>
      <c r="E711" s="329">
        <v>-70.469040000000021</v>
      </c>
      <c r="F711" s="157"/>
      <c r="G711" s="330">
        <v>631001</v>
      </c>
      <c r="H711" s="329">
        <v>-70.469040000000021</v>
      </c>
      <c r="I711" s="157"/>
      <c r="J711" s="330">
        <v>631001</v>
      </c>
      <c r="K711" s="329">
        <v>-70.469040000000021</v>
      </c>
      <c r="L711" s="157"/>
      <c r="M711" s="360">
        <f t="shared" si="70"/>
        <v>631001</v>
      </c>
      <c r="N711" s="237">
        <f t="shared" si="71"/>
        <v>-70.469040000000021</v>
      </c>
      <c r="O711" s="361"/>
      <c r="P711" s="361"/>
      <c r="Q711" s="361" t="s">
        <v>698</v>
      </c>
      <c r="R711" s="362">
        <v>35</v>
      </c>
      <c r="S711" s="236"/>
      <c r="T711" s="364">
        <f t="shared" si="72"/>
        <v>631001</v>
      </c>
      <c r="U711" s="365">
        <f t="shared" si="73"/>
        <v>-70.469040000000021</v>
      </c>
      <c r="V711" s="365">
        <f>IF($Q711="ekrk",IF($R711="data",IFERROR(INDEX(data!$A:$ALL,MATCH($M711,data!$A:$A,0),MATCH(V$2,data!$1:$1,0)),"#data"),IFERROR(U711*INDEX(indexy_SDcast!$A:$ALI,MATCH($R711,indexy_SDcast!$K:$K,0),MATCH(V$2,indexy_SDcast!$2:$2,0)),"#ekrk")),"#popis")</f>
        <v>-90.216730116030277</v>
      </c>
      <c r="W711" s="365">
        <f>IF($Q711="ekrk",IF($R711="data",IFERROR(INDEX(data!$A:$ALL,MATCH($M711,data!$A:$A,0),MATCH(W$2,data!$1:$1,0)),"#data"),IFERROR(V711*INDEX(indexy_SDcast!$A:$ALI,MATCH($R711,indexy_SDcast!$K:$K,0),MATCH(W$2,indexy_SDcast!$2:$2,0)),"#ekrk")),"#popis")</f>
        <v>-91.230883956558245</v>
      </c>
      <c r="X711" s="365">
        <f>IF($Q711="ekrk",IF($R711="data",IFERROR(INDEX(data!$A:$ALL,MATCH($M711,data!$A:$A,0),MATCH(X$2,data!$1:$1,0)),"#data"),IFERROR(W711*INDEX(indexy_SDcast!$A:$ALI,MATCH($R711,indexy_SDcast!$K:$K,0),MATCH(X$2,indexy_SDcast!$2:$2,0)),"#ekrk")),"#popis")</f>
        <v>-58.59996781684363</v>
      </c>
      <c r="Y711" s="362">
        <f>IF($Q711="ekrk",IF($R711="data",IFERROR(INDEX(data!$A:$ALL,MATCH($M711,data!$A:$A,0),MATCH(Y$2,data!$1:$1,0)),"#data"),IFERROR(X711*INDEX(indexy_SDcast!$A:$ALI,MATCH($R711,indexy_SDcast!$K:$K,0),MATCH(Y$2,indexy_SDcast!$2:$2,0)),"#ekrk")),"#popis")</f>
        <v>-79.27684718322233</v>
      </c>
    </row>
    <row r="712" spans="1:44" x14ac:dyDescent="0.25">
      <c r="A712" s="330">
        <v>631002</v>
      </c>
      <c r="B712" s="329">
        <v>-257.05200000000002</v>
      </c>
      <c r="C712" s="157"/>
      <c r="D712" s="330">
        <v>631002</v>
      </c>
      <c r="E712" s="329">
        <v>-257.05200000000002</v>
      </c>
      <c r="F712" s="157"/>
      <c r="G712" s="330">
        <v>631002</v>
      </c>
      <c r="H712" s="329">
        <v>-257.05200000000002</v>
      </c>
      <c r="I712" s="157"/>
      <c r="J712" s="330">
        <v>631002</v>
      </c>
      <c r="K712" s="329">
        <v>-257.05200000000002</v>
      </c>
      <c r="L712" s="157"/>
      <c r="M712" s="360">
        <f t="shared" si="70"/>
        <v>631002</v>
      </c>
      <c r="N712" s="237">
        <f t="shared" si="71"/>
        <v>-257.05200000000002</v>
      </c>
      <c r="O712" s="361"/>
      <c r="P712" s="361"/>
      <c r="Q712" s="361" t="s">
        <v>698</v>
      </c>
      <c r="R712" s="362">
        <v>35</v>
      </c>
      <c r="S712" s="236"/>
      <c r="T712" s="364">
        <f t="shared" si="72"/>
        <v>631002</v>
      </c>
      <c r="U712" s="365">
        <f t="shared" si="73"/>
        <v>-257.05200000000002</v>
      </c>
      <c r="V712" s="365">
        <f>IF($Q712="ekrk",IF($R712="data",IFERROR(INDEX(data!$A:$ALL,MATCH($M712,data!$A:$A,0),MATCH(V$2,data!$1:$1,0)),"#data"),IFERROR(U712*INDEX(indexy_SDcast!$A:$ALI,MATCH($R712,indexy_SDcast!$K:$K,0),MATCH(V$2,indexy_SDcast!$2:$2,0)),"#ekrk")),"#popis")</f>
        <v>-329.08623290150979</v>
      </c>
      <c r="W712" s="365">
        <f>IF($Q712="ekrk",IF($R712="data",IFERROR(INDEX(data!$A:$ALL,MATCH($M712,data!$A:$A,0),MATCH(W$2,data!$1:$1,0)),"#data"),IFERROR(V712*INDEX(indexy_SDcast!$A:$ALI,MATCH($R712,indexy_SDcast!$K:$K,0),MATCH(W$2,indexy_SDcast!$2:$2,0)),"#ekrk")),"#popis")</f>
        <v>-332.78559184006485</v>
      </c>
      <c r="X712" s="365">
        <f>IF($Q712="ekrk",IF($R712="data",IFERROR(INDEX(data!$A:$ALL,MATCH($M712,data!$A:$A,0),MATCH(X$2,data!$1:$1,0)),"#data"),IFERROR(W712*INDEX(indexy_SDcast!$A:$ALI,MATCH($R712,indexy_SDcast!$K:$K,0),MATCH(X$2,indexy_SDcast!$2:$2,0)),"#ekrk")),"#popis")</f>
        <v>-213.75683459367809</v>
      </c>
      <c r="Y712" s="362">
        <f>IF($Q712="ekrk",IF($R712="data",IFERROR(INDEX(data!$A:$ALL,MATCH($M712,data!$A:$A,0),MATCH(Y$2,data!$1:$1,0)),"#data"),IFERROR(X712*INDEX(indexy_SDcast!$A:$ALI,MATCH($R712,indexy_SDcast!$K:$K,0),MATCH(Y$2,indexy_SDcast!$2:$2,0)),"#ekrk")),"#popis")</f>
        <v>-289.18049858692075</v>
      </c>
    </row>
    <row r="713" spans="1:44" x14ac:dyDescent="0.25">
      <c r="A713" s="330">
        <v>637006</v>
      </c>
      <c r="B713" s="329">
        <v>-27.127249999999997</v>
      </c>
      <c r="C713" s="157"/>
      <c r="D713" s="330">
        <v>637006</v>
      </c>
      <c r="E713" s="329">
        <v>-27.127249999999997</v>
      </c>
      <c r="F713" s="157"/>
      <c r="G713" s="330">
        <v>637006</v>
      </c>
      <c r="H713" s="329">
        <v>-27.127249999999997</v>
      </c>
      <c r="I713" s="157"/>
      <c r="J713" s="330">
        <v>637006</v>
      </c>
      <c r="K713" s="329">
        <v>-27.127249999999997</v>
      </c>
      <c r="L713" s="157"/>
      <c r="M713" s="360">
        <f t="shared" si="70"/>
        <v>637006</v>
      </c>
      <c r="N713" s="237">
        <f t="shared" si="71"/>
        <v>-27.127249999999997</v>
      </c>
      <c r="O713" s="361"/>
      <c r="P713" s="361"/>
      <c r="Q713" s="361" t="s">
        <v>698</v>
      </c>
      <c r="R713" s="362">
        <v>35</v>
      </c>
      <c r="S713" s="236"/>
      <c r="T713" s="364">
        <f t="shared" si="72"/>
        <v>637006</v>
      </c>
      <c r="U713" s="365">
        <f t="shared" si="73"/>
        <v>-27.127249999999997</v>
      </c>
      <c r="V713" s="365">
        <f>IF($Q713="ekrk",IF($R713="data",IFERROR(INDEX(data!$A:$ALL,MATCH($M713,data!$A:$A,0),MATCH(V$2,data!$1:$1,0)),"#data"),IFERROR(U713*INDEX(indexy_SDcast!$A:$ALI,MATCH($R713,indexy_SDcast!$K:$K,0),MATCH(V$2,indexy_SDcast!$2:$2,0)),"#ekrk")),"#popis")</f>
        <v>-34.72917740954157</v>
      </c>
      <c r="W713" s="365">
        <f>IF($Q713="ekrk",IF($R713="data",IFERROR(INDEX(data!$A:$ALL,MATCH($M713,data!$A:$A,0),MATCH(W$2,data!$1:$1,0)),"#data"),IFERROR(V713*INDEX(indexy_SDcast!$A:$ALI,MATCH($R713,indexy_SDcast!$K:$K,0),MATCH(W$2,indexy_SDcast!$2:$2,0)),"#ekrk")),"#popis")</f>
        <v>-35.119578708756976</v>
      </c>
      <c r="X713" s="365">
        <f>IF($Q713="ekrk",IF($R713="data",IFERROR(INDEX(data!$A:$ALL,MATCH($M713,data!$A:$A,0),MATCH(X$2,data!$1:$1,0)),"#data"),IFERROR(W713*INDEX(indexy_SDcast!$A:$ALI,MATCH($R713,indexy_SDcast!$K:$K,0),MATCH(X$2,indexy_SDcast!$2:$2,0)),"#ekrk")),"#popis")</f>
        <v>-22.558218147422906</v>
      </c>
      <c r="Y713" s="362">
        <f>IF($Q713="ekrk",IF($R713="data",IFERROR(INDEX(data!$A:$ALL,MATCH($M713,data!$A:$A,0),MATCH(Y$2,data!$1:$1,0)),"#data"),IFERROR(X713*INDEX(indexy_SDcast!$A:$ALI,MATCH($R713,indexy_SDcast!$K:$K,0),MATCH(Y$2,indexy_SDcast!$2:$2,0)),"#ekrk")),"#popis")</f>
        <v>-30.51783950442729</v>
      </c>
    </row>
    <row r="714" spans="1:44" x14ac:dyDescent="0.25">
      <c r="A714" s="330">
        <v>637007</v>
      </c>
      <c r="B714" s="329">
        <v>-26.890599999999996</v>
      </c>
      <c r="C714" s="157"/>
      <c r="D714" s="330">
        <v>637007</v>
      </c>
      <c r="E714" s="329">
        <v>-26.890599999999996</v>
      </c>
      <c r="F714" s="157"/>
      <c r="G714" s="330">
        <v>637007</v>
      </c>
      <c r="H714" s="329">
        <v>-26.890599999999996</v>
      </c>
      <c r="I714" s="157"/>
      <c r="J714" s="330">
        <v>637007</v>
      </c>
      <c r="K714" s="329">
        <v>-26.890599999999996</v>
      </c>
      <c r="L714" s="157"/>
      <c r="M714" s="360">
        <f t="shared" si="70"/>
        <v>637007</v>
      </c>
      <c r="N714" s="237">
        <f t="shared" si="71"/>
        <v>-26.890599999999996</v>
      </c>
      <c r="O714" s="361"/>
      <c r="P714" s="361"/>
      <c r="Q714" s="361" t="s">
        <v>698</v>
      </c>
      <c r="R714" s="362">
        <v>35</v>
      </c>
      <c r="S714" s="236"/>
      <c r="T714" s="364">
        <f t="shared" si="72"/>
        <v>637007</v>
      </c>
      <c r="U714" s="365">
        <f t="shared" si="73"/>
        <v>-26.890599999999996</v>
      </c>
      <c r="V714" s="365">
        <f>IF($Q714="ekrk",IF($R714="data",IFERROR(INDEX(data!$A:$ALL,MATCH($M714,data!$A:$A,0),MATCH(V$2,data!$1:$1,0)),"#data"),IFERROR(U714*INDEX(indexy_SDcast!$A:$ALI,MATCH($R714,indexy_SDcast!$K:$K,0),MATCH(V$2,indexy_SDcast!$2:$2,0)),"#ekrk")),"#popis")</f>
        <v>-34.426210472827819</v>
      </c>
      <c r="W714" s="365">
        <f>IF($Q714="ekrk",IF($R714="data",IFERROR(INDEX(data!$A:$ALL,MATCH($M714,data!$A:$A,0),MATCH(W$2,data!$1:$1,0)),"#data"),IFERROR(V714*INDEX(indexy_SDcast!$A:$ALI,MATCH($R714,indexy_SDcast!$K:$K,0),MATCH(W$2,indexy_SDcast!$2:$2,0)),"#ekrk")),"#popis")</f>
        <v>-34.81320602809722</v>
      </c>
      <c r="X714" s="365">
        <f>IF($Q714="ekrk",IF($R714="data",IFERROR(INDEX(data!$A:$ALL,MATCH($M714,data!$A:$A,0),MATCH(X$2,data!$1:$1,0)),"#data"),IFERROR(W714*INDEX(indexy_SDcast!$A:$ALI,MATCH($R714,indexy_SDcast!$K:$K,0),MATCH(X$2,indexy_SDcast!$2:$2,0)),"#ekrk")),"#popis")</f>
        <v>-22.361427012140574</v>
      </c>
      <c r="Y714" s="362">
        <f>IF($Q714="ekrk",IF($R714="data",IFERROR(INDEX(data!$A:$ALL,MATCH($M714,data!$A:$A,0),MATCH(Y$2,data!$1:$1,0)),"#data"),IFERROR(X714*INDEX(indexy_SDcast!$A:$ALI,MATCH($R714,indexy_SDcast!$K:$K,0),MATCH(Y$2,indexy_SDcast!$2:$2,0)),"#ekrk")),"#popis")</f>
        <v>-30.251611017620746</v>
      </c>
    </row>
    <row r="715" spans="1:44" x14ac:dyDescent="0.25">
      <c r="A715" s="330">
        <v>637009</v>
      </c>
      <c r="B715" s="329">
        <v>-3.35419</v>
      </c>
      <c r="C715" s="157"/>
      <c r="D715" s="330">
        <v>637009</v>
      </c>
      <c r="E715" s="329">
        <v>-3.35419</v>
      </c>
      <c r="F715" s="157"/>
      <c r="G715" s="330">
        <v>637009</v>
      </c>
      <c r="H715" s="329">
        <v>-3.35419</v>
      </c>
      <c r="I715" s="157"/>
      <c r="J715" s="330">
        <v>637009</v>
      </c>
      <c r="K715" s="329">
        <v>-3.35419</v>
      </c>
      <c r="L715" s="157"/>
      <c r="M715" s="360">
        <f t="shared" si="70"/>
        <v>637009</v>
      </c>
      <c r="N715" s="237">
        <f t="shared" si="71"/>
        <v>-3.35419</v>
      </c>
      <c r="O715" s="361"/>
      <c r="P715" s="361"/>
      <c r="Q715" s="361" t="s">
        <v>698</v>
      </c>
      <c r="R715" s="362">
        <v>35</v>
      </c>
      <c r="S715" s="236"/>
      <c r="T715" s="364">
        <f t="shared" si="72"/>
        <v>637009</v>
      </c>
      <c r="U715" s="365">
        <f t="shared" si="73"/>
        <v>-3.35419</v>
      </c>
      <c r="V715" s="365">
        <f>IF($Q715="ekrk",IF($R715="data",IFERROR(INDEX(data!$A:$ALL,MATCH($M715,data!$A:$A,0),MATCH(V$2,data!$1:$1,0)),"#data"),IFERROR(U715*INDEX(indexy_SDcast!$A:$ALI,MATCH($R715,indexy_SDcast!$K:$K,0),MATCH(V$2,indexy_SDcast!$2:$2,0)),"#ekrk")),"#popis")</f>
        <v>-4.2941418527609789</v>
      </c>
      <c r="W715" s="365">
        <f>IF($Q715="ekrk",IF($R715="data",IFERROR(INDEX(data!$A:$ALL,MATCH($M715,data!$A:$A,0),MATCH(W$2,data!$1:$1,0)),"#data"),IFERROR(V715*INDEX(indexy_SDcast!$A:$ALI,MATCH($R715,indexy_SDcast!$K:$K,0),MATCH(W$2,indexy_SDcast!$2:$2,0)),"#ekrk")),"#popis")</f>
        <v>-4.3424136139537026</v>
      </c>
      <c r="X715" s="365">
        <f>IF($Q715="ekrk",IF($R715="data",IFERROR(INDEX(data!$A:$ALL,MATCH($M715,data!$A:$A,0),MATCH(X$2,data!$1:$1,0)),"#data"),IFERROR(W715*INDEX(indexy_SDcast!$A:$ALI,MATCH($R715,indexy_SDcast!$K:$K,0),MATCH(X$2,indexy_SDcast!$2:$2,0)),"#ekrk")),"#popis")</f>
        <v>-2.7892451217098841</v>
      </c>
      <c r="Y715" s="362">
        <f>IF($Q715="ekrk",IF($R715="data",IFERROR(INDEX(data!$A:$ALL,MATCH($M715,data!$A:$A,0),MATCH(Y$2,data!$1:$1,0)),"#data"),IFERROR(X715*INDEX(indexy_SDcast!$A:$ALI,MATCH($R715,indexy_SDcast!$K:$K,0),MATCH(Y$2,indexy_SDcast!$2:$2,0)),"#ekrk")),"#popis")</f>
        <v>-3.7734245855129065</v>
      </c>
    </row>
    <row r="716" spans="1:44" x14ac:dyDescent="0.25">
      <c r="A716" s="330">
        <v>637013</v>
      </c>
      <c r="B716" s="329">
        <v>-2.1779999999999999</v>
      </c>
      <c r="C716" s="157"/>
      <c r="D716" s="330">
        <v>637013</v>
      </c>
      <c r="E716" s="329">
        <v>-2.1779999999999999</v>
      </c>
      <c r="F716" s="157"/>
      <c r="G716" s="330">
        <v>637013</v>
      </c>
      <c r="H716" s="329">
        <v>-2.1779999999999999</v>
      </c>
      <c r="I716" s="157"/>
      <c r="J716" s="330">
        <v>637013</v>
      </c>
      <c r="K716" s="329">
        <v>-2.1779999999999999</v>
      </c>
      <c r="L716" s="157"/>
      <c r="M716" s="360">
        <f t="shared" si="70"/>
        <v>637013</v>
      </c>
      <c r="N716" s="237">
        <f t="shared" si="71"/>
        <v>-2.1779999999999999</v>
      </c>
      <c r="O716" s="361"/>
      <c r="P716" s="361"/>
      <c r="Q716" s="361" t="s">
        <v>698</v>
      </c>
      <c r="R716" s="362">
        <v>35</v>
      </c>
      <c r="S716" s="236"/>
      <c r="T716" s="364">
        <f t="shared" si="72"/>
        <v>637013</v>
      </c>
      <c r="U716" s="365">
        <f t="shared" si="73"/>
        <v>-2.1779999999999999</v>
      </c>
      <c r="V716" s="365">
        <f>IF($Q716="ekrk",IF($R716="data",IFERROR(INDEX(data!$A:$ALL,MATCH($M716,data!$A:$A,0),MATCH(V$2,data!$1:$1,0)),"#data"),IFERROR(U716*INDEX(indexy_SDcast!$A:$ALI,MATCH($R716,indexy_SDcast!$K:$K,0),MATCH(V$2,indexy_SDcast!$2:$2,0)),"#ekrk")),"#popis")</f>
        <v>-2.7883456081239917</v>
      </c>
      <c r="W716" s="365">
        <f>IF($Q716="ekrk",IF($R716="data",IFERROR(INDEX(data!$A:$ALL,MATCH($M716,data!$A:$A,0),MATCH(W$2,data!$1:$1,0)),"#data"),IFERROR(V716*INDEX(indexy_SDcast!$A:$ALI,MATCH($R716,indexy_SDcast!$K:$K,0),MATCH(W$2,indexy_SDcast!$2:$2,0)),"#ekrk")),"#popis")</f>
        <v>-2.8196902534415655</v>
      </c>
      <c r="X716" s="365">
        <f>IF($Q716="ekrk",IF($R716="data",IFERROR(INDEX(data!$A:$ALL,MATCH($M716,data!$A:$A,0),MATCH(X$2,data!$1:$1,0)),"#data"),IFERROR(W716*INDEX(indexy_SDcast!$A:$ALI,MATCH($R716,indexy_SDcast!$K:$K,0),MATCH(X$2,indexy_SDcast!$2:$2,0)),"#ekrk")),"#popis")</f>
        <v>-1.8111603323258754</v>
      </c>
      <c r="Y716" s="362">
        <f>IF($Q716="ekrk",IF($R716="data",IFERROR(INDEX(data!$A:$ALL,MATCH($M716,data!$A:$A,0),MATCH(Y$2,data!$1:$1,0)),"#data"),IFERROR(X716*INDEX(indexy_SDcast!$A:$ALI,MATCH($R716,indexy_SDcast!$K:$K,0),MATCH(Y$2,indexy_SDcast!$2:$2,0)),"#ekrk")),"#popis")</f>
        <v>-2.4502245690456146</v>
      </c>
    </row>
    <row r="717" spans="1:44" x14ac:dyDescent="0.25">
      <c r="A717" s="330">
        <v>637014</v>
      </c>
      <c r="B717" s="329">
        <v>-235.26780000000005</v>
      </c>
      <c r="C717" s="157"/>
      <c r="D717" s="330">
        <v>637014</v>
      </c>
      <c r="E717" s="329">
        <v>-235.26780000000005</v>
      </c>
      <c r="F717" s="157"/>
      <c r="G717" s="330">
        <v>637014</v>
      </c>
      <c r="H717" s="329">
        <v>-235.26780000000005</v>
      </c>
      <c r="I717" s="157"/>
      <c r="J717" s="330">
        <v>637014</v>
      </c>
      <c r="K717" s="329">
        <v>-235.26780000000005</v>
      </c>
      <c r="L717" s="157"/>
      <c r="M717" s="360">
        <f t="shared" si="70"/>
        <v>637014</v>
      </c>
      <c r="N717" s="237">
        <f t="shared" si="71"/>
        <v>-235.26780000000005</v>
      </c>
      <c r="O717" s="361"/>
      <c r="P717" s="361"/>
      <c r="Q717" s="361" t="s">
        <v>698</v>
      </c>
      <c r="R717" s="362">
        <v>35</v>
      </c>
      <c r="S717" s="236"/>
      <c r="T717" s="364">
        <f t="shared" si="72"/>
        <v>637014</v>
      </c>
      <c r="U717" s="365">
        <f t="shared" si="73"/>
        <v>-235.26780000000005</v>
      </c>
      <c r="V717" s="365">
        <f>IF($Q717="ekrk",IF($R717="data",IFERROR(INDEX(data!$A:$ALL,MATCH($M717,data!$A:$A,0),MATCH(V$2,data!$1:$1,0)),"#data"),IFERROR(U717*INDEX(indexy_SDcast!$A:$ALI,MATCH($R717,indexy_SDcast!$K:$K,0),MATCH(V$2,indexy_SDcast!$2:$2,0)),"#ekrk")),"#popis")</f>
        <v>-301.19739984526802</v>
      </c>
      <c r="W717" s="365">
        <f>IF($Q717="ekrk",IF($R717="data",IFERROR(INDEX(data!$A:$ALL,MATCH($M717,data!$A:$A,0),MATCH(W$2,data!$1:$1,0)),"#data"),IFERROR(V717*INDEX(indexy_SDcast!$A:$ALI,MATCH($R717,indexy_SDcast!$K:$K,0),MATCH(W$2,indexy_SDcast!$2:$2,0)),"#ekrk")),"#popis")</f>
        <v>-304.58325188642777</v>
      </c>
      <c r="X717" s="365">
        <f>IF($Q717="ekrk",IF($R717="data",IFERROR(INDEX(data!$A:$ALL,MATCH($M717,data!$A:$A,0),MATCH(X$2,data!$1:$1,0)),"#data"),IFERROR(W717*INDEX(indexy_SDcast!$A:$ALI,MATCH($R717,indexy_SDcast!$K:$K,0),MATCH(X$2,indexy_SDcast!$2:$2,0)),"#ekrk")),"#popis")</f>
        <v>-195.64173867473721</v>
      </c>
      <c r="Y717" s="362">
        <f>IF($Q717="ekrk",IF($R717="data",IFERROR(INDEX(data!$A:$ALL,MATCH($M717,data!$A:$A,0),MATCH(Y$2,data!$1:$1,0)),"#data"),IFERROR(X717*INDEX(indexy_SDcast!$A:$ALI,MATCH($R717,indexy_SDcast!$K:$K,0),MATCH(Y$2,indexy_SDcast!$2:$2,0)),"#ekrk")),"#popis")</f>
        <v>-264.67352794550504</v>
      </c>
    </row>
    <row r="718" spans="1:44" x14ac:dyDescent="0.25">
      <c r="A718" s="330">
        <v>637026</v>
      </c>
      <c r="B718" s="329">
        <v>-8.5314999999999994</v>
      </c>
      <c r="C718" s="157"/>
      <c r="D718" s="330">
        <v>637026</v>
      </c>
      <c r="E718" s="329">
        <v>-8.5314999999999994</v>
      </c>
      <c r="F718" s="157"/>
      <c r="G718" s="330">
        <v>637026</v>
      </c>
      <c r="H718" s="329">
        <v>-8.5314999999999994</v>
      </c>
      <c r="I718" s="157"/>
      <c r="J718" s="330">
        <v>637026</v>
      </c>
      <c r="K718" s="329">
        <v>-8.5314999999999994</v>
      </c>
      <c r="L718" s="157"/>
      <c r="M718" s="360">
        <f t="shared" si="70"/>
        <v>637026</v>
      </c>
      <c r="N718" s="237">
        <f t="shared" si="71"/>
        <v>-8.5314999999999994</v>
      </c>
      <c r="O718" s="361"/>
      <c r="P718" s="361"/>
      <c r="Q718" s="361" t="s">
        <v>698</v>
      </c>
      <c r="R718" s="362">
        <v>35</v>
      </c>
      <c r="S718" s="236"/>
      <c r="T718" s="364">
        <f t="shared" si="72"/>
        <v>637026</v>
      </c>
      <c r="U718" s="365">
        <f t="shared" si="73"/>
        <v>-8.5314999999999994</v>
      </c>
      <c r="V718" s="365">
        <f>IF($Q718="ekrk",IF($R718="data",IFERROR(INDEX(data!$A:$ALL,MATCH($M718,data!$A:$A,0),MATCH(V$2,data!$1:$1,0)),"#data"),IFERROR(U718*INDEX(indexy_SDcast!$A:$ALI,MATCH($R718,indexy_SDcast!$K:$K,0),MATCH(V$2,indexy_SDcast!$2:$2,0)),"#ekrk")),"#popis")</f>
        <v>-10.92230053062894</v>
      </c>
      <c r="W718" s="365">
        <f>IF($Q718="ekrk",IF($R718="data",IFERROR(INDEX(data!$A:$ALL,MATCH($M718,data!$A:$A,0),MATCH(W$2,data!$1:$1,0)),"#data"),IFERROR(V718*INDEX(indexy_SDcast!$A:$ALI,MATCH($R718,indexy_SDcast!$K:$K,0),MATCH(W$2,indexy_SDcast!$2:$2,0)),"#ekrk")),"#popis")</f>
        <v>-11.045081449603632</v>
      </c>
      <c r="X718" s="365">
        <f>IF($Q718="ekrk",IF($R718="data",IFERROR(INDEX(data!$A:$ALL,MATCH($M718,data!$A:$A,0),MATCH(X$2,data!$1:$1,0)),"#data"),IFERROR(W718*INDEX(indexy_SDcast!$A:$ALI,MATCH($R718,indexy_SDcast!$K:$K,0),MATCH(X$2,indexy_SDcast!$2:$2,0)),"#ekrk")),"#popis")</f>
        <v>-7.0945428720101935</v>
      </c>
      <c r="Y718" s="362">
        <f>IF($Q718="ekrk",IF($R718="data",IFERROR(INDEX(data!$A:$ALL,MATCH($M718,data!$A:$A,0),MATCH(Y$2,data!$1:$1,0)),"#data"),IFERROR(X718*INDEX(indexy_SDcast!$A:$ALI,MATCH($R718,indexy_SDcast!$K:$K,0),MATCH(Y$2,indexy_SDcast!$2:$2,0)),"#ekrk")),"#popis")</f>
        <v>-9.5978378837523675</v>
      </c>
    </row>
    <row r="719" spans="1:44" x14ac:dyDescent="0.25">
      <c r="A719" s="330">
        <v>637027</v>
      </c>
      <c r="B719" s="329">
        <v>-2349.671510000001</v>
      </c>
      <c r="C719" s="157"/>
      <c r="D719" s="330">
        <v>637027</v>
      </c>
      <c r="E719" s="329">
        <v>-2349.671510000001</v>
      </c>
      <c r="F719" s="157"/>
      <c r="G719" s="330">
        <v>637027</v>
      </c>
      <c r="H719" s="329">
        <v>-2349.671510000001</v>
      </c>
      <c r="I719" s="157"/>
      <c r="J719" s="330">
        <v>637027</v>
      </c>
      <c r="K719" s="329">
        <v>-2349.671510000001</v>
      </c>
      <c r="L719" s="157"/>
      <c r="M719" s="360">
        <f t="shared" si="70"/>
        <v>637027</v>
      </c>
      <c r="N719" s="237">
        <f t="shared" si="71"/>
        <v>-2349.671510000001</v>
      </c>
      <c r="O719" s="361"/>
      <c r="P719" s="361"/>
      <c r="Q719" s="361" t="s">
        <v>698</v>
      </c>
      <c r="R719" s="362">
        <v>35</v>
      </c>
      <c r="S719" s="236"/>
      <c r="T719" s="364">
        <f t="shared" si="72"/>
        <v>637027</v>
      </c>
      <c r="U719" s="365">
        <f t="shared" si="73"/>
        <v>-2349.671510000001</v>
      </c>
      <c r="V719" s="365">
        <f>IF($Q719="ekrk",IF($R719="data",IFERROR(INDEX(data!$A:$ALL,MATCH($M719,data!$A:$A,0),MATCH(V$2,data!$1:$1,0)),"#data"),IFERROR(U719*INDEX(indexy_SDcast!$A:$ALI,MATCH($R719,indexy_SDcast!$K:$K,0),MATCH(V$2,indexy_SDcast!$2:$2,0)),"#ekrk")),"#popis")</f>
        <v>-3008.124993316148</v>
      </c>
      <c r="W719" s="365">
        <f>IF($Q719="ekrk",IF($R719="data",IFERROR(INDEX(data!$A:$ALL,MATCH($M719,data!$A:$A,0),MATCH(W$2,data!$1:$1,0)),"#data"),IFERROR(V719*INDEX(indexy_SDcast!$A:$ALI,MATCH($R719,indexy_SDcast!$K:$K,0),MATCH(W$2,indexy_SDcast!$2:$2,0)),"#ekrk")),"#popis")</f>
        <v>-3041.9402458844484</v>
      </c>
      <c r="X719" s="365">
        <f>IF($Q719="ekrk",IF($R719="data",IFERROR(INDEX(data!$A:$ALL,MATCH($M719,data!$A:$A,0),MATCH(X$2,data!$1:$1,0)),"#data"),IFERROR(W719*INDEX(indexy_SDcast!$A:$ALI,MATCH($R719,indexy_SDcast!$K:$K,0),MATCH(X$2,indexy_SDcast!$2:$2,0)),"#ekrk")),"#popis")</f>
        <v>-1953.9172786539223</v>
      </c>
      <c r="Y719" s="362">
        <f>IF($Q719="ekrk",IF($R719="data",IFERROR(INDEX(data!$A:$ALL,MATCH($M719,data!$A:$A,0),MATCH(Y$2,data!$1:$1,0)),"#data"),IFERROR(X719*INDEX(indexy_SDcast!$A:$ALI,MATCH($R719,indexy_SDcast!$K:$K,0),MATCH(Y$2,indexy_SDcast!$2:$2,0)),"#ekrk")),"#popis")</f>
        <v>-2643.3530133096929</v>
      </c>
    </row>
    <row r="720" spans="1:44" s="18" customFormat="1" x14ac:dyDescent="0.25">
      <c r="A720" s="333" t="s">
        <v>700</v>
      </c>
      <c r="B720" s="334">
        <v>-14615.852330000003</v>
      </c>
      <c r="C720" s="164"/>
      <c r="D720" s="333" t="s">
        <v>700</v>
      </c>
      <c r="E720" s="334">
        <v>-14615.852330000003</v>
      </c>
      <c r="F720" s="164"/>
      <c r="G720" s="333" t="s">
        <v>700</v>
      </c>
      <c r="H720" s="334">
        <v>-14615.852330000003</v>
      </c>
      <c r="I720" s="164"/>
      <c r="J720" s="333" t="s">
        <v>700</v>
      </c>
      <c r="K720" s="334">
        <v>-14615.852330000003</v>
      </c>
      <c r="L720" s="164"/>
      <c r="M720" s="358" t="str">
        <f t="shared" si="70"/>
        <v>D121PAY</v>
      </c>
      <c r="N720" s="239">
        <f t="shared" si="71"/>
        <v>-14615.852330000003</v>
      </c>
      <c r="O720" s="243"/>
      <c r="P720" s="243">
        <f>MATCH(Q720,Q721:Q$1550,0)</f>
        <v>17</v>
      </c>
      <c r="Q720" s="243" t="s">
        <v>697</v>
      </c>
      <c r="R720" s="359"/>
      <c r="S720" s="240"/>
      <c r="T720" s="363" t="str">
        <f t="shared" si="72"/>
        <v>D121PAY</v>
      </c>
      <c r="U720" s="244">
        <f>SUM(U721:U736)</f>
        <v>-14615.852330000003</v>
      </c>
      <c r="V720" s="244">
        <f>SUM(V721:V736)</f>
        <v>-18711.683954703542</v>
      </c>
      <c r="W720" s="244">
        <f>SUM(W721:W736)</f>
        <v>-18922.027713793479</v>
      </c>
      <c r="X720" s="244">
        <f>SUM(X721:X736)</f>
        <v>-12154.11017595442</v>
      </c>
      <c r="Y720" s="359">
        <f>SUM(Y721:Y736)</f>
        <v>-16442.663212354728</v>
      </c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8"/>
      <c r="AN720" s="58"/>
      <c r="AO720" s="58"/>
      <c r="AP720" s="58"/>
      <c r="AQ720" s="58"/>
      <c r="AR720" s="58"/>
    </row>
    <row r="721" spans="1:25" x14ac:dyDescent="0.25">
      <c r="A721" s="330">
        <v>621000</v>
      </c>
      <c r="B721" s="329">
        <v>-3252.7862899999977</v>
      </c>
      <c r="C721" s="157"/>
      <c r="D721" s="330">
        <v>621000</v>
      </c>
      <c r="E721" s="329">
        <v>-3252.7862899999977</v>
      </c>
      <c r="F721" s="157"/>
      <c r="G721" s="330">
        <v>621000</v>
      </c>
      <c r="H721" s="329">
        <v>-3252.7862899999977</v>
      </c>
      <c r="I721" s="157"/>
      <c r="J721" s="330">
        <v>621000</v>
      </c>
      <c r="K721" s="329">
        <v>-3252.7862899999977</v>
      </c>
      <c r="L721" s="157"/>
      <c r="M721" s="360">
        <f t="shared" si="70"/>
        <v>621000</v>
      </c>
      <c r="N721" s="237">
        <f t="shared" si="71"/>
        <v>-3252.7862899999977</v>
      </c>
      <c r="O721" s="361"/>
      <c r="P721" s="361"/>
      <c r="Q721" s="361" t="s">
        <v>698</v>
      </c>
      <c r="R721" s="362">
        <v>35</v>
      </c>
      <c r="S721" s="236"/>
      <c r="T721" s="364">
        <f t="shared" si="72"/>
        <v>621000</v>
      </c>
      <c r="U721" s="365">
        <f t="shared" ref="U721:U736" si="74">N721</f>
        <v>-3252.7862899999977</v>
      </c>
      <c r="V721" s="365">
        <f>IF($Q721="ekrk",IF($R721="data",IFERROR(INDEX(data!$A:$ALL,MATCH($M721,data!$A:$A,0),MATCH(V$2,data!$1:$1,0)),"#data"),IFERROR(U721*INDEX(indexy_SDcast!$A:$ALI,MATCH($R721,indexy_SDcast!$K:$K,0),MATCH(V$2,indexy_SDcast!$2:$2,0)),"#ekrk")),"#popis")</f>
        <v>-4164.3215637683315</v>
      </c>
      <c r="W721" s="365">
        <f>IF($Q721="ekrk",IF($R721="data",IFERROR(INDEX(data!$A:$ALL,MATCH($M721,data!$A:$A,0),MATCH(W$2,data!$1:$1,0)),"#data"),IFERROR(V721*INDEX(indexy_SDcast!$A:$ALI,MATCH($R721,indexy_SDcast!$K:$K,0),MATCH(W$2,indexy_SDcast!$2:$2,0)),"#ekrk")),"#popis")</f>
        <v>-4211.1339754092487</v>
      </c>
      <c r="X721" s="365">
        <f>IF($Q721="ekrk",IF($R721="data",IFERROR(INDEX(data!$A:$ALL,MATCH($M721,data!$A:$A,0),MATCH(X$2,data!$1:$1,0)),"#data"),IFERROR(W721*INDEX(indexy_SDcast!$A:$ALI,MATCH($R721,indexy_SDcast!$K:$K,0),MATCH(X$2,indexy_SDcast!$2:$2,0)),"#ekrk")),"#popis")</f>
        <v>-2704.9207979712796</v>
      </c>
      <c r="Y721" s="362">
        <f>IF($Q721="ekrk",IF($R721="data",IFERROR(INDEX(data!$A:$ALL,MATCH($M721,data!$A:$A,0),MATCH(Y$2,data!$1:$1,0)),"#data"),IFERROR(X721*INDEX(indexy_SDcast!$A:$ALI,MATCH($R721,indexy_SDcast!$K:$K,0),MATCH(Y$2,indexy_SDcast!$2:$2,0)),"#ekrk")),"#popis")</f>
        <v>-3659.3465957817853</v>
      </c>
    </row>
    <row r="722" spans="1:25" x14ac:dyDescent="0.25">
      <c r="A722" s="330">
        <v>623000</v>
      </c>
      <c r="B722" s="329">
        <v>-1107.8491100000008</v>
      </c>
      <c r="C722" s="157"/>
      <c r="D722" s="330">
        <v>623000</v>
      </c>
      <c r="E722" s="329">
        <v>-1107.8491100000008</v>
      </c>
      <c r="F722" s="157"/>
      <c r="G722" s="330">
        <v>623000</v>
      </c>
      <c r="H722" s="329">
        <v>-1107.8491100000008</v>
      </c>
      <c r="I722" s="157"/>
      <c r="J722" s="330">
        <v>623000</v>
      </c>
      <c r="K722" s="329">
        <v>-1107.8491100000008</v>
      </c>
      <c r="L722" s="157"/>
      <c r="M722" s="360">
        <f t="shared" si="70"/>
        <v>623000</v>
      </c>
      <c r="N722" s="237">
        <f t="shared" si="71"/>
        <v>-1107.8491100000008</v>
      </c>
      <c r="O722" s="361"/>
      <c r="P722" s="361"/>
      <c r="Q722" s="361" t="s">
        <v>698</v>
      </c>
      <c r="R722" s="362">
        <v>35</v>
      </c>
      <c r="S722" s="236"/>
      <c r="T722" s="364">
        <f t="shared" si="72"/>
        <v>623000</v>
      </c>
      <c r="U722" s="365">
        <f t="shared" si="74"/>
        <v>-1107.8491100000008</v>
      </c>
      <c r="V722" s="365">
        <f>IF($Q722="ekrk",IF($R722="data",IFERROR(INDEX(data!$A:$ALL,MATCH($M722,data!$A:$A,0),MATCH(V$2,data!$1:$1,0)),"#data"),IFERROR(U722*INDEX(indexy_SDcast!$A:$ALI,MATCH($R722,indexy_SDcast!$K:$K,0),MATCH(V$2,indexy_SDcast!$2:$2,0)),"#ekrk")),"#popis")</f>
        <v>-1418.3040405567378</v>
      </c>
      <c r="W722" s="365">
        <f>IF($Q722="ekrk",IF($R722="data",IFERROR(INDEX(data!$A:$ALL,MATCH($M722,data!$A:$A,0),MATCH(W$2,data!$1:$1,0)),"#data"),IFERROR(V722*INDEX(indexy_SDcast!$A:$ALI,MATCH($R722,indexy_SDcast!$K:$K,0),MATCH(W$2,indexy_SDcast!$2:$2,0)),"#ekrk")),"#popis")</f>
        <v>-1434.2476298213567</v>
      </c>
      <c r="X722" s="365">
        <f>IF($Q722="ekrk",IF($R722="data",IFERROR(INDEX(data!$A:$ALL,MATCH($M722,data!$A:$A,0),MATCH(X$2,data!$1:$1,0)),"#data"),IFERROR(W722*INDEX(indexy_SDcast!$A:$ALI,MATCH($R722,indexy_SDcast!$K:$K,0),MATCH(X$2,indexy_SDcast!$2:$2,0)),"#ekrk")),"#popis")</f>
        <v>-921.25452811502589</v>
      </c>
      <c r="Y722" s="362">
        <f>IF($Q722="ekrk",IF($R722="data",IFERROR(INDEX(data!$A:$ALL,MATCH($M722,data!$A:$A,0),MATCH(Y$2,data!$1:$1,0)),"#data"),IFERROR(X722*INDEX(indexy_SDcast!$A:$ALI,MATCH($R722,indexy_SDcast!$K:$K,0),MATCH(Y$2,indexy_SDcast!$2:$2,0)),"#ekrk")),"#popis")</f>
        <v>-1246.3173131851788</v>
      </c>
    </row>
    <row r="723" spans="1:25" x14ac:dyDescent="0.25">
      <c r="A723" s="330">
        <v>625001</v>
      </c>
      <c r="B723" s="329">
        <v>-573.4964300000006</v>
      </c>
      <c r="C723" s="157"/>
      <c r="D723" s="330">
        <v>625001</v>
      </c>
      <c r="E723" s="329">
        <v>-573.4964300000006</v>
      </c>
      <c r="F723" s="157"/>
      <c r="G723" s="330">
        <v>625001</v>
      </c>
      <c r="H723" s="329">
        <v>-573.4964300000006</v>
      </c>
      <c r="I723" s="157"/>
      <c r="J723" s="330">
        <v>625001</v>
      </c>
      <c r="K723" s="329">
        <v>-573.4964300000006</v>
      </c>
      <c r="L723" s="157"/>
      <c r="M723" s="360">
        <f t="shared" si="70"/>
        <v>625001</v>
      </c>
      <c r="N723" s="237">
        <f t="shared" si="71"/>
        <v>-573.4964300000006</v>
      </c>
      <c r="O723" s="361"/>
      <c r="P723" s="361"/>
      <c r="Q723" s="361" t="s">
        <v>698</v>
      </c>
      <c r="R723" s="362">
        <v>35</v>
      </c>
      <c r="S723" s="236"/>
      <c r="T723" s="364">
        <f t="shared" si="72"/>
        <v>625001</v>
      </c>
      <c r="U723" s="365">
        <f t="shared" si="74"/>
        <v>-573.4964300000006</v>
      </c>
      <c r="V723" s="365">
        <f>IF($Q723="ekrk",IF($R723="data",IFERROR(INDEX(data!$A:$ALL,MATCH($M723,data!$A:$A,0),MATCH(V$2,data!$1:$1,0)),"#data"),IFERROR(U723*INDEX(indexy_SDcast!$A:$ALI,MATCH($R723,indexy_SDcast!$K:$K,0),MATCH(V$2,indexy_SDcast!$2:$2,0)),"#ekrk")),"#popis")</f>
        <v>-734.208563758168</v>
      </c>
      <c r="W723" s="365">
        <f>IF($Q723="ekrk",IF($R723="data",IFERROR(INDEX(data!$A:$ALL,MATCH($M723,data!$A:$A,0),MATCH(W$2,data!$1:$1,0)),"#data"),IFERROR(V723*INDEX(indexy_SDcast!$A:$ALI,MATCH($R723,indexy_SDcast!$K:$K,0),MATCH(W$2,indexy_SDcast!$2:$2,0)),"#ekrk")),"#popis")</f>
        <v>-742.46202665497458</v>
      </c>
      <c r="X723" s="365">
        <f>IF($Q723="ekrk",IF($R723="data",IFERROR(INDEX(data!$A:$ALL,MATCH($M723,data!$A:$A,0),MATCH(X$2,data!$1:$1,0)),"#data"),IFERROR(W723*INDEX(indexy_SDcast!$A:$ALI,MATCH($R723,indexy_SDcast!$K:$K,0),MATCH(X$2,indexy_SDcast!$2:$2,0)),"#ekrk")),"#popis")</f>
        <v>-476.90265599013043</v>
      </c>
      <c r="Y723" s="362">
        <f>IF($Q723="ekrk",IF($R723="data",IFERROR(INDEX(data!$A:$ALL,MATCH($M723,data!$A:$A,0),MATCH(Y$2,data!$1:$1,0)),"#data"),IFERROR(X723*INDEX(indexy_SDcast!$A:$ALI,MATCH($R723,indexy_SDcast!$K:$K,0),MATCH(Y$2,indexy_SDcast!$2:$2,0)),"#ekrk")),"#popis")</f>
        <v>-645.17678744074829</v>
      </c>
    </row>
    <row r="724" spans="1:25" x14ac:dyDescent="0.25">
      <c r="A724" s="330">
        <v>625002</v>
      </c>
      <c r="B724" s="329">
        <v>-5895.0374100000026</v>
      </c>
      <c r="C724" s="157"/>
      <c r="D724" s="330">
        <v>625002</v>
      </c>
      <c r="E724" s="329">
        <v>-5895.0374100000026</v>
      </c>
      <c r="F724" s="157"/>
      <c r="G724" s="330">
        <v>625002</v>
      </c>
      <c r="H724" s="329">
        <v>-5895.0374100000026</v>
      </c>
      <c r="I724" s="157"/>
      <c r="J724" s="330">
        <v>625002</v>
      </c>
      <c r="K724" s="329">
        <v>-5895.0374100000026</v>
      </c>
      <c r="L724" s="157"/>
      <c r="M724" s="360">
        <f t="shared" si="70"/>
        <v>625002</v>
      </c>
      <c r="N724" s="237">
        <f t="shared" si="71"/>
        <v>-5895.0374100000026</v>
      </c>
      <c r="O724" s="361"/>
      <c r="P724" s="361"/>
      <c r="Q724" s="361" t="s">
        <v>698</v>
      </c>
      <c r="R724" s="362">
        <v>35</v>
      </c>
      <c r="S724" s="236"/>
      <c r="T724" s="364">
        <f t="shared" si="72"/>
        <v>625002</v>
      </c>
      <c r="U724" s="365">
        <f t="shared" si="74"/>
        <v>-5895.0374100000026</v>
      </c>
      <c r="V724" s="365">
        <f>IF($Q724="ekrk",IF($R724="data",IFERROR(INDEX(data!$A:$ALL,MATCH($M724,data!$A:$A,0),MATCH(V$2,data!$1:$1,0)),"#data"),IFERROR(U724*INDEX(indexy_SDcast!$A:$ALI,MATCH($R724,indexy_SDcast!$K:$K,0),MATCH(V$2,indexy_SDcast!$2:$2,0)),"#ekrk")),"#popis")</f>
        <v>-7547.0163782828913</v>
      </c>
      <c r="W724" s="365">
        <f>IF($Q724="ekrk",IF($R724="data",IFERROR(INDEX(data!$A:$ALL,MATCH($M724,data!$A:$A,0),MATCH(W$2,data!$1:$1,0)),"#data"),IFERROR(V724*INDEX(indexy_SDcast!$A:$ALI,MATCH($R724,indexy_SDcast!$K:$K,0),MATCH(W$2,indexy_SDcast!$2:$2,0)),"#ekrk")),"#popis")</f>
        <v>-7631.854696350053</v>
      </c>
      <c r="X724" s="365">
        <f>IF($Q724="ekrk",IF($R724="data",IFERROR(INDEX(data!$A:$ALL,MATCH($M724,data!$A:$A,0),MATCH(X$2,data!$1:$1,0)),"#data"),IFERROR(W724*INDEX(indexy_SDcast!$A:$ALI,MATCH($R724,indexy_SDcast!$K:$K,0),MATCH(X$2,indexy_SDcast!$2:$2,0)),"#ekrk")),"#popis")</f>
        <v>-4902.1386200959923</v>
      </c>
      <c r="Y724" s="362">
        <f>IF($Q724="ekrk",IF($R724="data",IFERROR(INDEX(data!$A:$ALL,MATCH($M724,data!$A:$A,0),MATCH(Y$2,data!$1:$1,0)),"#data"),IFERROR(X724*INDEX(indexy_SDcast!$A:$ALI,MATCH($R724,indexy_SDcast!$K:$K,0),MATCH(Y$2,indexy_SDcast!$2:$2,0)),"#ekrk")),"#popis")</f>
        <v>-6631.8482540978112</v>
      </c>
    </row>
    <row r="725" spans="1:25" x14ac:dyDescent="0.25">
      <c r="A725" s="330">
        <v>625003</v>
      </c>
      <c r="B725" s="329">
        <v>-331.69699999999989</v>
      </c>
      <c r="C725" s="157"/>
      <c r="D725" s="330">
        <v>625003</v>
      </c>
      <c r="E725" s="329">
        <v>-331.69699999999989</v>
      </c>
      <c r="F725" s="157"/>
      <c r="G725" s="330">
        <v>625003</v>
      </c>
      <c r="H725" s="329">
        <v>-331.69699999999989</v>
      </c>
      <c r="I725" s="157"/>
      <c r="J725" s="330">
        <v>625003</v>
      </c>
      <c r="K725" s="329">
        <v>-331.69699999999989</v>
      </c>
      <c r="L725" s="157"/>
      <c r="M725" s="360">
        <f t="shared" si="70"/>
        <v>625003</v>
      </c>
      <c r="N725" s="237">
        <f t="shared" si="71"/>
        <v>-331.69699999999989</v>
      </c>
      <c r="O725" s="361"/>
      <c r="P725" s="361"/>
      <c r="Q725" s="361" t="s">
        <v>698</v>
      </c>
      <c r="R725" s="362">
        <v>35</v>
      </c>
      <c r="S725" s="236"/>
      <c r="T725" s="364">
        <f t="shared" si="72"/>
        <v>625003</v>
      </c>
      <c r="U725" s="365">
        <f t="shared" si="74"/>
        <v>-331.69699999999989</v>
      </c>
      <c r="V725" s="365">
        <f>IF($Q725="ekrk",IF($R725="data",IFERROR(INDEX(data!$A:$ALL,MATCH($M725,data!$A:$A,0),MATCH(V$2,data!$1:$1,0)),"#data"),IFERROR(U725*INDEX(indexy_SDcast!$A:$ALI,MATCH($R725,indexy_SDcast!$K:$K,0),MATCH(V$2,indexy_SDcast!$2:$2,0)),"#ekrk")),"#popis")</f>
        <v>-424.64916123870677</v>
      </c>
      <c r="W725" s="365">
        <f>IF($Q725="ekrk",IF($R725="data",IFERROR(INDEX(data!$A:$ALL,MATCH($M725,data!$A:$A,0),MATCH(W$2,data!$1:$1,0)),"#data"),IFERROR(V725*INDEX(indexy_SDcast!$A:$ALI,MATCH($R725,indexy_SDcast!$K:$K,0),MATCH(W$2,indexy_SDcast!$2:$2,0)),"#ekrk")),"#popis")</f>
        <v>-429.42277226621059</v>
      </c>
      <c r="X725" s="365">
        <f>IF($Q725="ekrk",IF($R725="data",IFERROR(INDEX(data!$A:$ALL,MATCH($M725,data!$A:$A,0),MATCH(X$2,data!$1:$1,0)),"#data"),IFERROR(W725*INDEX(indexy_SDcast!$A:$ALI,MATCH($R725,indexy_SDcast!$K:$K,0),MATCH(X$2,indexy_SDcast!$2:$2,0)),"#ekrk")),"#popis")</f>
        <v>-275.82940714026432</v>
      </c>
      <c r="Y725" s="362">
        <f>IF($Q725="ekrk",IF($R725="data",IFERROR(INDEX(data!$A:$ALL,MATCH($M725,data!$A:$A,0),MATCH(Y$2,data!$1:$1,0)),"#data"),IFERROR(X725*INDEX(indexy_SDcast!$A:$ALI,MATCH($R725,indexy_SDcast!$K:$K,0),MATCH(Y$2,indexy_SDcast!$2:$2,0)),"#ekrk")),"#popis")</f>
        <v>-373.155252010433</v>
      </c>
    </row>
    <row r="726" spans="1:25" x14ac:dyDescent="0.25">
      <c r="A726" s="330">
        <v>625004</v>
      </c>
      <c r="B726" s="329">
        <v>-1148.4360800000004</v>
      </c>
      <c r="C726" s="157"/>
      <c r="D726" s="330">
        <v>625004</v>
      </c>
      <c r="E726" s="329">
        <v>-1148.4360800000004</v>
      </c>
      <c r="F726" s="157"/>
      <c r="G726" s="330">
        <v>625004</v>
      </c>
      <c r="H726" s="329">
        <v>-1148.4360800000004</v>
      </c>
      <c r="I726" s="157"/>
      <c r="J726" s="330">
        <v>625004</v>
      </c>
      <c r="K726" s="329">
        <v>-1148.4360800000004</v>
      </c>
      <c r="L726" s="157"/>
      <c r="M726" s="360">
        <f t="shared" si="70"/>
        <v>625004</v>
      </c>
      <c r="N726" s="237">
        <f t="shared" si="71"/>
        <v>-1148.4360800000004</v>
      </c>
      <c r="O726" s="361"/>
      <c r="P726" s="361"/>
      <c r="Q726" s="361" t="s">
        <v>698</v>
      </c>
      <c r="R726" s="362">
        <v>35</v>
      </c>
      <c r="S726" s="236"/>
      <c r="T726" s="364">
        <f t="shared" si="72"/>
        <v>625004</v>
      </c>
      <c r="U726" s="365">
        <f t="shared" si="74"/>
        <v>-1148.4360800000004</v>
      </c>
      <c r="V726" s="365">
        <f>IF($Q726="ekrk",IF($R726="data",IFERROR(INDEX(data!$A:$ALL,MATCH($M726,data!$A:$A,0),MATCH(V$2,data!$1:$1,0)),"#data"),IFERROR(U726*INDEX(indexy_SDcast!$A:$ALI,MATCH($R726,indexy_SDcast!$K:$K,0),MATCH(V$2,indexy_SDcast!$2:$2,0)),"#ekrk")),"#popis")</f>
        <v>-1470.2647841501994</v>
      </c>
      <c r="W726" s="365">
        <f>IF($Q726="ekrk",IF($R726="data",IFERROR(INDEX(data!$A:$ALL,MATCH($M726,data!$A:$A,0),MATCH(W$2,data!$1:$1,0)),"#data"),IFERROR(V726*INDEX(indexy_SDcast!$A:$ALI,MATCH($R726,indexy_SDcast!$K:$K,0),MATCH(W$2,indexy_SDcast!$2:$2,0)),"#ekrk")),"#popis")</f>
        <v>-1486.7924800168223</v>
      </c>
      <c r="X726" s="365">
        <f>IF($Q726="ekrk",IF($R726="data",IFERROR(INDEX(data!$A:$ALL,MATCH($M726,data!$A:$A,0),MATCH(X$2,data!$1:$1,0)),"#data"),IFERROR(W726*INDEX(indexy_SDcast!$A:$ALI,MATCH($R726,indexy_SDcast!$K:$K,0),MATCH(X$2,indexy_SDcast!$2:$2,0)),"#ekrk")),"#popis")</f>
        <v>-955.00545101369426</v>
      </c>
      <c r="Y726" s="362">
        <f>IF($Q726="ekrk",IF($R726="data",IFERROR(INDEX(data!$A:$ALL,MATCH($M726,data!$A:$A,0),MATCH(Y$2,data!$1:$1,0)),"#data"),IFERROR(X726*INDEX(indexy_SDcast!$A:$ALI,MATCH($R726,indexy_SDcast!$K:$K,0),MATCH(Y$2,indexy_SDcast!$2:$2,0)),"#ekrk")),"#popis")</f>
        <v>-1291.9771805300441</v>
      </c>
    </row>
    <row r="727" spans="1:25" x14ac:dyDescent="0.25">
      <c r="A727" s="330">
        <v>625005</v>
      </c>
      <c r="B727" s="329">
        <v>-389.58740999999992</v>
      </c>
      <c r="C727" s="157"/>
      <c r="D727" s="330">
        <v>625005</v>
      </c>
      <c r="E727" s="329">
        <v>-389.58740999999992</v>
      </c>
      <c r="F727" s="157"/>
      <c r="G727" s="330">
        <v>625005</v>
      </c>
      <c r="H727" s="329">
        <v>-389.58740999999992</v>
      </c>
      <c r="I727" s="157"/>
      <c r="J727" s="330">
        <v>625005</v>
      </c>
      <c r="K727" s="329">
        <v>-389.58740999999992</v>
      </c>
      <c r="L727" s="157"/>
      <c r="M727" s="360">
        <f t="shared" si="70"/>
        <v>625005</v>
      </c>
      <c r="N727" s="237">
        <f t="shared" si="71"/>
        <v>-389.58740999999992</v>
      </c>
      <c r="O727" s="361"/>
      <c r="P727" s="361"/>
      <c r="Q727" s="361" t="s">
        <v>698</v>
      </c>
      <c r="R727" s="362">
        <v>35</v>
      </c>
      <c r="S727" s="236"/>
      <c r="T727" s="364">
        <f t="shared" si="72"/>
        <v>625005</v>
      </c>
      <c r="U727" s="365">
        <f t="shared" si="74"/>
        <v>-389.58740999999992</v>
      </c>
      <c r="V727" s="365">
        <f>IF($Q727="ekrk",IF($R727="data",IFERROR(INDEX(data!$A:$ALL,MATCH($M727,data!$A:$A,0),MATCH(V$2,data!$1:$1,0)),"#data"),IFERROR(U727*INDEX(indexy_SDcast!$A:$ALI,MATCH($R727,indexy_SDcast!$K:$K,0),MATCH(V$2,indexy_SDcast!$2:$2,0)),"#ekrk")),"#popis")</f>
        <v>-498.76232490996358</v>
      </c>
      <c r="W727" s="365">
        <f>IF($Q727="ekrk",IF($R727="data",IFERROR(INDEX(data!$A:$ALL,MATCH($M727,data!$A:$A,0),MATCH(W$2,data!$1:$1,0)),"#data"),IFERROR(V727*INDEX(indexy_SDcast!$A:$ALI,MATCH($R727,indexy_SDcast!$K:$K,0),MATCH(W$2,indexy_SDcast!$2:$2,0)),"#ekrk")),"#popis")</f>
        <v>-504.36906466507935</v>
      </c>
      <c r="X727" s="365">
        <f>IF($Q727="ekrk",IF($R727="data",IFERROR(INDEX(data!$A:$ALL,MATCH($M727,data!$A:$A,0),MATCH(X$2,data!$1:$1,0)),"#data"),IFERROR(W727*INDEX(indexy_SDcast!$A:$ALI,MATCH($R727,indexy_SDcast!$K:$K,0),MATCH(X$2,indexy_SDcast!$2:$2,0)),"#ekrk")),"#popis")</f>
        <v>-323.96935857005366</v>
      </c>
      <c r="Y727" s="362">
        <f>IF($Q727="ekrk",IF($R727="data",IFERROR(INDEX(data!$A:$ALL,MATCH($M727,data!$A:$A,0),MATCH(Y$2,data!$1:$1,0)),"#data"),IFERROR(X727*INDEX(indexy_SDcast!$A:$ALI,MATCH($R727,indexy_SDcast!$K:$K,0),MATCH(Y$2,indexy_SDcast!$2:$2,0)),"#ekrk")),"#popis")</f>
        <v>-438.28128731535674</v>
      </c>
    </row>
    <row r="728" spans="1:25" x14ac:dyDescent="0.25">
      <c r="A728" s="330">
        <v>625006</v>
      </c>
      <c r="B728" s="329">
        <v>-10.892589999999998</v>
      </c>
      <c r="C728" s="157"/>
      <c r="D728" s="330">
        <v>625006</v>
      </c>
      <c r="E728" s="329">
        <v>-10.892589999999998</v>
      </c>
      <c r="F728" s="157"/>
      <c r="G728" s="330">
        <v>625006</v>
      </c>
      <c r="H728" s="329">
        <v>-10.892589999999998</v>
      </c>
      <c r="I728" s="157"/>
      <c r="J728" s="330">
        <v>625006</v>
      </c>
      <c r="K728" s="329">
        <v>-10.892589999999998</v>
      </c>
      <c r="L728" s="157"/>
      <c r="M728" s="360">
        <f t="shared" si="70"/>
        <v>625006</v>
      </c>
      <c r="N728" s="237">
        <f t="shared" si="71"/>
        <v>-10.892589999999998</v>
      </c>
      <c r="O728" s="361"/>
      <c r="P728" s="361"/>
      <c r="Q728" s="361" t="s">
        <v>698</v>
      </c>
      <c r="R728" s="362">
        <v>35</v>
      </c>
      <c r="S728" s="236"/>
      <c r="T728" s="364">
        <f t="shared" si="72"/>
        <v>625006</v>
      </c>
      <c r="U728" s="365">
        <f t="shared" si="74"/>
        <v>-10.892589999999998</v>
      </c>
      <c r="V728" s="365">
        <f>IF($Q728="ekrk",IF($R728="data",IFERROR(INDEX(data!$A:$ALL,MATCH($M728,data!$A:$A,0),MATCH(V$2,data!$1:$1,0)),"#data"),IFERROR(U728*INDEX(indexy_SDcast!$A:$ALI,MATCH($R728,indexy_SDcast!$K:$K,0),MATCH(V$2,indexy_SDcast!$2:$2,0)),"#ekrk")),"#popis")</f>
        <v>-13.945043841871122</v>
      </c>
      <c r="W728" s="365">
        <f>IF($Q728="ekrk",IF($R728="data",IFERROR(INDEX(data!$A:$ALL,MATCH($M728,data!$A:$A,0),MATCH(W$2,data!$1:$1,0)),"#data"),IFERROR(V728*INDEX(indexy_SDcast!$A:$ALI,MATCH($R728,indexy_SDcast!$K:$K,0),MATCH(W$2,indexy_SDcast!$2:$2,0)),"#ekrk")),"#popis")</f>
        <v>-14.101804342394423</v>
      </c>
      <c r="X728" s="365">
        <f>IF($Q728="ekrk",IF($R728="data",IFERROR(INDEX(data!$A:$ALL,MATCH($M728,data!$A:$A,0),MATCH(X$2,data!$1:$1,0)),"#data"),IFERROR(W728*INDEX(indexy_SDcast!$A:$ALI,MATCH($R728,indexy_SDcast!$K:$K,0),MATCH(X$2,indexy_SDcast!$2:$2,0)),"#ekrk")),"#popis")</f>
        <v>-9.0579554289667126</v>
      </c>
      <c r="Y728" s="362">
        <f>IF($Q728="ekrk",IF($R728="data",IFERROR(INDEX(data!$A:$ALL,MATCH($M728,data!$A:$A,0),MATCH(Y$2,data!$1:$1,0)),"#data"),IFERROR(X728*INDEX(indexy_SDcast!$A:$ALI,MATCH($R728,indexy_SDcast!$K:$K,0),MATCH(Y$2,indexy_SDcast!$2:$2,0)),"#ekrk")),"#popis")</f>
        <v>-12.254036564986485</v>
      </c>
    </row>
    <row r="729" spans="1:25" x14ac:dyDescent="0.25">
      <c r="A729" s="330">
        <v>625007</v>
      </c>
      <c r="B729" s="329">
        <v>-1891.590899999999</v>
      </c>
      <c r="C729" s="157"/>
      <c r="D729" s="330">
        <v>625007</v>
      </c>
      <c r="E729" s="329">
        <v>-1891.590899999999</v>
      </c>
      <c r="F729" s="157"/>
      <c r="G729" s="330">
        <v>625007</v>
      </c>
      <c r="H729" s="329">
        <v>-1891.590899999999</v>
      </c>
      <c r="I729" s="157"/>
      <c r="J729" s="330">
        <v>625007</v>
      </c>
      <c r="K729" s="329">
        <v>-1891.590899999999</v>
      </c>
      <c r="L729" s="157"/>
      <c r="M729" s="360">
        <f t="shared" si="70"/>
        <v>625007</v>
      </c>
      <c r="N729" s="237">
        <f t="shared" si="71"/>
        <v>-1891.590899999999</v>
      </c>
      <c r="O729" s="361"/>
      <c r="P729" s="361"/>
      <c r="Q729" s="361" t="s">
        <v>698</v>
      </c>
      <c r="R729" s="362">
        <v>35</v>
      </c>
      <c r="S729" s="236"/>
      <c r="T729" s="364">
        <f t="shared" si="72"/>
        <v>625007</v>
      </c>
      <c r="U729" s="365">
        <f t="shared" si="74"/>
        <v>-1891.590899999999</v>
      </c>
      <c r="V729" s="365">
        <f>IF($Q729="ekrk",IF($R729="data",IFERROR(INDEX(data!$A:$ALL,MATCH($M729,data!$A:$A,0),MATCH(V$2,data!$1:$1,0)),"#data"),IFERROR(U729*INDEX(indexy_SDcast!$A:$ALI,MATCH($R729,indexy_SDcast!$K:$K,0),MATCH(V$2,indexy_SDcast!$2:$2,0)),"#ekrk")),"#popis")</f>
        <v>-2421.6754721681846</v>
      </c>
      <c r="W729" s="365">
        <f>IF($Q729="ekrk",IF($R729="data",IFERROR(INDEX(data!$A:$ALL,MATCH($M729,data!$A:$A,0),MATCH(W$2,data!$1:$1,0)),"#data"),IFERROR(V729*INDEX(indexy_SDcast!$A:$ALI,MATCH($R729,indexy_SDcast!$K:$K,0),MATCH(W$2,indexy_SDcast!$2:$2,0)),"#ekrk")),"#popis")</f>
        <v>-2448.8982664043874</v>
      </c>
      <c r="X729" s="365">
        <f>IF($Q729="ekrk",IF($R729="data",IFERROR(INDEX(data!$A:$ALL,MATCH($M729,data!$A:$A,0),MATCH(X$2,data!$1:$1,0)),"#data"),IFERROR(W729*INDEX(indexy_SDcast!$A:$ALI,MATCH($R729,indexy_SDcast!$K:$K,0),MATCH(X$2,indexy_SDcast!$2:$2,0)),"#ekrk")),"#popis")</f>
        <v>-1572.9910023271807</v>
      </c>
      <c r="Y729" s="362">
        <f>IF($Q729="ekrk",IF($R729="data",IFERROR(INDEX(data!$A:$ALL,MATCH($M729,data!$A:$A,0),MATCH(Y$2,data!$1:$1,0)),"#data"),IFERROR(X729*INDEX(indexy_SDcast!$A:$ALI,MATCH($R729,indexy_SDcast!$K:$K,0),MATCH(Y$2,indexy_SDcast!$2:$2,0)),"#ekrk")),"#popis")</f>
        <v>-2128.0176757406352</v>
      </c>
    </row>
    <row r="730" spans="1:25" x14ac:dyDescent="0.25">
      <c r="A730" s="330">
        <v>627000</v>
      </c>
      <c r="B730" s="329">
        <v>-13.200850000000003</v>
      </c>
      <c r="C730" s="157"/>
      <c r="D730" s="330">
        <v>627000</v>
      </c>
      <c r="E730" s="329">
        <v>-13.200850000000003</v>
      </c>
      <c r="F730" s="157"/>
      <c r="G730" s="330">
        <v>627000</v>
      </c>
      <c r="H730" s="329">
        <v>-13.200850000000003</v>
      </c>
      <c r="I730" s="157"/>
      <c r="J730" s="330">
        <v>627000</v>
      </c>
      <c r="K730" s="329">
        <v>-13.200850000000003</v>
      </c>
      <c r="L730" s="157"/>
      <c r="M730" s="360">
        <f t="shared" si="70"/>
        <v>627000</v>
      </c>
      <c r="N730" s="237">
        <f t="shared" si="71"/>
        <v>-13.200850000000003</v>
      </c>
      <c r="O730" s="361"/>
      <c r="P730" s="361"/>
      <c r="Q730" s="361" t="s">
        <v>698</v>
      </c>
      <c r="R730" s="362">
        <v>35</v>
      </c>
      <c r="S730" s="236"/>
      <c r="T730" s="364">
        <f t="shared" si="72"/>
        <v>627000</v>
      </c>
      <c r="U730" s="365">
        <f t="shared" si="74"/>
        <v>-13.200850000000003</v>
      </c>
      <c r="V730" s="365">
        <f>IF($Q730="ekrk",IF($R730="data",IFERROR(INDEX(data!$A:$ALL,MATCH($M730,data!$A:$A,0),MATCH(V$2,data!$1:$1,0)),"#data"),IFERROR(U730*INDEX(indexy_SDcast!$A:$ALI,MATCH($R730,indexy_SDcast!$K:$K,0),MATCH(V$2,indexy_SDcast!$2:$2,0)),"#ekrk")),"#popis")</f>
        <v>-16.900152488982371</v>
      </c>
      <c r="W730" s="365">
        <f>IF($Q730="ekrk",IF($R730="data",IFERROR(INDEX(data!$A:$ALL,MATCH($M730,data!$A:$A,0),MATCH(W$2,data!$1:$1,0)),"#data"),IFERROR(V730*INDEX(indexy_SDcast!$A:$ALI,MATCH($R730,indexy_SDcast!$K:$K,0),MATCH(W$2,indexy_SDcast!$2:$2,0)),"#ekrk")),"#popis")</f>
        <v>-17.090132269120339</v>
      </c>
      <c r="X730" s="365">
        <f>IF($Q730="ekrk",IF($R730="data",IFERROR(INDEX(data!$A:$ALL,MATCH($M730,data!$A:$A,0),MATCH(X$2,data!$1:$1,0)),"#data"),IFERROR(W730*INDEX(indexy_SDcast!$A:$ALI,MATCH($R730,indexy_SDcast!$K:$K,0),MATCH(X$2,indexy_SDcast!$2:$2,0)),"#ekrk")),"#popis")</f>
        <v>-10.977436121663928</v>
      </c>
      <c r="Y730" s="362">
        <f>IF($Q730="ekrk",IF($R730="data",IFERROR(INDEX(data!$A:$ALL,MATCH($M730,data!$A:$A,0),MATCH(Y$2,data!$1:$1,0)),"#data"),IFERROR(X730*INDEX(indexy_SDcast!$A:$ALI,MATCH($R730,indexy_SDcast!$K:$K,0),MATCH(Y$2,indexy_SDcast!$2:$2,0)),"#ekrk")),"#popis")</f>
        <v>-14.850802113078883</v>
      </c>
    </row>
    <row r="731" spans="1:25" x14ac:dyDescent="0.25">
      <c r="A731" s="330">
        <v>628001</v>
      </c>
      <c r="B731" s="329">
        <v>-7.7590000000000006E-2</v>
      </c>
      <c r="C731" s="157"/>
      <c r="D731" s="330">
        <v>628001</v>
      </c>
      <c r="E731" s="329">
        <v>-7.7590000000000006E-2</v>
      </c>
      <c r="F731" s="157"/>
      <c r="G731" s="330">
        <v>628001</v>
      </c>
      <c r="H731" s="329">
        <v>-7.7590000000000006E-2</v>
      </c>
      <c r="I731" s="157"/>
      <c r="J731" s="330">
        <v>628001</v>
      </c>
      <c r="K731" s="329">
        <v>-7.7590000000000006E-2</v>
      </c>
      <c r="L731" s="157"/>
      <c r="M731" s="360">
        <f t="shared" ref="M731:M794" si="75">J731</f>
        <v>628001</v>
      </c>
      <c r="N731" s="237">
        <f t="shared" ref="N731:N794" si="76">K731</f>
        <v>-7.7590000000000006E-2</v>
      </c>
      <c r="O731" s="361"/>
      <c r="P731" s="361"/>
      <c r="Q731" s="361" t="s">
        <v>698</v>
      </c>
      <c r="R731" s="362">
        <v>35</v>
      </c>
      <c r="S731" s="236"/>
      <c r="T731" s="364">
        <f t="shared" si="72"/>
        <v>628001</v>
      </c>
      <c r="U731" s="365">
        <f t="shared" si="74"/>
        <v>-7.7590000000000006E-2</v>
      </c>
      <c r="V731" s="365">
        <f>IF($Q731="ekrk",IF($R731="data",IFERROR(INDEX(data!$A:$ALL,MATCH($M731,data!$A:$A,0),MATCH(V$2,data!$1:$1,0)),"#data"),IFERROR(U731*INDEX(indexy_SDcast!$A:$ALI,MATCH($R731,indexy_SDcast!$K:$K,0),MATCH(V$2,indexy_SDcast!$2:$2,0)),"#ekrk")),"#popis")</f>
        <v>-9.9333211999238072E-2</v>
      </c>
      <c r="W731" s="365">
        <f>IF($Q731="ekrk",IF($R731="data",IFERROR(INDEX(data!$A:$ALL,MATCH($M731,data!$A:$A,0),MATCH(W$2,data!$1:$1,0)),"#data"),IFERROR(V731*INDEX(indexy_SDcast!$A:$ALI,MATCH($R731,indexy_SDcast!$K:$K,0),MATCH(W$2,indexy_SDcast!$2:$2,0)),"#ekrk")),"#popis")</f>
        <v>-0.10044984699932556</v>
      </c>
      <c r="X731" s="365">
        <f>IF($Q731="ekrk",IF($R731="data",IFERROR(INDEX(data!$A:$ALL,MATCH($M731,data!$A:$A,0),MATCH(X$2,data!$1:$1,0)),"#data"),IFERROR(W731*INDEX(indexy_SDcast!$A:$ALI,MATCH($R731,indexy_SDcast!$K:$K,0),MATCH(X$2,indexy_SDcast!$2:$2,0)),"#ekrk")),"#popis")</f>
        <v>-6.4521547376108657E-2</v>
      </c>
      <c r="Y731" s="362">
        <f>IF($Q731="ekrk",IF($R731="data",IFERROR(INDEX(data!$A:$ALL,MATCH($M731,data!$A:$A,0),MATCH(Y$2,data!$1:$1,0)),"#data"),IFERROR(X731*INDEX(indexy_SDcast!$A:$ALI,MATCH($R731,indexy_SDcast!$K:$K,0),MATCH(Y$2,indexy_SDcast!$2:$2,0)),"#ekrk")),"#popis")</f>
        <v>-8.7287844036845377E-2</v>
      </c>
    </row>
    <row r="732" spans="1:25" x14ac:dyDescent="0.25">
      <c r="A732" s="330">
        <v>628002</v>
      </c>
      <c r="B732" s="329">
        <v>-0.86044000000000009</v>
      </c>
      <c r="C732" s="157"/>
      <c r="D732" s="330">
        <v>628002</v>
      </c>
      <c r="E732" s="329">
        <v>-0.86044000000000009</v>
      </c>
      <c r="F732" s="157"/>
      <c r="G732" s="330">
        <v>628002</v>
      </c>
      <c r="H732" s="329">
        <v>-0.86044000000000009</v>
      </c>
      <c r="I732" s="157"/>
      <c r="J732" s="330">
        <v>628002</v>
      </c>
      <c r="K732" s="329">
        <v>-0.86044000000000009</v>
      </c>
      <c r="L732" s="157"/>
      <c r="M732" s="360">
        <f t="shared" si="75"/>
        <v>628002</v>
      </c>
      <c r="N732" s="237">
        <f t="shared" si="76"/>
        <v>-0.86044000000000009</v>
      </c>
      <c r="O732" s="361"/>
      <c r="P732" s="361"/>
      <c r="Q732" s="361" t="s">
        <v>698</v>
      </c>
      <c r="R732" s="362">
        <v>35</v>
      </c>
      <c r="S732" s="236"/>
      <c r="T732" s="364">
        <f t="shared" si="72"/>
        <v>628002</v>
      </c>
      <c r="U732" s="365">
        <f t="shared" si="74"/>
        <v>-0.86044000000000009</v>
      </c>
      <c r="V732" s="365">
        <f>IF($Q732="ekrk",IF($R732="data",IFERROR(INDEX(data!$A:$ALL,MATCH($M732,data!$A:$A,0),MATCH(V$2,data!$1:$1,0)),"#data"),IFERROR(U732*INDEX(indexy_SDcast!$A:$ALI,MATCH($R732,indexy_SDcast!$K:$K,0),MATCH(V$2,indexy_SDcast!$2:$2,0)),"#ekrk")),"#popis")</f>
        <v>-1.1015629453876068</v>
      </c>
      <c r="W732" s="365">
        <f>IF($Q732="ekrk",IF($R732="data",IFERROR(INDEX(data!$A:$ALL,MATCH($M732,data!$A:$A,0),MATCH(W$2,data!$1:$1,0)),"#data"),IFERROR(V732*INDEX(indexy_SDcast!$A:$ALI,MATCH($R732,indexy_SDcast!$K:$K,0),MATCH(W$2,indexy_SDcast!$2:$2,0)),"#ekrk")),"#popis")</f>
        <v>-1.1139459511805605</v>
      </c>
      <c r="X732" s="365">
        <f>IF($Q732="ekrk",IF($R732="data",IFERROR(INDEX(data!$A:$ALL,MATCH($M732,data!$A:$A,0),MATCH(X$2,data!$1:$1,0)),"#data"),IFERROR(W732*INDEX(indexy_SDcast!$A:$ALI,MATCH($R732,indexy_SDcast!$K:$K,0),MATCH(X$2,indexy_SDcast!$2:$2,0)),"#ekrk")),"#popis")</f>
        <v>-0.71551643542078802</v>
      </c>
      <c r="Y732" s="362">
        <f>IF($Q732="ekrk",IF($R732="data",IFERROR(INDEX(data!$A:$ALL,MATCH($M732,data!$A:$A,0),MATCH(Y$2,data!$1:$1,0)),"#data"),IFERROR(X732*INDEX(indexy_SDcast!$A:$ALI,MATCH($R732,indexy_SDcast!$K:$K,0),MATCH(Y$2,indexy_SDcast!$2:$2,0)),"#ekrk")),"#popis")</f>
        <v>-0.96798495325510048</v>
      </c>
    </row>
    <row r="733" spans="1:25" x14ac:dyDescent="0.25">
      <c r="A733" s="330">
        <v>628003</v>
      </c>
      <c r="B733" s="329">
        <v>-4.3470000000000002E-2</v>
      </c>
      <c r="C733" s="157"/>
      <c r="D733" s="330">
        <v>628003</v>
      </c>
      <c r="E733" s="329">
        <v>-4.3470000000000002E-2</v>
      </c>
      <c r="F733" s="157"/>
      <c r="G733" s="330">
        <v>628003</v>
      </c>
      <c r="H733" s="329">
        <v>-4.3470000000000002E-2</v>
      </c>
      <c r="I733" s="157"/>
      <c r="J733" s="330">
        <v>628003</v>
      </c>
      <c r="K733" s="329">
        <v>-4.3470000000000002E-2</v>
      </c>
      <c r="L733" s="157"/>
      <c r="M733" s="360">
        <f t="shared" si="75"/>
        <v>628003</v>
      </c>
      <c r="N733" s="237">
        <f t="shared" si="76"/>
        <v>-4.3470000000000002E-2</v>
      </c>
      <c r="O733" s="361"/>
      <c r="P733" s="361"/>
      <c r="Q733" s="361" t="s">
        <v>698</v>
      </c>
      <c r="R733" s="362">
        <v>35</v>
      </c>
      <c r="S733" s="236"/>
      <c r="T733" s="364">
        <f t="shared" si="72"/>
        <v>628003</v>
      </c>
      <c r="U733" s="365">
        <f t="shared" si="74"/>
        <v>-4.3470000000000002E-2</v>
      </c>
      <c r="V733" s="365">
        <f>IF($Q733="ekrk",IF($R733="data",IFERROR(INDEX(data!$A:$ALL,MATCH($M733,data!$A:$A,0),MATCH(V$2,data!$1:$1,0)),"#data"),IFERROR(U733*INDEX(indexy_SDcast!$A:$ALI,MATCH($R733,indexy_SDcast!$K:$K,0),MATCH(V$2,indexy_SDcast!$2:$2,0)),"#ekrk")),"#popis")</f>
        <v>-5.5651691269582151E-2</v>
      </c>
      <c r="W733" s="365">
        <f>IF($Q733="ekrk",IF($R733="data",IFERROR(INDEX(data!$A:$ALL,MATCH($M733,data!$A:$A,0),MATCH(W$2,data!$1:$1,0)),"#data"),IFERROR(V733*INDEX(indexy_SDcast!$A:$ALI,MATCH($R733,indexy_SDcast!$K:$K,0),MATCH(W$2,indexy_SDcast!$2:$2,0)),"#ekrk")),"#popis")</f>
        <v>-5.6277288942656038E-2</v>
      </c>
      <c r="X733" s="365">
        <f>IF($Q733="ekrk",IF($R733="data",IFERROR(INDEX(data!$A:$ALL,MATCH($M733,data!$A:$A,0),MATCH(X$2,data!$1:$1,0)),"#data"),IFERROR(W733*INDEX(indexy_SDcast!$A:$ALI,MATCH($R733,indexy_SDcast!$K:$K,0),MATCH(X$2,indexy_SDcast!$2:$2,0)),"#ekrk")),"#popis")</f>
        <v>-3.6148365310470984E-2</v>
      </c>
      <c r="Y733" s="362">
        <f>IF($Q733="ekrk",IF($R733="data",IFERROR(INDEX(data!$A:$ALL,MATCH($M733,data!$A:$A,0),MATCH(Y$2,data!$1:$1,0)),"#data"),IFERROR(X733*INDEX(indexy_SDcast!$A:$ALI,MATCH($R733,indexy_SDcast!$K:$K,0),MATCH(Y$2,indexy_SDcast!$2:$2,0)),"#ekrk")),"#popis")</f>
        <v>-4.8903242431778182E-2</v>
      </c>
    </row>
    <row r="734" spans="1:25" x14ac:dyDescent="0.25">
      <c r="A734" s="330">
        <v>628004</v>
      </c>
      <c r="B734" s="329">
        <v>-0.16631000000000001</v>
      </c>
      <c r="C734" s="157"/>
      <c r="D734" s="330">
        <v>628004</v>
      </c>
      <c r="E734" s="329">
        <v>-0.16631000000000001</v>
      </c>
      <c r="F734" s="157"/>
      <c r="G734" s="330">
        <v>628004</v>
      </c>
      <c r="H734" s="329">
        <v>-0.16631000000000001</v>
      </c>
      <c r="I734" s="157"/>
      <c r="J734" s="330">
        <v>628004</v>
      </c>
      <c r="K734" s="329">
        <v>-0.16631000000000001</v>
      </c>
      <c r="L734" s="157"/>
      <c r="M734" s="360">
        <f t="shared" si="75"/>
        <v>628004</v>
      </c>
      <c r="N734" s="237">
        <f t="shared" si="76"/>
        <v>-0.16631000000000001</v>
      </c>
      <c r="O734" s="361"/>
      <c r="P734" s="361"/>
      <c r="Q734" s="361" t="s">
        <v>698</v>
      </c>
      <c r="R734" s="362">
        <v>35</v>
      </c>
      <c r="S734" s="236"/>
      <c r="T734" s="364">
        <f t="shared" si="72"/>
        <v>628004</v>
      </c>
      <c r="U734" s="365">
        <f t="shared" si="74"/>
        <v>-0.16631000000000001</v>
      </c>
      <c r="V734" s="365">
        <f>IF($Q734="ekrk",IF($R734="data",IFERROR(INDEX(data!$A:$ALL,MATCH($M734,data!$A:$A,0),MATCH(V$2,data!$1:$1,0)),"#data"),IFERROR(U734*INDEX(indexy_SDcast!$A:$ALI,MATCH($R734,indexy_SDcast!$K:$K,0),MATCH(V$2,indexy_SDcast!$2:$2,0)),"#ekrk")),"#popis")</f>
        <v>-0.21291540775348994</v>
      </c>
      <c r="W734" s="365">
        <f>IF($Q734="ekrk",IF($R734="data",IFERROR(INDEX(data!$A:$ALL,MATCH($M734,data!$A:$A,0),MATCH(W$2,data!$1:$1,0)),"#data"),IFERROR(V734*INDEX(indexy_SDcast!$A:$ALI,MATCH($R734,indexy_SDcast!$K:$K,0),MATCH(W$2,indexy_SDcast!$2:$2,0)),"#ekrk")),"#popis")</f>
        <v>-0.21530885493565968</v>
      </c>
      <c r="X734" s="365">
        <f>IF($Q734="ekrk",IF($R734="data",IFERROR(INDEX(data!$A:$ALL,MATCH($M734,data!$A:$A,0),MATCH(X$2,data!$1:$1,0)),"#data"),IFERROR(W734*INDEX(indexy_SDcast!$A:$ALI,MATCH($R734,indexy_SDcast!$K:$K,0),MATCH(X$2,indexy_SDcast!$2:$2,0)),"#ekrk")),"#popis")</f>
        <v>-0.13829847330997078</v>
      </c>
      <c r="Y734" s="362">
        <f>IF($Q734="ekrk",IF($R734="data",IFERROR(INDEX(data!$A:$ALL,MATCH($M734,data!$A:$A,0),MATCH(Y$2,data!$1:$1,0)),"#data"),IFERROR(X734*INDEX(indexy_SDcast!$A:$ALI,MATCH($R734,indexy_SDcast!$K:$K,0),MATCH(Y$2,indexy_SDcast!$2:$2,0)),"#ekrk")),"#popis")</f>
        <v>-0.18709680811660984</v>
      </c>
    </row>
    <row r="735" spans="1:25" x14ac:dyDescent="0.25">
      <c r="A735" s="330">
        <v>628005</v>
      </c>
      <c r="B735" s="329">
        <v>-5.5450000000000006E-2</v>
      </c>
      <c r="C735" s="157"/>
      <c r="D735" s="330">
        <v>628005</v>
      </c>
      <c r="E735" s="329">
        <v>-5.5450000000000006E-2</v>
      </c>
      <c r="F735" s="157"/>
      <c r="G735" s="330">
        <v>628005</v>
      </c>
      <c r="H735" s="329">
        <v>-5.5450000000000006E-2</v>
      </c>
      <c r="I735" s="157"/>
      <c r="J735" s="330">
        <v>628005</v>
      </c>
      <c r="K735" s="329">
        <v>-5.5450000000000006E-2</v>
      </c>
      <c r="L735" s="157"/>
      <c r="M735" s="360">
        <f t="shared" si="75"/>
        <v>628005</v>
      </c>
      <c r="N735" s="237">
        <f t="shared" si="76"/>
        <v>-5.5450000000000006E-2</v>
      </c>
      <c r="O735" s="361"/>
      <c r="P735" s="361"/>
      <c r="Q735" s="361" t="s">
        <v>698</v>
      </c>
      <c r="R735" s="362">
        <v>35</v>
      </c>
      <c r="S735" s="236"/>
      <c r="T735" s="364">
        <f t="shared" si="72"/>
        <v>628005</v>
      </c>
      <c r="U735" s="365">
        <f t="shared" si="74"/>
        <v>-5.5450000000000006E-2</v>
      </c>
      <c r="V735" s="365">
        <f>IF($Q735="ekrk",IF($R735="data",IFERROR(INDEX(data!$A:$ALL,MATCH($M735,data!$A:$A,0),MATCH(V$2,data!$1:$1,0)),"#data"),IFERROR(U735*INDEX(indexy_SDcast!$A:$ALI,MATCH($R735,indexy_SDcast!$K:$K,0),MATCH(V$2,indexy_SDcast!$2:$2,0)),"#ekrk")),"#popis")</f>
        <v>-7.0988872346407411E-2</v>
      </c>
      <c r="W735" s="365">
        <f>IF($Q735="ekrk",IF($R735="data",IFERROR(INDEX(data!$A:$ALL,MATCH($M735,data!$A:$A,0),MATCH(W$2,data!$1:$1,0)),"#data"),IFERROR(V735*INDEX(indexy_SDcast!$A:$ALI,MATCH($R735,indexy_SDcast!$K:$K,0),MATCH(W$2,indexy_SDcast!$2:$2,0)),"#ekrk")),"#popis")</f>
        <v>-7.1786879960208813E-2</v>
      </c>
      <c r="X735" s="365">
        <f>IF($Q735="ekrk",IF($R735="data",IFERROR(INDEX(data!$A:$ALL,MATCH($M735,data!$A:$A,0),MATCH(X$2,data!$1:$1,0)),"#data"),IFERROR(W735*INDEX(indexy_SDcast!$A:$ALI,MATCH($R735,indexy_SDcast!$K:$K,0),MATCH(X$2,indexy_SDcast!$2:$2,0)),"#ekrk")),"#popis")</f>
        <v>-4.6110578708663807E-2</v>
      </c>
      <c r="Y735" s="362">
        <f>IF($Q735="ekrk",IF($R735="data",IFERROR(INDEX(data!$A:$ALL,MATCH($M735,data!$A:$A,0),MATCH(Y$2,data!$1:$1,0)),"#data"),IFERROR(X735*INDEX(indexy_SDcast!$A:$ALI,MATCH($R735,indexy_SDcast!$K:$K,0),MATCH(Y$2,indexy_SDcast!$2:$2,0)),"#ekrk")),"#popis")</f>
        <v>-6.2380602549852761E-2</v>
      </c>
    </row>
    <row r="736" spans="1:25" x14ac:dyDescent="0.25">
      <c r="A736" s="330">
        <v>629000</v>
      </c>
      <c r="B736" s="329">
        <v>-7.4999999999999997E-2</v>
      </c>
      <c r="C736" s="157"/>
      <c r="D736" s="330">
        <v>629000</v>
      </c>
      <c r="E736" s="329">
        <v>-7.4999999999999997E-2</v>
      </c>
      <c r="F736" s="157"/>
      <c r="G736" s="330">
        <v>629000</v>
      </c>
      <c r="H736" s="329">
        <v>-7.4999999999999997E-2</v>
      </c>
      <c r="I736" s="157"/>
      <c r="J736" s="330">
        <v>629000</v>
      </c>
      <c r="K736" s="329">
        <v>-7.4999999999999997E-2</v>
      </c>
      <c r="L736" s="157"/>
      <c r="M736" s="360">
        <f t="shared" si="75"/>
        <v>629000</v>
      </c>
      <c r="N736" s="237">
        <f t="shared" si="76"/>
        <v>-7.4999999999999997E-2</v>
      </c>
      <c r="O736" s="361"/>
      <c r="P736" s="361"/>
      <c r="Q736" s="361" t="s">
        <v>698</v>
      </c>
      <c r="R736" s="362">
        <v>35</v>
      </c>
      <c r="S736" s="236"/>
      <c r="T736" s="364">
        <f t="shared" si="72"/>
        <v>629000</v>
      </c>
      <c r="U736" s="365">
        <f t="shared" si="74"/>
        <v>-7.4999999999999997E-2</v>
      </c>
      <c r="V736" s="365">
        <f>IF($Q736="ekrk",IF($R736="data",IFERROR(INDEX(data!$A:$ALL,MATCH($M736,data!$A:$A,0),MATCH(V$2,data!$1:$1,0)),"#data"),IFERROR(U736*INDEX(indexy_SDcast!$A:$ALI,MATCH($R736,indexy_SDcast!$K:$K,0),MATCH(V$2,indexy_SDcast!$2:$2,0)),"#ekrk")),"#popis")</f>
        <v>-9.6017410748071338E-2</v>
      </c>
      <c r="W736" s="365">
        <f>IF($Q736="ekrk",IF($R736="data",IFERROR(INDEX(data!$A:$ALL,MATCH($M736,data!$A:$A,0),MATCH(W$2,data!$1:$1,0)),"#data"),IFERROR(V736*INDEX(indexy_SDcast!$A:$ALI,MATCH($R736,indexy_SDcast!$K:$K,0),MATCH(W$2,indexy_SDcast!$2:$2,0)),"#ekrk")),"#popis")</f>
        <v>-9.7096771812726079E-2</v>
      </c>
      <c r="X736" s="365">
        <f>IF($Q736="ekrk",IF($R736="data",IFERROR(INDEX(data!$A:$ALL,MATCH($M736,data!$A:$A,0),MATCH(X$2,data!$1:$1,0)),"#data"),IFERROR(W736*INDEX(indexy_SDcast!$A:$ALI,MATCH($R736,indexy_SDcast!$K:$K,0),MATCH(X$2,indexy_SDcast!$2:$2,0)),"#ekrk")),"#popis")</f>
        <v>-6.2367780038769804E-2</v>
      </c>
      <c r="Y736" s="362">
        <f>IF($Q736="ekrk",IF($R736="data",IFERROR(INDEX(data!$A:$ALL,MATCH($M736,data!$A:$A,0),MATCH(Y$2,data!$1:$1,0)),"#data"),IFERROR(X736*INDEX(indexy_SDcast!$A:$ALI,MATCH($R736,indexy_SDcast!$K:$K,0),MATCH(Y$2,indexy_SDcast!$2:$2,0)),"#ekrk")),"#popis")</f>
        <v>-8.4374124278430246E-2</v>
      </c>
    </row>
    <row r="737" spans="1:44" s="18" customFormat="1" x14ac:dyDescent="0.25">
      <c r="A737" s="333" t="s">
        <v>701</v>
      </c>
      <c r="B737" s="334">
        <v>-33.876919999999998</v>
      </c>
      <c r="C737" s="164"/>
      <c r="D737" s="333" t="s">
        <v>701</v>
      </c>
      <c r="E737" s="334">
        <v>-33.876919999999998</v>
      </c>
      <c r="F737" s="164"/>
      <c r="G737" s="333" t="s">
        <v>701</v>
      </c>
      <c r="H737" s="334">
        <v>-33.876919999999998</v>
      </c>
      <c r="I737" s="164"/>
      <c r="J737" s="333" t="s">
        <v>701</v>
      </c>
      <c r="K737" s="334">
        <v>-33.876919999999998</v>
      </c>
      <c r="L737" s="164"/>
      <c r="M737" s="358" t="str">
        <f t="shared" si="75"/>
        <v>D122PAY</v>
      </c>
      <c r="N737" s="239">
        <f t="shared" si="76"/>
        <v>-33.876919999999998</v>
      </c>
      <c r="O737" s="243"/>
      <c r="P737" s="243">
        <f>MATCH(Q737,Q738:Q$1550,0)</f>
        <v>5</v>
      </c>
      <c r="Q737" s="243" t="s">
        <v>697</v>
      </c>
      <c r="R737" s="359"/>
      <c r="S737" s="240"/>
      <c r="T737" s="363" t="str">
        <f t="shared" si="72"/>
        <v>D122PAY</v>
      </c>
      <c r="U737" s="244">
        <f>SUM(U738:U741)</f>
        <v>-33.876919999999998</v>
      </c>
      <c r="V737" s="244">
        <f>SUM(V738:V741)</f>
        <v>-43.370321900260706</v>
      </c>
      <c r="W737" s="244">
        <f>SUM(W738:W741)</f>
        <v>-43.857860946106349</v>
      </c>
      <c r="X737" s="244">
        <f>SUM(X738:X741)</f>
        <v>-28.171043932680021</v>
      </c>
      <c r="Y737" s="359">
        <f>SUM(Y738:Y741)</f>
        <v>-38.111139443339191</v>
      </c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8"/>
      <c r="AN737" s="58"/>
      <c r="AO737" s="58"/>
      <c r="AP737" s="58"/>
      <c r="AQ737" s="58"/>
      <c r="AR737" s="58"/>
    </row>
    <row r="738" spans="1:44" x14ac:dyDescent="0.25">
      <c r="A738" s="330">
        <v>637016</v>
      </c>
      <c r="B738" s="329">
        <v>-19.12257</v>
      </c>
      <c r="C738" s="157"/>
      <c r="D738" s="330">
        <v>637016</v>
      </c>
      <c r="E738" s="329">
        <v>-19.12257</v>
      </c>
      <c r="F738" s="157"/>
      <c r="G738" s="330">
        <v>637016</v>
      </c>
      <c r="H738" s="329">
        <v>-19.12257</v>
      </c>
      <c r="I738" s="157"/>
      <c r="J738" s="330">
        <v>637016</v>
      </c>
      <c r="K738" s="329">
        <v>-19.12257</v>
      </c>
      <c r="L738" s="157"/>
      <c r="M738" s="360">
        <f t="shared" si="75"/>
        <v>637016</v>
      </c>
      <c r="N738" s="237">
        <f t="shared" si="76"/>
        <v>-19.12257</v>
      </c>
      <c r="O738" s="361"/>
      <c r="P738" s="361"/>
      <c r="Q738" s="361" t="s">
        <v>698</v>
      </c>
      <c r="R738" s="362">
        <v>35</v>
      </c>
      <c r="S738" s="236"/>
      <c r="T738" s="364">
        <f t="shared" si="72"/>
        <v>637016</v>
      </c>
      <c r="U738" s="365">
        <f>N738</f>
        <v>-19.12257</v>
      </c>
      <c r="V738" s="365">
        <f>IF($Q738="ekrk",IF($R738="data",IFERROR(INDEX(data!$A:$ALL,MATCH($M738,data!$A:$A,0),MATCH(V$2,data!$1:$1,0)),"#data"),IFERROR(U738*INDEX(indexy_SDcast!$A:$ALI,MATCH($R738,indexy_SDcast!$K:$K,0),MATCH(V$2,indexy_SDcast!$2:$2,0)),"#ekrk")),"#popis")</f>
        <v>-24.481328776649953</v>
      </c>
      <c r="W738" s="365">
        <f>IF($Q738="ekrk",IF($R738="data",IFERROR(INDEX(data!$A:$ALL,MATCH($M738,data!$A:$A,0),MATCH(W$2,data!$1:$1,0)),"#data"),IFERROR(V738*INDEX(indexy_SDcast!$A:$ALI,MATCH($R738,indexy_SDcast!$K:$K,0),MATCH(W$2,indexy_SDcast!$2:$2,0)),"#ekrk")),"#popis")</f>
        <v>-24.756530876838418</v>
      </c>
      <c r="X738" s="365">
        <f>IF($Q738="ekrk",IF($R738="data",IFERROR(INDEX(data!$A:$ALL,MATCH($M738,data!$A:$A,0),MATCH(X$2,data!$1:$1,0)),"#data"),IFERROR(W738*INDEX(indexy_SDcast!$A:$ALI,MATCH($R738,indexy_SDcast!$K:$K,0),MATCH(X$2,indexy_SDcast!$2:$2,0)),"#ekrk")),"#popis")</f>
        <v>-15.901763193813045</v>
      </c>
      <c r="Y738" s="362">
        <f>IF($Q738="ekrk",IF($R738="data",IFERROR(INDEX(data!$A:$ALL,MATCH($M738,data!$A:$A,0),MATCH(Y$2,data!$1:$1,0)),"#data"),IFERROR(X738*INDEX(indexy_SDcast!$A:$ALI,MATCH($R738,indexy_SDcast!$K:$K,0),MATCH(Y$2,indexy_SDcast!$2:$2,0)),"#ekrk")),"#popis")</f>
        <v>-21.512667969373094</v>
      </c>
    </row>
    <row r="739" spans="1:44" x14ac:dyDescent="0.25">
      <c r="A739" s="330">
        <v>642012</v>
      </c>
      <c r="B739" s="329">
        <v>-5.06853</v>
      </c>
      <c r="C739" s="157"/>
      <c r="D739" s="330">
        <v>642012</v>
      </c>
      <c r="E739" s="329">
        <v>-5.06853</v>
      </c>
      <c r="F739" s="157"/>
      <c r="G739" s="330">
        <v>642012</v>
      </c>
      <c r="H739" s="329">
        <v>-5.06853</v>
      </c>
      <c r="I739" s="157"/>
      <c r="J739" s="330">
        <v>642012</v>
      </c>
      <c r="K739" s="329">
        <v>-5.06853</v>
      </c>
      <c r="L739" s="157"/>
      <c r="M739" s="360">
        <f t="shared" si="75"/>
        <v>642012</v>
      </c>
      <c r="N739" s="237">
        <f t="shared" si="76"/>
        <v>-5.06853</v>
      </c>
      <c r="O739" s="361"/>
      <c r="P739" s="361"/>
      <c r="Q739" s="361" t="s">
        <v>698</v>
      </c>
      <c r="R739" s="362">
        <v>35</v>
      </c>
      <c r="S739" s="236"/>
      <c r="T739" s="364">
        <f t="shared" si="72"/>
        <v>642012</v>
      </c>
      <c r="U739" s="365">
        <f>N739</f>
        <v>-5.06853</v>
      </c>
      <c r="V739" s="365">
        <f>IF($Q739="ekrk",IF($R739="data",IFERROR(INDEX(data!$A:$ALL,MATCH($M739,data!$A:$A,0),MATCH(V$2,data!$1:$1,0)),"#data"),IFERROR(U739*INDEX(indexy_SDcast!$A:$ALI,MATCH($R739,indexy_SDcast!$K:$K,0),MATCH(V$2,indexy_SDcast!$2:$2,0)),"#ekrk")),"#popis")</f>
        <v>-6.4888950253189597</v>
      </c>
      <c r="W739" s="365">
        <f>IF($Q739="ekrk",IF($R739="data",IFERROR(INDEX(data!$A:$ALL,MATCH($M739,data!$A:$A,0),MATCH(W$2,data!$1:$1,0)),"#data"),IFERROR(V739*INDEX(indexy_SDcast!$A:$ALI,MATCH($R739,indexy_SDcast!$K:$K,0),MATCH(W$2,indexy_SDcast!$2:$2,0)),"#ekrk")),"#popis")</f>
        <v>-6.5618386778127533</v>
      </c>
      <c r="X739" s="365">
        <f>IF($Q739="ekrk",IF($R739="data",IFERROR(INDEX(data!$A:$ALL,MATCH($M739,data!$A:$A,0),MATCH(X$2,data!$1:$1,0)),"#data"),IFERROR(W739*INDEX(indexy_SDcast!$A:$ALI,MATCH($R739,indexy_SDcast!$K:$K,0),MATCH(X$2,indexy_SDcast!$2:$2,0)),"#ekrk")),"#popis")</f>
        <v>-4.2148395221320785</v>
      </c>
      <c r="Y739" s="362">
        <f>IF($Q739="ekrk",IF($R739="data",IFERROR(INDEX(data!$A:$ALL,MATCH($M739,data!$A:$A,0),MATCH(Y$2,data!$1:$1,0)),"#data"),IFERROR(X739*INDEX(indexy_SDcast!$A:$ALI,MATCH($R739,indexy_SDcast!$K:$K,0),MATCH(Y$2,indexy_SDcast!$2:$2,0)),"#ekrk")),"#popis")</f>
        <v>-5.7020370683860273</v>
      </c>
    </row>
    <row r="740" spans="1:44" x14ac:dyDescent="0.25">
      <c r="A740" s="330">
        <v>642013</v>
      </c>
      <c r="B740" s="329">
        <v>-1.4738</v>
      </c>
      <c r="C740" s="157"/>
      <c r="D740" s="330">
        <v>642013</v>
      </c>
      <c r="E740" s="329">
        <v>-1.4738</v>
      </c>
      <c r="F740" s="157"/>
      <c r="G740" s="330">
        <v>642013</v>
      </c>
      <c r="H740" s="329">
        <v>-1.4738</v>
      </c>
      <c r="I740" s="157"/>
      <c r="J740" s="330">
        <v>642013</v>
      </c>
      <c r="K740" s="329">
        <v>-1.4738</v>
      </c>
      <c r="L740" s="157"/>
      <c r="M740" s="360">
        <f t="shared" si="75"/>
        <v>642013</v>
      </c>
      <c r="N740" s="237">
        <f t="shared" si="76"/>
        <v>-1.4738</v>
      </c>
      <c r="O740" s="361"/>
      <c r="P740" s="361"/>
      <c r="Q740" s="361" t="s">
        <v>698</v>
      </c>
      <c r="R740" s="362">
        <v>35</v>
      </c>
      <c r="S740" s="236"/>
      <c r="T740" s="364">
        <f t="shared" si="72"/>
        <v>642013</v>
      </c>
      <c r="U740" s="365">
        <f>N740</f>
        <v>-1.4738</v>
      </c>
      <c r="V740" s="365">
        <f>IF($Q740="ekrk",IF($R740="data",IFERROR(INDEX(data!$A:$ALL,MATCH($M740,data!$A:$A,0),MATCH(V$2,data!$1:$1,0)),"#data"),IFERROR(U740*INDEX(indexy_SDcast!$A:$ALI,MATCH($R740,indexy_SDcast!$K:$K,0),MATCH(V$2,indexy_SDcast!$2:$2,0)),"#ekrk")),"#popis")</f>
        <v>-1.8868061328067671</v>
      </c>
      <c r="W740" s="365">
        <f>IF($Q740="ekrk",IF($R740="data",IFERROR(INDEX(data!$A:$ALL,MATCH($M740,data!$A:$A,0),MATCH(W$2,data!$1:$1,0)),"#data"),IFERROR(V740*INDEX(indexy_SDcast!$A:$ALI,MATCH($R740,indexy_SDcast!$K:$K,0),MATCH(W$2,indexy_SDcast!$2:$2,0)),"#ekrk")),"#popis")</f>
        <v>-1.908016297301276</v>
      </c>
      <c r="X740" s="365">
        <f>IF($Q740="ekrk",IF($R740="data",IFERROR(INDEX(data!$A:$ALL,MATCH($M740,data!$A:$A,0),MATCH(X$2,data!$1:$1,0)),"#data"),IFERROR(W740*INDEX(indexy_SDcast!$A:$ALI,MATCH($R740,indexy_SDcast!$K:$K,0),MATCH(X$2,indexy_SDcast!$2:$2,0)),"#ekrk")),"#popis")</f>
        <v>-1.2255684562818525</v>
      </c>
      <c r="Y740" s="362">
        <f>IF($Q740="ekrk",IF($R740="data",IFERROR(INDEX(data!$A:$ALL,MATCH($M740,data!$A:$A,0),MATCH(Y$2,data!$1:$1,0)),"#data"),IFERROR(X740*INDEX(indexy_SDcast!$A:$ALI,MATCH($R740,indexy_SDcast!$K:$K,0),MATCH(Y$2,indexy_SDcast!$2:$2,0)),"#ekrk")),"#popis")</f>
        <v>-1.6580077914873401</v>
      </c>
    </row>
    <row r="741" spans="1:44" x14ac:dyDescent="0.25">
      <c r="A741" s="330">
        <v>642015</v>
      </c>
      <c r="B741" s="329">
        <v>-8.2120200000000008</v>
      </c>
      <c r="C741" s="157"/>
      <c r="D741" s="330">
        <v>642015</v>
      </c>
      <c r="E741" s="329">
        <v>-8.2120200000000008</v>
      </c>
      <c r="F741" s="157"/>
      <c r="G741" s="330">
        <v>642015</v>
      </c>
      <c r="H741" s="329">
        <v>-8.2120200000000008</v>
      </c>
      <c r="I741" s="157"/>
      <c r="J741" s="330">
        <v>642015</v>
      </c>
      <c r="K741" s="329">
        <v>-8.2120200000000008</v>
      </c>
      <c r="L741" s="157"/>
      <c r="M741" s="360">
        <f t="shared" si="75"/>
        <v>642015</v>
      </c>
      <c r="N741" s="237">
        <f t="shared" si="76"/>
        <v>-8.2120200000000008</v>
      </c>
      <c r="O741" s="361"/>
      <c r="P741" s="361"/>
      <c r="Q741" s="361" t="s">
        <v>698</v>
      </c>
      <c r="R741" s="362">
        <v>35</v>
      </c>
      <c r="S741" s="236"/>
      <c r="T741" s="364">
        <f t="shared" si="72"/>
        <v>642015</v>
      </c>
      <c r="U741" s="365">
        <f>N741</f>
        <v>-8.2120200000000008</v>
      </c>
      <c r="V741" s="365">
        <f>IF($Q741="ekrk",IF($R741="data",IFERROR(INDEX(data!$A:$ALL,MATCH($M741,data!$A:$A,0),MATCH(V$2,data!$1:$1,0)),"#data"),IFERROR(U741*INDEX(indexy_SDcast!$A:$ALI,MATCH($R741,indexy_SDcast!$K:$K,0),MATCH(V$2,indexy_SDcast!$2:$2,0)),"#ekrk")),"#popis")</f>
        <v>-10.513291965485024</v>
      </c>
      <c r="W741" s="365">
        <f>IF($Q741="ekrk",IF($R741="data",IFERROR(INDEX(data!$A:$ALL,MATCH($M741,data!$A:$A,0),MATCH(W$2,data!$1:$1,0)),"#data"),IFERROR(V741*INDEX(indexy_SDcast!$A:$ALI,MATCH($R741,indexy_SDcast!$K:$K,0),MATCH(W$2,indexy_SDcast!$2:$2,0)),"#ekrk")),"#popis")</f>
        <v>-10.631475094153904</v>
      </c>
      <c r="X741" s="365">
        <f>IF($Q741="ekrk",IF($R741="data",IFERROR(INDEX(data!$A:$ALL,MATCH($M741,data!$A:$A,0),MATCH(X$2,data!$1:$1,0)),"#data"),IFERROR(W741*INDEX(indexy_SDcast!$A:$ALI,MATCH($R741,indexy_SDcast!$K:$K,0),MATCH(X$2,indexy_SDcast!$2:$2,0)),"#ekrk")),"#popis")</f>
        <v>-6.8288727604530459</v>
      </c>
      <c r="Y741" s="362">
        <f>IF($Q741="ekrk",IF($R741="data",IFERROR(INDEX(data!$A:$ALL,MATCH($M741,data!$A:$A,0),MATCH(Y$2,data!$1:$1,0)),"#data"),IFERROR(X741*INDEX(indexy_SDcast!$A:$ALI,MATCH($R741,indexy_SDcast!$K:$K,0),MATCH(Y$2,indexy_SDcast!$2:$2,0)),"#ekrk")),"#popis")</f>
        <v>-9.2384266140927309</v>
      </c>
    </row>
    <row r="742" spans="1:44" s="18" customFormat="1" x14ac:dyDescent="0.25">
      <c r="A742" s="333" t="s">
        <v>706</v>
      </c>
      <c r="B742" s="334">
        <v>-487.93259999999998</v>
      </c>
      <c r="C742" s="164"/>
      <c r="D742" s="333" t="s">
        <v>706</v>
      </c>
      <c r="E742" s="334">
        <v>-487.93259999999998</v>
      </c>
      <c r="F742" s="164"/>
      <c r="G742" s="333" t="s">
        <v>706</v>
      </c>
      <c r="H742" s="334">
        <v>-487.93259999999998</v>
      </c>
      <c r="I742" s="164"/>
      <c r="J742" s="333" t="s">
        <v>706</v>
      </c>
      <c r="K742" s="334">
        <v>-487.93259999999998</v>
      </c>
      <c r="L742" s="164"/>
      <c r="M742" s="358" t="str">
        <f t="shared" si="75"/>
        <v>D29PAY</v>
      </c>
      <c r="N742" s="239">
        <f t="shared" si="76"/>
        <v>-487.93259999999998</v>
      </c>
      <c r="O742" s="243"/>
      <c r="P742" s="243">
        <f>MATCH(Q742,Q743:Q$1550,0)</f>
        <v>3</v>
      </c>
      <c r="Q742" s="243" t="s">
        <v>697</v>
      </c>
      <c r="R742" s="359"/>
      <c r="S742" s="240"/>
      <c r="T742" s="363" t="str">
        <f t="shared" si="72"/>
        <v>D29PAY</v>
      </c>
      <c r="U742" s="244">
        <f>SUM(U743:U744)</f>
        <v>-487.93259999999998</v>
      </c>
      <c r="V742" s="244">
        <f>SUM(V743:V744)</f>
        <v>-624.66699828765854</v>
      </c>
      <c r="W742" s="244">
        <f>SUM(W743:W744)</f>
        <v>-631.68907096253531</v>
      </c>
      <c r="X742" s="244">
        <f>SUM(X743:X744)</f>
        <v>-405.75030760726736</v>
      </c>
      <c r="Y742" s="359">
        <f>SUM(Y743:Y744)</f>
        <v>-548.91847775863459</v>
      </c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8"/>
      <c r="AN742" s="58"/>
      <c r="AO742" s="58"/>
      <c r="AP742" s="58"/>
      <c r="AQ742" s="58"/>
      <c r="AR742" s="58"/>
    </row>
    <row r="743" spans="1:44" x14ac:dyDescent="0.25">
      <c r="A743" s="330">
        <v>637023</v>
      </c>
      <c r="B743" s="329">
        <v>-0.4446</v>
      </c>
      <c r="C743" s="157"/>
      <c r="D743" s="330">
        <v>637023</v>
      </c>
      <c r="E743" s="329">
        <v>-0.4446</v>
      </c>
      <c r="F743" s="157"/>
      <c r="G743" s="330">
        <v>637023</v>
      </c>
      <c r="H743" s="329">
        <v>-0.4446</v>
      </c>
      <c r="I743" s="157"/>
      <c r="J743" s="330">
        <v>637023</v>
      </c>
      <c r="K743" s="329">
        <v>-0.4446</v>
      </c>
      <c r="L743" s="157"/>
      <c r="M743" s="360">
        <f t="shared" si="75"/>
        <v>637023</v>
      </c>
      <c r="N743" s="237">
        <f t="shared" si="76"/>
        <v>-0.4446</v>
      </c>
      <c r="O743" s="361"/>
      <c r="P743" s="361"/>
      <c r="Q743" s="361" t="s">
        <v>698</v>
      </c>
      <c r="R743" s="362">
        <v>35</v>
      </c>
      <c r="S743" s="236"/>
      <c r="T743" s="364">
        <f t="shared" si="72"/>
        <v>637023</v>
      </c>
      <c r="U743" s="365">
        <f>N743</f>
        <v>-0.4446</v>
      </c>
      <c r="V743" s="365">
        <f>IF($Q743="ekrk",IF($R743="data",IFERROR(INDEX(data!$A:$ALL,MATCH($M743,data!$A:$A,0),MATCH(V$2,data!$1:$1,0)),"#data"),IFERROR(U743*INDEX(indexy_SDcast!$A:$ALI,MATCH($R743,indexy_SDcast!$K:$K,0),MATCH(V$2,indexy_SDcast!$2:$2,0)),"#ekrk")),"#popis")</f>
        <v>-0.56919121091456693</v>
      </c>
      <c r="W743" s="365">
        <f>IF($Q743="ekrk",IF($R743="data",IFERROR(INDEX(data!$A:$ALL,MATCH($M743,data!$A:$A,0),MATCH(W$2,data!$1:$1,0)),"#data"),IFERROR(V743*INDEX(indexy_SDcast!$A:$ALI,MATCH($R743,indexy_SDcast!$K:$K,0),MATCH(W$2,indexy_SDcast!$2:$2,0)),"#ekrk")),"#popis")</f>
        <v>-0.57558966330584027</v>
      </c>
      <c r="X743" s="365">
        <f>IF($Q743="ekrk",IF($R743="data",IFERROR(INDEX(data!$A:$ALL,MATCH($M743,data!$A:$A,0),MATCH(X$2,data!$1:$1,0)),"#data"),IFERROR(W743*INDEX(indexy_SDcast!$A:$ALI,MATCH($R743,indexy_SDcast!$K:$K,0),MATCH(X$2,indexy_SDcast!$2:$2,0)),"#ekrk")),"#popis")</f>
        <v>-0.36971620006982747</v>
      </c>
      <c r="Y743" s="362">
        <f>IF($Q743="ekrk",IF($R743="data",IFERROR(INDEX(data!$A:$ALL,MATCH($M743,data!$A:$A,0),MATCH(Y$2,data!$1:$1,0)),"#data"),IFERROR(X743*INDEX(indexy_SDcast!$A:$ALI,MATCH($R743,indexy_SDcast!$K:$K,0),MATCH(Y$2,indexy_SDcast!$2:$2,0)),"#ekrk")),"#popis")</f>
        <v>-0.50016980872253458</v>
      </c>
    </row>
    <row r="744" spans="1:44" x14ac:dyDescent="0.25">
      <c r="A744" s="330">
        <v>637035</v>
      </c>
      <c r="B744" s="329">
        <v>-487.488</v>
      </c>
      <c r="C744" s="157"/>
      <c r="D744" s="330">
        <v>637035</v>
      </c>
      <c r="E744" s="329">
        <v>-487.488</v>
      </c>
      <c r="F744" s="157"/>
      <c r="G744" s="330">
        <v>637035</v>
      </c>
      <c r="H744" s="329">
        <v>-487.488</v>
      </c>
      <c r="I744" s="157"/>
      <c r="J744" s="330">
        <v>637035</v>
      </c>
      <c r="K744" s="329">
        <v>-487.488</v>
      </c>
      <c r="L744" s="157"/>
      <c r="M744" s="360">
        <f t="shared" si="75"/>
        <v>637035</v>
      </c>
      <c r="N744" s="237">
        <f t="shared" si="76"/>
        <v>-487.488</v>
      </c>
      <c r="O744" s="361"/>
      <c r="P744" s="361"/>
      <c r="Q744" s="361" t="s">
        <v>698</v>
      </c>
      <c r="R744" s="362">
        <v>35</v>
      </c>
      <c r="S744" s="236"/>
      <c r="T744" s="364">
        <f t="shared" si="72"/>
        <v>637035</v>
      </c>
      <c r="U744" s="365">
        <f>N744</f>
        <v>-487.488</v>
      </c>
      <c r="V744" s="365">
        <f>IF($Q744="ekrk",IF($R744="data",IFERROR(INDEX(data!$A:$ALL,MATCH($M744,data!$A:$A,0),MATCH(V$2,data!$1:$1,0)),"#data"),IFERROR(U744*INDEX(indexy_SDcast!$A:$ALI,MATCH($R744,indexy_SDcast!$K:$K,0),MATCH(V$2,indexy_SDcast!$2:$2,0)),"#ekrk")),"#popis")</f>
        <v>-624.09780707674395</v>
      </c>
      <c r="W744" s="365">
        <f>IF($Q744="ekrk",IF($R744="data",IFERROR(INDEX(data!$A:$ALL,MATCH($M744,data!$A:$A,0),MATCH(W$2,data!$1:$1,0)),"#data"),IFERROR(V744*INDEX(indexy_SDcast!$A:$ALI,MATCH($R744,indexy_SDcast!$K:$K,0),MATCH(W$2,indexy_SDcast!$2:$2,0)),"#ekrk")),"#popis")</f>
        <v>-631.11348129922942</v>
      </c>
      <c r="X744" s="365">
        <f>IF($Q744="ekrk",IF($R744="data",IFERROR(INDEX(data!$A:$ALL,MATCH($M744,data!$A:$A,0),MATCH(X$2,data!$1:$1,0)),"#data"),IFERROR(W744*INDEX(indexy_SDcast!$A:$ALI,MATCH($R744,indexy_SDcast!$K:$K,0),MATCH(X$2,indexy_SDcast!$2:$2,0)),"#ekrk")),"#popis")</f>
        <v>-405.38059140719753</v>
      </c>
      <c r="Y744" s="362">
        <f>IF($Q744="ekrk",IF($R744="data",IFERROR(INDEX(data!$A:$ALL,MATCH($M744,data!$A:$A,0),MATCH(Y$2,data!$1:$1,0)),"#data"),IFERROR(X744*INDEX(indexy_SDcast!$A:$ALI,MATCH($R744,indexy_SDcast!$K:$K,0),MATCH(Y$2,indexy_SDcast!$2:$2,0)),"#ekrk")),"#popis")</f>
        <v>-548.4183079499121</v>
      </c>
    </row>
    <row r="745" spans="1:44" s="18" customFormat="1" x14ac:dyDescent="0.25">
      <c r="A745" s="333" t="s">
        <v>708</v>
      </c>
      <c r="B745" s="334">
        <v>-890.26104999997904</v>
      </c>
      <c r="C745" s="164"/>
      <c r="D745" s="333" t="s">
        <v>708</v>
      </c>
      <c r="E745" s="334">
        <v>-890.26104999997904</v>
      </c>
      <c r="F745" s="164"/>
      <c r="G745" s="333" t="s">
        <v>708</v>
      </c>
      <c r="H745" s="334">
        <v>-890.26104999997904</v>
      </c>
      <c r="I745" s="164"/>
      <c r="J745" s="333" t="s">
        <v>708</v>
      </c>
      <c r="K745" s="334">
        <v>-890.26104999997904</v>
      </c>
      <c r="L745" s="164"/>
      <c r="M745" s="358" t="str">
        <f t="shared" si="75"/>
        <v>D319PAY</v>
      </c>
      <c r="N745" s="239">
        <f t="shared" si="76"/>
        <v>-890.26104999997904</v>
      </c>
      <c r="O745" s="243"/>
      <c r="P745" s="243">
        <f>MATCH(Q745,Q746:Q$1550,0)</f>
        <v>5</v>
      </c>
      <c r="Q745" s="243" t="s">
        <v>697</v>
      </c>
      <c r="R745" s="359"/>
      <c r="S745" s="240"/>
      <c r="T745" s="363" t="str">
        <f t="shared" si="72"/>
        <v>D319PAY</v>
      </c>
      <c r="U745" s="244">
        <f>SUM(U746:U749)</f>
        <v>-890.26104999997904</v>
      </c>
      <c r="V745" s="244">
        <f>SUM(V746:V749)</f>
        <v>-1139.7408121447634</v>
      </c>
      <c r="W745" s="244">
        <f>SUM(W746:W749)</f>
        <v>-1152.5529870080784</v>
      </c>
      <c r="X745" s="244">
        <f>SUM(X746:X749)</f>
        <v>-740.314737913106</v>
      </c>
      <c r="Y745" s="359">
        <f>SUM(Y746:Y749)</f>
        <v>-1001.5332863059206</v>
      </c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8"/>
      <c r="AN745" s="58"/>
      <c r="AO745" s="58"/>
      <c r="AP745" s="58"/>
      <c r="AQ745" s="58"/>
      <c r="AR745" s="58"/>
    </row>
    <row r="746" spans="1:44" x14ac:dyDescent="0.25">
      <c r="A746" s="330">
        <v>644001</v>
      </c>
      <c r="B746" s="329">
        <v>-116.2602200000002</v>
      </c>
      <c r="C746" s="157"/>
      <c r="D746" s="330">
        <v>644001</v>
      </c>
      <c r="E746" s="329">
        <v>-116.2602200000002</v>
      </c>
      <c r="F746" s="157"/>
      <c r="G746" s="330">
        <v>644001</v>
      </c>
      <c r="H746" s="329">
        <v>-116.2602200000002</v>
      </c>
      <c r="I746" s="157"/>
      <c r="J746" s="330">
        <v>644001</v>
      </c>
      <c r="K746" s="329">
        <v>-116.2602200000002</v>
      </c>
      <c r="L746" s="157"/>
      <c r="M746" s="360">
        <f t="shared" si="75"/>
        <v>644001</v>
      </c>
      <c r="N746" s="237">
        <f t="shared" si="76"/>
        <v>-116.2602200000002</v>
      </c>
      <c r="O746" s="361"/>
      <c r="P746" s="361"/>
      <c r="Q746" s="361" t="s">
        <v>698</v>
      </c>
      <c r="R746" s="362">
        <v>35</v>
      </c>
      <c r="S746" s="236"/>
      <c r="T746" s="364">
        <f t="shared" si="72"/>
        <v>644001</v>
      </c>
      <c r="U746" s="365">
        <f>N746</f>
        <v>-116.2602200000002</v>
      </c>
      <c r="V746" s="365">
        <f>IF($Q746="ekrk",IF($R746="data",IFERROR(INDEX(data!$A:$ALL,MATCH($M746,data!$A:$A,0),MATCH(V$2,data!$1:$1,0)),"#data"),IFERROR(U746*INDEX(indexy_SDcast!$A:$ALI,MATCH($R746,indexy_SDcast!$K:$K,0),MATCH(V$2,indexy_SDcast!$2:$2,0)),"#ekrk")),"#popis")</f>
        <v>-148.84007063201543</v>
      </c>
      <c r="W746" s="365">
        <f>IF($Q746="ekrk",IF($R746="data",IFERROR(INDEX(data!$A:$ALL,MATCH($M746,data!$A:$A,0),MATCH(W$2,data!$1:$1,0)),"#data"),IFERROR(V746*INDEX(indexy_SDcast!$A:$ALI,MATCH($R746,indexy_SDcast!$K:$K,0),MATCH(W$2,indexy_SDcast!$2:$2,0)),"#ekrk")),"#popis")</f>
        <v>-150.5132273631647</v>
      </c>
      <c r="X746" s="365">
        <f>IF($Q746="ekrk",IF($R746="data",IFERROR(INDEX(data!$A:$ALL,MATCH($M746,data!$A:$A,0),MATCH(X$2,data!$1:$1,0)),"#data"),IFERROR(W746*INDEX(indexy_SDcast!$A:$ALI,MATCH($R746,indexy_SDcast!$K:$K,0),MATCH(X$2,indexy_SDcast!$2:$2,0)),"#ekrk")),"#popis")</f>
        <v>-96.678557709586656</v>
      </c>
      <c r="Y746" s="362">
        <f>IF($Q746="ekrk",IF($R746="data",IFERROR(INDEX(data!$A:$ALL,MATCH($M746,data!$A:$A,0),MATCH(Y$2,data!$1:$1,0)),"#data"),IFERROR(X746*INDEX(indexy_SDcast!$A:$ALI,MATCH($R746,indexy_SDcast!$K:$K,0),MATCH(Y$2,indexy_SDcast!$2:$2,0)),"#ekrk")),"#popis")</f>
        <v>-130.79139001223547</v>
      </c>
    </row>
    <row r="747" spans="1:44" x14ac:dyDescent="0.25">
      <c r="A747" s="330">
        <v>644002</v>
      </c>
      <c r="B747" s="329">
        <v>-724.63447999997879</v>
      </c>
      <c r="C747" s="157"/>
      <c r="D747" s="330">
        <v>644002</v>
      </c>
      <c r="E747" s="329">
        <v>-724.63447999997879</v>
      </c>
      <c r="F747" s="157"/>
      <c r="G747" s="330">
        <v>644002</v>
      </c>
      <c r="H747" s="329">
        <v>-724.63447999997879</v>
      </c>
      <c r="I747" s="157"/>
      <c r="J747" s="330">
        <v>644002</v>
      </c>
      <c r="K747" s="329">
        <v>-724.63447999997879</v>
      </c>
      <c r="L747" s="157"/>
      <c r="M747" s="360">
        <f t="shared" si="75"/>
        <v>644002</v>
      </c>
      <c r="N747" s="237">
        <f t="shared" si="76"/>
        <v>-724.63447999997879</v>
      </c>
      <c r="O747" s="361"/>
      <c r="P747" s="361"/>
      <c r="Q747" s="361" t="s">
        <v>698</v>
      </c>
      <c r="R747" s="362">
        <v>35</v>
      </c>
      <c r="S747" s="236"/>
      <c r="T747" s="364">
        <f t="shared" si="72"/>
        <v>644002</v>
      </c>
      <c r="U747" s="365">
        <f>N747</f>
        <v>-724.63447999997879</v>
      </c>
      <c r="V747" s="365">
        <f>IF($Q747="ekrk",IF($R747="data",IFERROR(INDEX(data!$A:$ALL,MATCH($M747,data!$A:$A,0),MATCH(V$2,data!$1:$1,0)),"#data"),IFERROR(U747*INDEX(indexy_SDcast!$A:$ALI,MATCH($R747,indexy_SDcast!$K:$K,0),MATCH(V$2,indexy_SDcast!$2:$2,0)),"#ekrk")),"#popis")</f>
        <v>-927.70035344497398</v>
      </c>
      <c r="W747" s="365">
        <f>IF($Q747="ekrk",IF($R747="data",IFERROR(INDEX(data!$A:$ALL,MATCH($M747,data!$A:$A,0),MATCH(W$2,data!$1:$1,0)),"#data"),IFERROR(V747*INDEX(indexy_SDcast!$A:$ALI,MATCH($R747,indexy_SDcast!$K:$K,0),MATCH(W$2,indexy_SDcast!$2:$2,0)),"#ekrk")),"#popis")</f>
        <v>-938.12891669588487</v>
      </c>
      <c r="X747" s="365">
        <f>IF($Q747="ekrk",IF($R747="data",IFERROR(INDEX(data!$A:$ALL,MATCH($M747,data!$A:$A,0),MATCH(X$2,data!$1:$1,0)),"#data"),IFERROR(W747*INDEX(indexy_SDcast!$A:$ALI,MATCH($R747,indexy_SDcast!$K:$K,0),MATCH(X$2,indexy_SDcast!$2:$2,0)),"#ekrk")),"#popis")</f>
        <v>-602.58458476196029</v>
      </c>
      <c r="Y747" s="362">
        <f>IF($Q747="ekrk",IF($R747="data",IFERROR(INDEX(data!$A:$ALL,MATCH($M747,data!$A:$A,0),MATCH(Y$2,data!$1:$1,0)),"#data"),IFERROR(X747*INDEX(indexy_SDcast!$A:$ALI,MATCH($R747,indexy_SDcast!$K:$K,0),MATCH(Y$2,indexy_SDcast!$2:$2,0)),"#ekrk")),"#popis")</f>
        <v>-815.20532895938527</v>
      </c>
    </row>
    <row r="748" spans="1:44" x14ac:dyDescent="0.25">
      <c r="A748" s="330">
        <v>644003</v>
      </c>
      <c r="B748" s="329">
        <v>0</v>
      </c>
      <c r="C748" s="157"/>
      <c r="D748" s="330">
        <v>644003</v>
      </c>
      <c r="E748" s="329">
        <v>0</v>
      </c>
      <c r="F748" s="157"/>
      <c r="G748" s="330">
        <v>644003</v>
      </c>
      <c r="H748" s="329">
        <v>0</v>
      </c>
      <c r="I748" s="157"/>
      <c r="J748" s="330">
        <v>644003</v>
      </c>
      <c r="K748" s="329">
        <v>0</v>
      </c>
      <c r="L748" s="157"/>
      <c r="M748" s="360">
        <f t="shared" si="75"/>
        <v>644003</v>
      </c>
      <c r="N748" s="237">
        <f t="shared" si="76"/>
        <v>0</v>
      </c>
      <c r="O748" s="361"/>
      <c r="P748" s="361"/>
      <c r="Q748" s="361" t="s">
        <v>698</v>
      </c>
      <c r="R748" s="362">
        <v>35</v>
      </c>
      <c r="S748" s="236"/>
      <c r="T748" s="364">
        <f t="shared" si="72"/>
        <v>644003</v>
      </c>
      <c r="U748" s="365">
        <f>N748</f>
        <v>0</v>
      </c>
      <c r="V748" s="365">
        <f>IF($Q748="ekrk",IF($R748="data",IFERROR(INDEX(data!$A:$ALL,MATCH($M748,data!$A:$A,0),MATCH(V$2,data!$1:$1,0)),"#data"),IFERROR(U748*INDEX(indexy_SDcast!$A:$ALI,MATCH($R748,indexy_SDcast!$K:$K,0),MATCH(V$2,indexy_SDcast!$2:$2,0)),"#ekrk")),"#popis")</f>
        <v>0</v>
      </c>
      <c r="W748" s="365">
        <f>IF($Q748="ekrk",IF($R748="data",IFERROR(INDEX(data!$A:$ALL,MATCH($M748,data!$A:$A,0),MATCH(W$2,data!$1:$1,0)),"#data"),IFERROR(V748*INDEX(indexy_SDcast!$A:$ALI,MATCH($R748,indexy_SDcast!$K:$K,0),MATCH(W$2,indexy_SDcast!$2:$2,0)),"#ekrk")),"#popis")</f>
        <v>0</v>
      </c>
      <c r="X748" s="365">
        <f>IF($Q748="ekrk",IF($R748="data",IFERROR(INDEX(data!$A:$ALL,MATCH($M748,data!$A:$A,0),MATCH(X$2,data!$1:$1,0)),"#data"),IFERROR(W748*INDEX(indexy_SDcast!$A:$ALI,MATCH($R748,indexy_SDcast!$K:$K,0),MATCH(X$2,indexy_SDcast!$2:$2,0)),"#ekrk")),"#popis")</f>
        <v>0</v>
      </c>
      <c r="Y748" s="362">
        <f>IF($Q748="ekrk",IF($R748="data",IFERROR(INDEX(data!$A:$ALL,MATCH($M748,data!$A:$A,0),MATCH(Y$2,data!$1:$1,0)),"#data"),IFERROR(X748*INDEX(indexy_SDcast!$A:$ALI,MATCH($R748,indexy_SDcast!$K:$K,0),MATCH(Y$2,indexy_SDcast!$2:$2,0)),"#ekrk")),"#popis")</f>
        <v>0</v>
      </c>
    </row>
    <row r="749" spans="1:44" x14ac:dyDescent="0.25">
      <c r="A749" s="330">
        <v>644004</v>
      </c>
      <c r="B749" s="329">
        <v>-49.366349999999997</v>
      </c>
      <c r="C749" s="157"/>
      <c r="D749" s="330">
        <v>644004</v>
      </c>
      <c r="E749" s="329">
        <v>-49.366349999999997</v>
      </c>
      <c r="F749" s="157"/>
      <c r="G749" s="330">
        <v>644004</v>
      </c>
      <c r="H749" s="329">
        <v>-49.366349999999997</v>
      </c>
      <c r="I749" s="157"/>
      <c r="J749" s="330">
        <v>644004</v>
      </c>
      <c r="K749" s="329">
        <v>-49.366349999999997</v>
      </c>
      <c r="L749" s="157"/>
      <c r="M749" s="360">
        <f t="shared" si="75"/>
        <v>644004</v>
      </c>
      <c r="N749" s="237">
        <f t="shared" si="76"/>
        <v>-49.366349999999997</v>
      </c>
      <c r="O749" s="361"/>
      <c r="P749" s="361"/>
      <c r="Q749" s="361" t="s">
        <v>698</v>
      </c>
      <c r="R749" s="362">
        <v>35</v>
      </c>
      <c r="S749" s="236"/>
      <c r="T749" s="364">
        <f t="shared" si="72"/>
        <v>644004</v>
      </c>
      <c r="U749" s="365">
        <f>N749</f>
        <v>-49.366349999999997</v>
      </c>
      <c r="V749" s="365">
        <f>IF($Q749="ekrk",IF($R749="data",IFERROR(INDEX(data!$A:$ALL,MATCH($M749,data!$A:$A,0),MATCH(V$2,data!$1:$1,0)),"#data"),IFERROR(U749*INDEX(indexy_SDcast!$A:$ALI,MATCH($R749,indexy_SDcast!$K:$K,0),MATCH(V$2,indexy_SDcast!$2:$2,0)),"#ekrk")),"#popis")</f>
        <v>-63.200388067774014</v>
      </c>
      <c r="W749" s="365">
        <f>IF($Q749="ekrk",IF($R749="data",IFERROR(INDEX(data!$A:$ALL,MATCH($M749,data!$A:$A,0),MATCH(W$2,data!$1:$1,0)),"#data"),IFERROR(V749*INDEX(indexy_SDcast!$A:$ALI,MATCH($R749,indexy_SDcast!$K:$K,0),MATCH(W$2,indexy_SDcast!$2:$2,0)),"#ekrk")),"#popis")</f>
        <v>-63.910842949028932</v>
      </c>
      <c r="X749" s="365">
        <f>IF($Q749="ekrk",IF($R749="data",IFERROR(INDEX(data!$A:$ALL,MATCH($M749,data!$A:$A,0),MATCH(X$2,data!$1:$1,0)),"#data"),IFERROR(W749*INDEX(indexy_SDcast!$A:$ALI,MATCH($R749,indexy_SDcast!$K:$K,0),MATCH(X$2,indexy_SDcast!$2:$2,0)),"#ekrk")),"#popis")</f>
        <v>-41.05159544155898</v>
      </c>
      <c r="Y749" s="362">
        <f>IF($Q749="ekrk",IF($R749="data",IFERROR(INDEX(data!$A:$ALL,MATCH($M749,data!$A:$A,0),MATCH(Y$2,data!$1:$1,0)),"#data"),IFERROR(X749*INDEX(indexy_SDcast!$A:$ALI,MATCH($R749,indexy_SDcast!$K:$K,0),MATCH(Y$2,indexy_SDcast!$2:$2,0)),"#ekrk")),"#popis")</f>
        <v>-55.536567334299797</v>
      </c>
    </row>
    <row r="750" spans="1:44" s="18" customFormat="1" x14ac:dyDescent="0.25">
      <c r="A750" s="333" t="s">
        <v>709</v>
      </c>
      <c r="B750" s="334">
        <v>-1045.089089999999</v>
      </c>
      <c r="C750" s="164"/>
      <c r="D750" s="333" t="s">
        <v>709</v>
      </c>
      <c r="E750" s="334">
        <v>-1045.089089999999</v>
      </c>
      <c r="F750" s="164"/>
      <c r="G750" s="333" t="s">
        <v>709</v>
      </c>
      <c r="H750" s="334">
        <v>-1045.089089999999</v>
      </c>
      <c r="I750" s="164"/>
      <c r="J750" s="333" t="s">
        <v>709</v>
      </c>
      <c r="K750" s="334">
        <v>-1045.089089999999</v>
      </c>
      <c r="L750" s="164"/>
      <c r="M750" s="358" t="str">
        <f t="shared" si="75"/>
        <v>D39PAY</v>
      </c>
      <c r="N750" s="239">
        <f t="shared" si="76"/>
        <v>-1045.089089999999</v>
      </c>
      <c r="O750" s="243"/>
      <c r="P750" s="243">
        <f>MATCH(Q750,Q751:Q$1550,0)</f>
        <v>5</v>
      </c>
      <c r="Q750" s="243" t="s">
        <v>697</v>
      </c>
      <c r="R750" s="359"/>
      <c r="S750" s="240"/>
      <c r="T750" s="363" t="str">
        <f t="shared" si="72"/>
        <v>D39PAY</v>
      </c>
      <c r="U750" s="244">
        <f>SUM(U751:U754)</f>
        <v>-1045.089089999999</v>
      </c>
      <c r="V750" s="244">
        <f>SUM(V751:V754)</f>
        <v>-1337.9566456381067</v>
      </c>
      <c r="W750" s="244">
        <f>SUM(W751:W754)</f>
        <v>-1352.9970252759929</v>
      </c>
      <c r="X750" s="244">
        <f>SUM(X751:X754)</f>
        <v>-869.06515314717399</v>
      </c>
      <c r="Y750" s="359">
        <f>SUM(Y751:Y754)</f>
        <v>-1175.7130234892202</v>
      </c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8"/>
      <c r="AN750" s="58"/>
      <c r="AO750" s="58"/>
      <c r="AP750" s="58"/>
      <c r="AQ750" s="58"/>
      <c r="AR750" s="58"/>
    </row>
    <row r="751" spans="1:44" x14ac:dyDescent="0.25">
      <c r="A751" s="330">
        <v>644001</v>
      </c>
      <c r="B751" s="329">
        <v>-136.47940999999997</v>
      </c>
      <c r="C751" s="157"/>
      <c r="D751" s="330">
        <v>644001</v>
      </c>
      <c r="E751" s="329">
        <v>-136.47940999999997</v>
      </c>
      <c r="F751" s="157"/>
      <c r="G751" s="330">
        <v>644001</v>
      </c>
      <c r="H751" s="329">
        <v>-136.47940999999997</v>
      </c>
      <c r="I751" s="157"/>
      <c r="J751" s="330">
        <v>644001</v>
      </c>
      <c r="K751" s="329">
        <v>-136.47940999999997</v>
      </c>
      <c r="L751" s="157"/>
      <c r="M751" s="360">
        <f t="shared" si="75"/>
        <v>644001</v>
      </c>
      <c r="N751" s="237">
        <f t="shared" si="76"/>
        <v>-136.47940999999997</v>
      </c>
      <c r="O751" s="361"/>
      <c r="P751" s="361"/>
      <c r="Q751" s="361" t="s">
        <v>698</v>
      </c>
      <c r="R751" s="362">
        <v>35</v>
      </c>
      <c r="S751" s="236"/>
      <c r="T751" s="364">
        <f t="shared" si="72"/>
        <v>644001</v>
      </c>
      <c r="U751" s="365">
        <f>N751</f>
        <v>-136.47940999999997</v>
      </c>
      <c r="V751" s="365">
        <f>IF($Q751="ekrk",IF($R751="data",IFERROR(INDEX(data!$A:$ALL,MATCH($M751,data!$A:$A,0),MATCH(V$2,data!$1:$1,0)),"#data"),IFERROR(U751*INDEX(indexy_SDcast!$A:$ALI,MATCH($R751,indexy_SDcast!$K:$K,0),MATCH(V$2,indexy_SDcast!$2:$2,0)),"#ekrk")),"#popis")</f>
        <v>-174.72532758165909</v>
      </c>
      <c r="W751" s="365">
        <f>IF($Q751="ekrk",IF($R751="data",IFERROR(INDEX(data!$A:$ALL,MATCH($M751,data!$A:$A,0),MATCH(W$2,data!$1:$1,0)),"#data"),IFERROR(V751*INDEX(indexy_SDcast!$A:$ALI,MATCH($R751,indexy_SDcast!$K:$K,0),MATCH(W$2,indexy_SDcast!$2:$2,0)),"#ekrk")),"#popis")</f>
        <v>-176.68946839873976</v>
      </c>
      <c r="X751" s="365">
        <f>IF($Q751="ekrk",IF($R751="data",IFERROR(INDEX(data!$A:$ALL,MATCH($M751,data!$A:$A,0),MATCH(X$2,data!$1:$1,0)),"#data"),IFERROR(W751*INDEX(indexy_SDcast!$A:$ALI,MATCH($R751,indexy_SDcast!$K:$K,0),MATCH(X$2,indexy_SDcast!$2:$2,0)),"#ekrk")),"#popis")</f>
        <v>-113.49223763601438</v>
      </c>
      <c r="Y751" s="362">
        <f>IF($Q751="ekrk",IF($R751="data",IFERROR(INDEX(data!$A:$ALL,MATCH($M751,data!$A:$A,0),MATCH(Y$2,data!$1:$1,0)),"#data"),IFERROR(X751*INDEX(indexy_SDcast!$A:$ALI,MATCH($R751,indexy_SDcast!$K:$K,0),MATCH(Y$2,indexy_SDcast!$2:$2,0)),"#ekrk")),"#popis")</f>
        <v>-153.53774267715778</v>
      </c>
    </row>
    <row r="752" spans="1:44" x14ac:dyDescent="0.25">
      <c r="A752" s="330">
        <v>644002</v>
      </c>
      <c r="B752" s="329">
        <v>-850.65786999999909</v>
      </c>
      <c r="C752" s="157"/>
      <c r="D752" s="330">
        <v>644002</v>
      </c>
      <c r="E752" s="329">
        <v>-850.65786999999909</v>
      </c>
      <c r="F752" s="157"/>
      <c r="G752" s="330">
        <v>644002</v>
      </c>
      <c r="H752" s="329">
        <v>-850.65786999999909</v>
      </c>
      <c r="I752" s="157"/>
      <c r="J752" s="330">
        <v>644002</v>
      </c>
      <c r="K752" s="329">
        <v>-850.65786999999909</v>
      </c>
      <c r="L752" s="157"/>
      <c r="M752" s="360">
        <f t="shared" si="75"/>
        <v>644002</v>
      </c>
      <c r="N752" s="237">
        <f t="shared" si="76"/>
        <v>-850.65786999999909</v>
      </c>
      <c r="O752" s="361"/>
      <c r="P752" s="361"/>
      <c r="Q752" s="361" t="s">
        <v>698</v>
      </c>
      <c r="R752" s="362">
        <v>35</v>
      </c>
      <c r="S752" s="236"/>
      <c r="T752" s="364">
        <f t="shared" si="72"/>
        <v>644002</v>
      </c>
      <c r="U752" s="365">
        <f>N752</f>
        <v>-850.65786999999909</v>
      </c>
      <c r="V752" s="365">
        <f>IF($Q752="ekrk",IF($R752="data",IFERROR(INDEX(data!$A:$ALL,MATCH($M752,data!$A:$A,0),MATCH(V$2,data!$1:$1,0)),"#data"),IFERROR(U752*INDEX(indexy_SDcast!$A:$ALI,MATCH($R752,indexy_SDcast!$K:$K,0),MATCH(V$2,indexy_SDcast!$2:$2,0)),"#ekrk")),"#popis")</f>
        <v>-1089.0395481315918</v>
      </c>
      <c r="W752" s="365">
        <f>IF($Q752="ekrk",IF($R752="data",IFERROR(INDEX(data!$A:$ALL,MATCH($M752,data!$A:$A,0),MATCH(W$2,data!$1:$1,0)),"#data"),IFERROR(V752*INDEX(indexy_SDcast!$A:$ALI,MATCH($R752,indexy_SDcast!$K:$K,0),MATCH(W$2,indexy_SDcast!$2:$2,0)),"#ekrk")),"#popis")</f>
        <v>-1101.2817745878604</v>
      </c>
      <c r="X752" s="365">
        <f>IF($Q752="ekrk",IF($R752="data",IFERROR(INDEX(data!$A:$ALL,MATCH($M752,data!$A:$A,0),MATCH(X$2,data!$1:$1,0)),"#data"),IFERROR(W752*INDEX(indexy_SDcast!$A:$ALI,MATCH($R752,indexy_SDcast!$K:$K,0),MATCH(X$2,indexy_SDcast!$2:$2,0)),"#ekrk")),"#popis")</f>
        <v>-707.38190565877858</v>
      </c>
      <c r="Y752" s="362">
        <f>IF($Q752="ekrk",IF($R752="data",IFERROR(INDEX(data!$A:$ALL,MATCH($M752,data!$A:$A,0),MATCH(Y$2,data!$1:$1,0)),"#data"),IFERROR(X752*INDEX(indexy_SDcast!$A:$ALI,MATCH($R752,indexy_SDcast!$K:$K,0),MATCH(Y$2,indexy_SDcast!$2:$2,0)),"#ekrk")),"#popis")</f>
        <v>-956.9801712240627</v>
      </c>
    </row>
    <row r="753" spans="1:44" x14ac:dyDescent="0.25">
      <c r="A753" s="330">
        <v>644003</v>
      </c>
      <c r="B753" s="329">
        <v>0</v>
      </c>
      <c r="C753" s="157"/>
      <c r="D753" s="330">
        <v>644003</v>
      </c>
      <c r="E753" s="329">
        <v>0</v>
      </c>
      <c r="F753" s="157"/>
      <c r="G753" s="330">
        <v>644003</v>
      </c>
      <c r="H753" s="329">
        <v>0</v>
      </c>
      <c r="I753" s="157"/>
      <c r="J753" s="330">
        <v>644003</v>
      </c>
      <c r="K753" s="329">
        <v>0</v>
      </c>
      <c r="L753" s="157"/>
      <c r="M753" s="360">
        <f t="shared" si="75"/>
        <v>644003</v>
      </c>
      <c r="N753" s="237">
        <f t="shared" si="76"/>
        <v>0</v>
      </c>
      <c r="O753" s="361"/>
      <c r="P753" s="361"/>
      <c r="Q753" s="361" t="s">
        <v>698</v>
      </c>
      <c r="R753" s="362">
        <v>35</v>
      </c>
      <c r="S753" s="236"/>
      <c r="T753" s="364">
        <f t="shared" si="72"/>
        <v>644003</v>
      </c>
      <c r="U753" s="365">
        <f>N753</f>
        <v>0</v>
      </c>
      <c r="V753" s="365">
        <f>IF($Q753="ekrk",IF($R753="data",IFERROR(INDEX(data!$A:$ALL,MATCH($M753,data!$A:$A,0),MATCH(V$2,data!$1:$1,0)),"#data"),IFERROR(U753*INDEX(indexy_SDcast!$A:$ALI,MATCH($R753,indexy_SDcast!$K:$K,0),MATCH(V$2,indexy_SDcast!$2:$2,0)),"#ekrk")),"#popis")</f>
        <v>0</v>
      </c>
      <c r="W753" s="365">
        <f>IF($Q753="ekrk",IF($R753="data",IFERROR(INDEX(data!$A:$ALL,MATCH($M753,data!$A:$A,0),MATCH(W$2,data!$1:$1,0)),"#data"),IFERROR(V753*INDEX(indexy_SDcast!$A:$ALI,MATCH($R753,indexy_SDcast!$K:$K,0),MATCH(W$2,indexy_SDcast!$2:$2,0)),"#ekrk")),"#popis")</f>
        <v>0</v>
      </c>
      <c r="X753" s="365">
        <f>IF($Q753="ekrk",IF($R753="data",IFERROR(INDEX(data!$A:$ALL,MATCH($M753,data!$A:$A,0),MATCH(X$2,data!$1:$1,0)),"#data"),IFERROR(W753*INDEX(indexy_SDcast!$A:$ALI,MATCH($R753,indexy_SDcast!$K:$K,0),MATCH(X$2,indexy_SDcast!$2:$2,0)),"#ekrk")),"#popis")</f>
        <v>0</v>
      </c>
      <c r="Y753" s="362">
        <f>IF($Q753="ekrk",IF($R753="data",IFERROR(INDEX(data!$A:$ALL,MATCH($M753,data!$A:$A,0),MATCH(Y$2,data!$1:$1,0)),"#data"),IFERROR(X753*INDEX(indexy_SDcast!$A:$ALI,MATCH($R753,indexy_SDcast!$K:$K,0),MATCH(Y$2,indexy_SDcast!$2:$2,0)),"#ekrk")),"#popis")</f>
        <v>0</v>
      </c>
    </row>
    <row r="754" spans="1:44" x14ac:dyDescent="0.25">
      <c r="A754" s="330">
        <v>644004</v>
      </c>
      <c r="B754" s="329">
        <v>-57.951810000000002</v>
      </c>
      <c r="C754" s="157"/>
      <c r="D754" s="330">
        <v>644004</v>
      </c>
      <c r="E754" s="329">
        <v>-57.951810000000002</v>
      </c>
      <c r="F754" s="157"/>
      <c r="G754" s="330">
        <v>644004</v>
      </c>
      <c r="H754" s="329">
        <v>-57.951810000000002</v>
      </c>
      <c r="I754" s="157"/>
      <c r="J754" s="330">
        <v>644004</v>
      </c>
      <c r="K754" s="329">
        <v>-57.951810000000002</v>
      </c>
      <c r="L754" s="157"/>
      <c r="M754" s="360">
        <f t="shared" si="75"/>
        <v>644004</v>
      </c>
      <c r="N754" s="237">
        <f t="shared" si="76"/>
        <v>-57.951810000000002</v>
      </c>
      <c r="O754" s="361"/>
      <c r="P754" s="361"/>
      <c r="Q754" s="361" t="s">
        <v>698</v>
      </c>
      <c r="R754" s="362">
        <v>35</v>
      </c>
      <c r="S754" s="236"/>
      <c r="T754" s="364">
        <f t="shared" si="72"/>
        <v>644004</v>
      </c>
      <c r="U754" s="365">
        <f>N754</f>
        <v>-57.951810000000002</v>
      </c>
      <c r="V754" s="365">
        <f>IF($Q754="ekrk",IF($R754="data",IFERROR(INDEX(data!$A:$ALL,MATCH($M754,data!$A:$A,0),MATCH(V$2,data!$1:$1,0)),"#data"),IFERROR(U754*INDEX(indexy_SDcast!$A:$ALI,MATCH($R754,indexy_SDcast!$K:$K,0),MATCH(V$2,indexy_SDcast!$2:$2,0)),"#ekrk")),"#popis")</f>
        <v>-74.191769924855848</v>
      </c>
      <c r="W754" s="365">
        <f>IF($Q754="ekrk",IF($R754="data",IFERROR(INDEX(data!$A:$ALL,MATCH($M754,data!$A:$A,0),MATCH(W$2,data!$1:$1,0)),"#data"),IFERROR(V754*INDEX(indexy_SDcast!$A:$ALI,MATCH($R754,indexy_SDcast!$K:$K,0),MATCH(W$2,indexy_SDcast!$2:$2,0)),"#ekrk")),"#popis")</f>
        <v>-75.025782289392779</v>
      </c>
      <c r="X754" s="365">
        <f>IF($Q754="ekrk",IF($R754="data",IFERROR(INDEX(data!$A:$ALL,MATCH($M754,data!$A:$A,0),MATCH(X$2,data!$1:$1,0)),"#data"),IFERROR(W754*INDEX(indexy_SDcast!$A:$ALI,MATCH($R754,indexy_SDcast!$K:$K,0),MATCH(X$2,indexy_SDcast!$2:$2,0)),"#ekrk")),"#popis")</f>
        <v>-48.191009852381086</v>
      </c>
      <c r="Y754" s="362">
        <f>IF($Q754="ekrk",IF($R754="data",IFERROR(INDEX(data!$A:$ALL,MATCH($M754,data!$A:$A,0),MATCH(Y$2,data!$1:$1,0)),"#data"),IFERROR(X754*INDEX(indexy_SDcast!$A:$ALI,MATCH($R754,indexy_SDcast!$K:$K,0),MATCH(Y$2,indexy_SDcast!$2:$2,0)),"#ekrk")),"#popis")</f>
        <v>-65.19510958799971</v>
      </c>
    </row>
    <row r="755" spans="1:44" s="18" customFormat="1" x14ac:dyDescent="0.25">
      <c r="A755" s="333" t="s">
        <v>713</v>
      </c>
      <c r="B755" s="334">
        <v>-513.20704999999998</v>
      </c>
      <c r="C755" s="164"/>
      <c r="D755" s="333" t="s">
        <v>713</v>
      </c>
      <c r="E755" s="334">
        <v>-513.20704999999998</v>
      </c>
      <c r="F755" s="164"/>
      <c r="G755" s="333" t="s">
        <v>713</v>
      </c>
      <c r="H755" s="334">
        <v>-513.20704999999998</v>
      </c>
      <c r="I755" s="164"/>
      <c r="J755" s="333" t="s">
        <v>713</v>
      </c>
      <c r="K755" s="334">
        <v>-513.20704999999998</v>
      </c>
      <c r="L755" s="164"/>
      <c r="M755" s="358" t="str">
        <f t="shared" si="75"/>
        <v>D41PUBPAY</v>
      </c>
      <c r="N755" s="239">
        <f t="shared" si="76"/>
        <v>-513.20704999999998</v>
      </c>
      <c r="O755" s="243"/>
      <c r="P755" s="243">
        <f>MATCH(Q755,Q756:Q$1550,0)</f>
        <v>3</v>
      </c>
      <c r="Q755" s="243" t="s">
        <v>697</v>
      </c>
      <c r="R755" s="359"/>
      <c r="S755" s="240"/>
      <c r="T755" s="363" t="str">
        <f t="shared" si="72"/>
        <v>D41PUBPAY</v>
      </c>
      <c r="U755" s="244">
        <f>SUM(U756:U757)</f>
        <v>-513.20704999999998</v>
      </c>
      <c r="V755" s="244">
        <f>SUM(V756:V757)</f>
        <v>-657.02416158207973</v>
      </c>
      <c r="W755" s="244">
        <f>SUM(W756:W757)</f>
        <v>-664.40997102043059</v>
      </c>
      <c r="X755" s="244">
        <f>SUM(X756:X757)</f>
        <v>-426.76779211661244</v>
      </c>
      <c r="Y755" s="359">
        <f>SUM(Y756:Y757)</f>
        <v>-577.35193889688753</v>
      </c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8"/>
      <c r="AN755" s="58"/>
      <c r="AO755" s="58"/>
      <c r="AP755" s="58"/>
      <c r="AQ755" s="58"/>
      <c r="AR755" s="58"/>
    </row>
    <row r="756" spans="1:44" x14ac:dyDescent="0.25">
      <c r="A756" s="330">
        <v>651001</v>
      </c>
      <c r="B756" s="329">
        <v>-33.929000000000002</v>
      </c>
      <c r="C756" s="157"/>
      <c r="D756" s="330">
        <v>651001</v>
      </c>
      <c r="E756" s="329">
        <v>-33.929000000000002</v>
      </c>
      <c r="F756" s="157"/>
      <c r="G756" s="330">
        <v>651001</v>
      </c>
      <c r="H756" s="329">
        <v>-33.929000000000002</v>
      </c>
      <c r="I756" s="157"/>
      <c r="J756" s="330">
        <v>651001</v>
      </c>
      <c r="K756" s="329">
        <v>-33.929000000000002</v>
      </c>
      <c r="L756" s="157"/>
      <c r="M756" s="360">
        <f t="shared" si="75"/>
        <v>651001</v>
      </c>
      <c r="N756" s="237">
        <f t="shared" si="76"/>
        <v>-33.929000000000002</v>
      </c>
      <c r="O756" s="361"/>
      <c r="P756" s="361"/>
      <c r="Q756" s="361" t="s">
        <v>698</v>
      </c>
      <c r="R756" s="362">
        <v>35</v>
      </c>
      <c r="S756" s="236"/>
      <c r="T756" s="364">
        <f t="shared" si="72"/>
        <v>651001</v>
      </c>
      <c r="U756" s="365">
        <f>N756</f>
        <v>-33.929000000000002</v>
      </c>
      <c r="V756" s="365">
        <f>IF($Q756="ekrk",IF($R756="data",IFERROR(INDEX(data!$A:$ALL,MATCH($M756,data!$A:$A,0),MATCH(V$2,data!$1:$1,0)),"#data"),IFERROR(U756*INDEX(indexy_SDcast!$A:$ALI,MATCH($R756,indexy_SDcast!$K:$K,0),MATCH(V$2,indexy_SDcast!$2:$2,0)),"#ekrk")),"#popis")</f>
        <v>-43.436996390284165</v>
      </c>
      <c r="W756" s="365">
        <f>IF($Q756="ekrk",IF($R756="data",IFERROR(INDEX(data!$A:$ALL,MATCH($M756,data!$A:$A,0),MATCH(W$2,data!$1:$1,0)),"#data"),IFERROR(V756*INDEX(indexy_SDcast!$A:$ALI,MATCH($R756,indexy_SDcast!$K:$K,0),MATCH(W$2,indexy_SDcast!$2:$2,0)),"#ekrk")),"#popis")</f>
        <v>-43.925284944453111</v>
      </c>
      <c r="X756" s="365">
        <f>IF($Q756="ekrk",IF($R756="data",IFERROR(INDEX(data!$A:$ALL,MATCH($M756,data!$A:$A,0),MATCH(X$2,data!$1:$1,0)),"#data"),IFERROR(W756*INDEX(indexy_SDcast!$A:$ALI,MATCH($R756,indexy_SDcast!$K:$K,0),MATCH(X$2,indexy_SDcast!$2:$2,0)),"#ekrk")),"#popis")</f>
        <v>-28.214352119138944</v>
      </c>
      <c r="Y756" s="362">
        <f>IF($Q756="ekrk",IF($R756="data",IFERROR(INDEX(data!$A:$ALL,MATCH($M756,data!$A:$A,0),MATCH(Y$2,data!$1:$1,0)),"#data"),IFERROR(X756*INDEX(indexy_SDcast!$A:$ALI,MATCH($R756,indexy_SDcast!$K:$K,0),MATCH(Y$2,indexy_SDcast!$2:$2,0)),"#ekrk")),"#popis")</f>
        <v>-38.169728835238132</v>
      </c>
    </row>
    <row r="757" spans="1:44" x14ac:dyDescent="0.25">
      <c r="A757" s="330">
        <v>651002</v>
      </c>
      <c r="B757" s="329">
        <v>-479.27804999999995</v>
      </c>
      <c r="C757" s="157"/>
      <c r="D757" s="330">
        <v>651002</v>
      </c>
      <c r="E757" s="329">
        <v>-479.27804999999995</v>
      </c>
      <c r="F757" s="157"/>
      <c r="G757" s="330">
        <v>651002</v>
      </c>
      <c r="H757" s="329">
        <v>-479.27804999999995</v>
      </c>
      <c r="I757" s="157"/>
      <c r="J757" s="330">
        <v>651002</v>
      </c>
      <c r="K757" s="329">
        <v>-479.27804999999995</v>
      </c>
      <c r="L757" s="157"/>
      <c r="M757" s="360">
        <f t="shared" si="75"/>
        <v>651002</v>
      </c>
      <c r="N757" s="237">
        <f t="shared" si="76"/>
        <v>-479.27804999999995</v>
      </c>
      <c r="O757" s="361"/>
      <c r="P757" s="361"/>
      <c r="Q757" s="361" t="s">
        <v>698</v>
      </c>
      <c r="R757" s="362">
        <v>35</v>
      </c>
      <c r="S757" s="236"/>
      <c r="T757" s="364">
        <f t="shared" si="72"/>
        <v>651002</v>
      </c>
      <c r="U757" s="365">
        <f>N757</f>
        <v>-479.27804999999995</v>
      </c>
      <c r="V757" s="365">
        <f>IF($Q757="ekrk",IF($R757="data",IFERROR(INDEX(data!$A:$ALL,MATCH($M757,data!$A:$A,0),MATCH(V$2,data!$1:$1,0)),"#data"),IFERROR(U757*INDEX(indexy_SDcast!$A:$ALI,MATCH($R757,indexy_SDcast!$K:$K,0),MATCH(V$2,indexy_SDcast!$2:$2,0)),"#ekrk")),"#popis")</f>
        <v>-613.58716519179552</v>
      </c>
      <c r="W757" s="365">
        <f>IF($Q757="ekrk",IF($R757="data",IFERROR(INDEX(data!$A:$ALL,MATCH($M757,data!$A:$A,0),MATCH(W$2,data!$1:$1,0)),"#data"),IFERROR(V757*INDEX(indexy_SDcast!$A:$ALI,MATCH($R757,indexy_SDcast!$K:$K,0),MATCH(W$2,indexy_SDcast!$2:$2,0)),"#ekrk")),"#popis")</f>
        <v>-620.48468607597749</v>
      </c>
      <c r="X757" s="365">
        <f>IF($Q757="ekrk",IF($R757="data",IFERROR(INDEX(data!$A:$ALL,MATCH($M757,data!$A:$A,0),MATCH(X$2,data!$1:$1,0)),"#data"),IFERROR(W757*INDEX(indexy_SDcast!$A:$ALI,MATCH($R757,indexy_SDcast!$K:$K,0),MATCH(X$2,indexy_SDcast!$2:$2,0)),"#ekrk")),"#popis")</f>
        <v>-398.5534399974735</v>
      </c>
      <c r="Y757" s="362">
        <f>IF($Q757="ekrk",IF($R757="data",IFERROR(INDEX(data!$A:$ALL,MATCH($M757,data!$A:$A,0),MATCH(Y$2,data!$1:$1,0)),"#data"),IFERROR(X757*INDEX(indexy_SDcast!$A:$ALI,MATCH($R757,indexy_SDcast!$K:$K,0),MATCH(Y$2,indexy_SDcast!$2:$2,0)),"#ekrk")),"#popis")</f>
        <v>-539.18221006164936</v>
      </c>
    </row>
    <row r="758" spans="1:44" s="18" customFormat="1" x14ac:dyDescent="0.25">
      <c r="A758" s="333" t="s">
        <v>714</v>
      </c>
      <c r="B758" s="334">
        <v>7.9540000000000013E-2</v>
      </c>
      <c r="C758" s="164"/>
      <c r="D758" s="333" t="s">
        <v>714</v>
      </c>
      <c r="E758" s="334">
        <v>7.9540000000000013E-2</v>
      </c>
      <c r="F758" s="164"/>
      <c r="G758" s="333" t="s">
        <v>714</v>
      </c>
      <c r="H758" s="334">
        <v>7.9540000000000013E-2</v>
      </c>
      <c r="I758" s="164"/>
      <c r="J758" s="333" t="s">
        <v>714</v>
      </c>
      <c r="K758" s="334">
        <v>7.9540000000000013E-2</v>
      </c>
      <c r="L758" s="164"/>
      <c r="M758" s="358" t="str">
        <f t="shared" si="75"/>
        <v>D41PUBREC</v>
      </c>
      <c r="N758" s="239">
        <f t="shared" si="76"/>
        <v>7.9540000000000013E-2</v>
      </c>
      <c r="O758" s="243"/>
      <c r="P758" s="243">
        <f>MATCH(Q758,Q759:Q$1550,0)</f>
        <v>3</v>
      </c>
      <c r="Q758" s="243" t="s">
        <v>697</v>
      </c>
      <c r="R758" s="359"/>
      <c r="S758" s="240"/>
      <c r="T758" s="363" t="str">
        <f t="shared" si="72"/>
        <v>D41PUBREC</v>
      </c>
      <c r="U758" s="244">
        <f>SUM(U759:U760)</f>
        <v>7.9540000000000013E-2</v>
      </c>
      <c r="V758" s="244">
        <f>SUM(V759:V760)</f>
        <v>0.10182966467868794</v>
      </c>
      <c r="W758" s="244">
        <f>SUM(W759:W760)</f>
        <v>0.10297436306645645</v>
      </c>
      <c r="X758" s="244">
        <f>SUM(X759:X760)</f>
        <v>6.6143109657116686E-2</v>
      </c>
      <c r="Y758" s="359">
        <f>SUM(Y759:Y760)</f>
        <v>8.9481571268084578E-2</v>
      </c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8"/>
      <c r="AN758" s="58"/>
      <c r="AO758" s="58"/>
      <c r="AP758" s="58"/>
      <c r="AQ758" s="58"/>
      <c r="AR758" s="58"/>
    </row>
    <row r="759" spans="1:44" x14ac:dyDescent="0.25">
      <c r="A759" s="330">
        <v>242000</v>
      </c>
      <c r="B759" s="329">
        <v>8.6736173798840355E-19</v>
      </c>
      <c r="C759" s="157"/>
      <c r="D759" s="330">
        <v>242000</v>
      </c>
      <c r="E759" s="329">
        <v>8.6736173798840355E-19</v>
      </c>
      <c r="F759" s="157"/>
      <c r="G759" s="330">
        <v>242000</v>
      </c>
      <c r="H759" s="329">
        <v>8.6736173798840355E-19</v>
      </c>
      <c r="I759" s="157"/>
      <c r="J759" s="330">
        <v>242000</v>
      </c>
      <c r="K759" s="329">
        <v>8.6736173798840355E-19</v>
      </c>
      <c r="L759" s="157"/>
      <c r="M759" s="360">
        <f t="shared" si="75"/>
        <v>242000</v>
      </c>
      <c r="N759" s="237">
        <f t="shared" si="76"/>
        <v>8.6736173798840355E-19</v>
      </c>
      <c r="O759" s="361"/>
      <c r="P759" s="361"/>
      <c r="Q759" s="361" t="s">
        <v>698</v>
      </c>
      <c r="R759" s="362">
        <v>35</v>
      </c>
      <c r="S759" s="236"/>
      <c r="T759" s="364">
        <f t="shared" si="72"/>
        <v>242000</v>
      </c>
      <c r="U759" s="365">
        <f>N759</f>
        <v>8.6736173798840355E-19</v>
      </c>
      <c r="V759" s="365">
        <f>IF($Q759="ekrk",IF($R759="data",IFERROR(INDEX(data!$A:$ALL,MATCH($M759,data!$A:$A,0),MATCH(V$2,data!$1:$1,0)),"#data"),IFERROR(U759*INDEX(indexy_SDcast!$A:$ALI,MATCH($R759,indexy_SDcast!$K:$K,0),MATCH(V$2,indexy_SDcast!$2:$2,0)),"#ekrk")),"#popis")</f>
        <v>1.1104243768479143E-18</v>
      </c>
      <c r="W759" s="365">
        <f>IF($Q759="ekrk",IF($R759="data",IFERROR(INDEX(data!$A:$ALL,MATCH($M759,data!$A:$A,0),MATCH(W$2,data!$1:$1,0)),"#data"),IFERROR(V759*INDEX(indexy_SDcast!$A:$ALI,MATCH($R759,indexy_SDcast!$K:$K,0),MATCH(W$2,indexy_SDcast!$2:$2,0)),"#ekrk")),"#popis")</f>
        <v>1.1229069967006604E-18</v>
      </c>
      <c r="X759" s="365">
        <f>IF($Q759="ekrk",IF($R759="data",IFERROR(INDEX(data!$A:$ALL,MATCH($M759,data!$A:$A,0),MATCH(X$2,data!$1:$1,0)),"#data"),IFERROR(W759*INDEX(indexy_SDcast!$A:$ALI,MATCH($R759,indexy_SDcast!$K:$K,0),MATCH(X$2,indexy_SDcast!$2:$2,0)),"#ekrk")),"#popis")</f>
        <v>7.212723478520779E-19</v>
      </c>
      <c r="Y759" s="362">
        <f>IF($Q759="ekrk",IF($R759="data",IFERROR(INDEX(data!$A:$ALL,MATCH($M759,data!$A:$A,0),MATCH(Y$2,data!$1:$1,0)),"#data"),IFERROR(X759*INDEX(indexy_SDcast!$A:$ALI,MATCH($R759,indexy_SDcast!$K:$K,0),MATCH(Y$2,indexy_SDcast!$2:$2,0)),"#ekrk")),"#popis")</f>
        <v>9.7577182767185097E-19</v>
      </c>
    </row>
    <row r="760" spans="1:44" x14ac:dyDescent="0.25">
      <c r="A760" s="330">
        <v>243000</v>
      </c>
      <c r="B760" s="329">
        <v>7.9540000000000013E-2</v>
      </c>
      <c r="C760" s="157"/>
      <c r="D760" s="330">
        <v>243000</v>
      </c>
      <c r="E760" s="329">
        <v>7.9540000000000013E-2</v>
      </c>
      <c r="F760" s="157"/>
      <c r="G760" s="330">
        <v>243000</v>
      </c>
      <c r="H760" s="329">
        <v>7.9540000000000013E-2</v>
      </c>
      <c r="I760" s="157"/>
      <c r="J760" s="330">
        <v>243000</v>
      </c>
      <c r="K760" s="329">
        <v>7.9540000000000013E-2</v>
      </c>
      <c r="L760" s="157"/>
      <c r="M760" s="360">
        <f t="shared" si="75"/>
        <v>243000</v>
      </c>
      <c r="N760" s="237">
        <f t="shared" si="76"/>
        <v>7.9540000000000013E-2</v>
      </c>
      <c r="O760" s="361"/>
      <c r="P760" s="361"/>
      <c r="Q760" s="361" t="s">
        <v>698</v>
      </c>
      <c r="R760" s="362">
        <v>35</v>
      </c>
      <c r="S760" s="236"/>
      <c r="T760" s="364">
        <f t="shared" si="72"/>
        <v>243000</v>
      </c>
      <c r="U760" s="365">
        <f>N760</f>
        <v>7.9540000000000013E-2</v>
      </c>
      <c r="V760" s="365">
        <f>IF($Q760="ekrk",IF($R760="data",IFERROR(INDEX(data!$A:$ALL,MATCH($M760,data!$A:$A,0),MATCH(V$2,data!$1:$1,0)),"#data"),IFERROR(U760*INDEX(indexy_SDcast!$A:$ALI,MATCH($R760,indexy_SDcast!$K:$K,0),MATCH(V$2,indexy_SDcast!$2:$2,0)),"#ekrk")),"#popis")</f>
        <v>0.10182966467868794</v>
      </c>
      <c r="W760" s="365">
        <f>IF($Q760="ekrk",IF($R760="data",IFERROR(INDEX(data!$A:$ALL,MATCH($M760,data!$A:$A,0),MATCH(W$2,data!$1:$1,0)),"#data"),IFERROR(V760*INDEX(indexy_SDcast!$A:$ALI,MATCH($R760,indexy_SDcast!$K:$K,0),MATCH(W$2,indexy_SDcast!$2:$2,0)),"#ekrk")),"#popis")</f>
        <v>0.10297436306645645</v>
      </c>
      <c r="X760" s="365">
        <f>IF($Q760="ekrk",IF($R760="data",IFERROR(INDEX(data!$A:$ALL,MATCH($M760,data!$A:$A,0),MATCH(X$2,data!$1:$1,0)),"#data"),IFERROR(W760*INDEX(indexy_SDcast!$A:$ALI,MATCH($R760,indexy_SDcast!$K:$K,0),MATCH(X$2,indexy_SDcast!$2:$2,0)),"#ekrk")),"#popis")</f>
        <v>6.6143109657116686E-2</v>
      </c>
      <c r="Y760" s="362">
        <f>IF($Q760="ekrk",IF($R760="data",IFERROR(INDEX(data!$A:$ALL,MATCH($M760,data!$A:$A,0),MATCH(Y$2,data!$1:$1,0)),"#data"),IFERROR(X760*INDEX(indexy_SDcast!$A:$ALI,MATCH($R760,indexy_SDcast!$K:$K,0),MATCH(Y$2,indexy_SDcast!$2:$2,0)),"#ekrk")),"#popis")</f>
        <v>8.9481571268084578E-2</v>
      </c>
    </row>
    <row r="761" spans="1:44" s="18" customFormat="1" x14ac:dyDescent="0.25">
      <c r="A761" s="333" t="s">
        <v>726</v>
      </c>
      <c r="B761" s="334">
        <v>50.589219999999997</v>
      </c>
      <c r="C761" s="164"/>
      <c r="D761" s="333" t="s">
        <v>726</v>
      </c>
      <c r="E761" s="334">
        <v>50.589219999999997</v>
      </c>
      <c r="F761" s="164"/>
      <c r="G761" s="333" t="s">
        <v>726</v>
      </c>
      <c r="H761" s="334">
        <v>50.589219999999997</v>
      </c>
      <c r="I761" s="164"/>
      <c r="J761" s="333" t="s">
        <v>726</v>
      </c>
      <c r="K761" s="334">
        <v>50.589219999999997</v>
      </c>
      <c r="L761" s="164"/>
      <c r="M761" s="358" t="str">
        <f t="shared" si="75"/>
        <v>D612REC</v>
      </c>
      <c r="N761" s="239">
        <f t="shared" si="76"/>
        <v>50.589219999999997</v>
      </c>
      <c r="O761" s="243"/>
      <c r="P761" s="243">
        <f>MATCH(Q761,Q762:Q$1550,0)</f>
        <v>5</v>
      </c>
      <c r="Q761" s="243" t="s">
        <v>697</v>
      </c>
      <c r="R761" s="359"/>
      <c r="S761" s="240"/>
      <c r="T761" s="363" t="str">
        <f t="shared" ref="T761:T824" si="77">M761</f>
        <v>D612REC</v>
      </c>
      <c r="U761" s="244">
        <f>SUM(U762:U765)</f>
        <v>50.589219999999997</v>
      </c>
      <c r="V761" s="244">
        <f>SUM(V762:V765)</f>
        <v>64.7659455488606</v>
      </c>
      <c r="W761" s="244">
        <f>SUM(W762:W765)</f>
        <v>65.493999340317302</v>
      </c>
      <c r="X761" s="244">
        <f>SUM(X762:X765)</f>
        <v>42.068497937239115</v>
      </c>
      <c r="Y761" s="359">
        <f>SUM(Y762:Y765)</f>
        <v>56.912281805717981</v>
      </c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8"/>
      <c r="AN761" s="58"/>
      <c r="AO761" s="58"/>
      <c r="AP761" s="58"/>
      <c r="AQ761" s="58"/>
      <c r="AR761" s="58"/>
    </row>
    <row r="762" spans="1:44" x14ac:dyDescent="0.25">
      <c r="A762" s="330">
        <v>637016</v>
      </c>
      <c r="B762" s="329">
        <v>20.020420000000005</v>
      </c>
      <c r="C762" s="157"/>
      <c r="D762" s="330">
        <v>637016</v>
      </c>
      <c r="E762" s="329">
        <v>20.020420000000005</v>
      </c>
      <c r="F762" s="157"/>
      <c r="G762" s="330">
        <v>637016</v>
      </c>
      <c r="H762" s="329">
        <v>20.020420000000005</v>
      </c>
      <c r="I762" s="157"/>
      <c r="J762" s="330">
        <v>637016</v>
      </c>
      <c r="K762" s="329">
        <v>20.020420000000005</v>
      </c>
      <c r="L762" s="157"/>
      <c r="M762" s="360">
        <f t="shared" si="75"/>
        <v>637016</v>
      </c>
      <c r="N762" s="237">
        <f t="shared" si="76"/>
        <v>20.020420000000005</v>
      </c>
      <c r="O762" s="361"/>
      <c r="P762" s="361"/>
      <c r="Q762" s="361" t="s">
        <v>698</v>
      </c>
      <c r="R762" s="362">
        <v>35</v>
      </c>
      <c r="S762" s="236"/>
      <c r="T762" s="364">
        <f t="shared" si="77"/>
        <v>637016</v>
      </c>
      <c r="U762" s="365">
        <f>N762</f>
        <v>20.020420000000005</v>
      </c>
      <c r="V762" s="365">
        <f>IF($Q762="ekrk",IF($R762="data",IFERROR(INDEX(data!$A:$ALL,MATCH($M762,data!$A:$A,0),MATCH(V$2,data!$1:$1,0)),"#data"),IFERROR(U762*INDEX(indexy_SDcast!$A:$ALI,MATCH($R762,indexy_SDcast!$K:$K,0),MATCH(V$2,indexy_SDcast!$2:$2,0)),"#ekrk")),"#popis")</f>
        <v>25.630785206518706</v>
      </c>
      <c r="W762" s="365">
        <f>IF($Q762="ekrk",IF($R762="data",IFERROR(INDEX(data!$A:$ALL,MATCH($M762,data!$A:$A,0),MATCH(W$2,data!$1:$1,0)),"#data"),IFERROR(V762*INDEX(indexy_SDcast!$A:$ALI,MATCH($R762,indexy_SDcast!$K:$K,0),MATCH(W$2,indexy_SDcast!$2:$2,0)),"#ekrk")),"#popis")</f>
        <v>25.918908697799175</v>
      </c>
      <c r="X762" s="365">
        <f>IF($Q762="ekrk",IF($R762="data",IFERROR(INDEX(data!$A:$ALL,MATCH($M762,data!$A:$A,0),MATCH(X$2,data!$1:$1,0)),"#data"),IFERROR(W762*INDEX(indexy_SDcast!$A:$ALI,MATCH($R762,indexy_SDcast!$K:$K,0),MATCH(X$2,indexy_SDcast!$2:$2,0)),"#ekrk")),"#popis")</f>
        <v>16.648388677917175</v>
      </c>
      <c r="Y762" s="362">
        <f>IF($Q762="ekrk",IF($R762="data",IFERROR(INDEX(data!$A:$ALL,MATCH($M762,data!$A:$A,0),MATCH(Y$2,data!$1:$1,0)),"#data"),IFERROR(X762*INDEX(indexy_SDcast!$A:$ALI,MATCH($R762,indexy_SDcast!$K:$K,0),MATCH(Y$2,indexy_SDcast!$2:$2,0)),"#ekrk")),"#popis")</f>
        <v>22.52273873581828</v>
      </c>
    </row>
    <row r="763" spans="1:44" x14ac:dyDescent="0.25">
      <c r="A763" s="330">
        <v>642012</v>
      </c>
      <c r="B763" s="329">
        <v>5.06853</v>
      </c>
      <c r="C763" s="157"/>
      <c r="D763" s="330">
        <v>642012</v>
      </c>
      <c r="E763" s="329">
        <v>5.06853</v>
      </c>
      <c r="F763" s="157"/>
      <c r="G763" s="330">
        <v>642012</v>
      </c>
      <c r="H763" s="329">
        <v>5.06853</v>
      </c>
      <c r="I763" s="157"/>
      <c r="J763" s="330">
        <v>642012</v>
      </c>
      <c r="K763" s="329">
        <v>5.06853</v>
      </c>
      <c r="L763" s="157"/>
      <c r="M763" s="360">
        <f t="shared" si="75"/>
        <v>642012</v>
      </c>
      <c r="N763" s="237">
        <f t="shared" si="76"/>
        <v>5.06853</v>
      </c>
      <c r="O763" s="361"/>
      <c r="P763" s="361"/>
      <c r="Q763" s="361" t="s">
        <v>698</v>
      </c>
      <c r="R763" s="362">
        <v>35</v>
      </c>
      <c r="S763" s="236"/>
      <c r="T763" s="364">
        <f t="shared" si="77"/>
        <v>642012</v>
      </c>
      <c r="U763" s="365">
        <f>N763</f>
        <v>5.06853</v>
      </c>
      <c r="V763" s="365">
        <f>IF($Q763="ekrk",IF($R763="data",IFERROR(INDEX(data!$A:$ALL,MATCH($M763,data!$A:$A,0),MATCH(V$2,data!$1:$1,0)),"#data"),IFERROR(U763*INDEX(indexy_SDcast!$A:$ALI,MATCH($R763,indexy_SDcast!$K:$K,0),MATCH(V$2,indexy_SDcast!$2:$2,0)),"#ekrk")),"#popis")</f>
        <v>6.4888950253189597</v>
      </c>
      <c r="W763" s="365">
        <f>IF($Q763="ekrk",IF($R763="data",IFERROR(INDEX(data!$A:$ALL,MATCH($M763,data!$A:$A,0),MATCH(W$2,data!$1:$1,0)),"#data"),IFERROR(V763*INDEX(indexy_SDcast!$A:$ALI,MATCH($R763,indexy_SDcast!$K:$K,0),MATCH(W$2,indexy_SDcast!$2:$2,0)),"#ekrk")),"#popis")</f>
        <v>6.5618386778127533</v>
      </c>
      <c r="X763" s="365">
        <f>IF($Q763="ekrk",IF($R763="data",IFERROR(INDEX(data!$A:$ALL,MATCH($M763,data!$A:$A,0),MATCH(X$2,data!$1:$1,0)),"#data"),IFERROR(W763*INDEX(indexy_SDcast!$A:$ALI,MATCH($R763,indexy_SDcast!$K:$K,0),MATCH(X$2,indexy_SDcast!$2:$2,0)),"#ekrk")),"#popis")</f>
        <v>4.2148395221320785</v>
      </c>
      <c r="Y763" s="362">
        <f>IF($Q763="ekrk",IF($R763="data",IFERROR(INDEX(data!$A:$ALL,MATCH($M763,data!$A:$A,0),MATCH(Y$2,data!$1:$1,0)),"#data"),IFERROR(X763*INDEX(indexy_SDcast!$A:$ALI,MATCH($R763,indexy_SDcast!$K:$K,0),MATCH(Y$2,indexy_SDcast!$2:$2,0)),"#ekrk")),"#popis")</f>
        <v>5.7020370683860273</v>
      </c>
    </row>
    <row r="764" spans="1:44" x14ac:dyDescent="0.25">
      <c r="A764" s="330">
        <v>642013</v>
      </c>
      <c r="B764" s="329">
        <v>1.4738000000000002</v>
      </c>
      <c r="C764" s="157"/>
      <c r="D764" s="330">
        <v>642013</v>
      </c>
      <c r="E764" s="329">
        <v>1.4738000000000002</v>
      </c>
      <c r="F764" s="157"/>
      <c r="G764" s="330">
        <v>642013</v>
      </c>
      <c r="H764" s="329">
        <v>1.4738000000000002</v>
      </c>
      <c r="I764" s="157"/>
      <c r="J764" s="330">
        <v>642013</v>
      </c>
      <c r="K764" s="329">
        <v>1.4738000000000002</v>
      </c>
      <c r="L764" s="157"/>
      <c r="M764" s="360">
        <f t="shared" si="75"/>
        <v>642013</v>
      </c>
      <c r="N764" s="237">
        <f t="shared" si="76"/>
        <v>1.4738000000000002</v>
      </c>
      <c r="O764" s="361"/>
      <c r="P764" s="361"/>
      <c r="Q764" s="361" t="s">
        <v>698</v>
      </c>
      <c r="R764" s="362">
        <v>35</v>
      </c>
      <c r="S764" s="236"/>
      <c r="T764" s="364">
        <f t="shared" si="77"/>
        <v>642013</v>
      </c>
      <c r="U764" s="365">
        <f>N764</f>
        <v>1.4738000000000002</v>
      </c>
      <c r="V764" s="365">
        <f>IF($Q764="ekrk",IF($R764="data",IFERROR(INDEX(data!$A:$ALL,MATCH($M764,data!$A:$A,0),MATCH(V$2,data!$1:$1,0)),"#data"),IFERROR(U764*INDEX(indexy_SDcast!$A:$ALI,MATCH($R764,indexy_SDcast!$K:$K,0),MATCH(V$2,indexy_SDcast!$2:$2,0)),"#ekrk")),"#popis")</f>
        <v>1.8868061328067673</v>
      </c>
      <c r="W764" s="365">
        <f>IF($Q764="ekrk",IF($R764="data",IFERROR(INDEX(data!$A:$ALL,MATCH($M764,data!$A:$A,0),MATCH(W$2,data!$1:$1,0)),"#data"),IFERROR(V764*INDEX(indexy_SDcast!$A:$ALI,MATCH($R764,indexy_SDcast!$K:$K,0),MATCH(W$2,indexy_SDcast!$2:$2,0)),"#ekrk")),"#popis")</f>
        <v>1.9080162973012762</v>
      </c>
      <c r="X764" s="365">
        <f>IF($Q764="ekrk",IF($R764="data",IFERROR(INDEX(data!$A:$ALL,MATCH($M764,data!$A:$A,0),MATCH(X$2,data!$1:$1,0)),"#data"),IFERROR(W764*INDEX(indexy_SDcast!$A:$ALI,MATCH($R764,indexy_SDcast!$K:$K,0),MATCH(X$2,indexy_SDcast!$2:$2,0)),"#ekrk")),"#popis")</f>
        <v>1.2255684562818527</v>
      </c>
      <c r="Y764" s="362">
        <f>IF($Q764="ekrk",IF($R764="data",IFERROR(INDEX(data!$A:$ALL,MATCH($M764,data!$A:$A,0),MATCH(Y$2,data!$1:$1,0)),"#data"),IFERROR(X764*INDEX(indexy_SDcast!$A:$ALI,MATCH($R764,indexy_SDcast!$K:$K,0),MATCH(Y$2,indexy_SDcast!$2:$2,0)),"#ekrk")),"#popis")</f>
        <v>1.6580077914873403</v>
      </c>
    </row>
    <row r="765" spans="1:44" x14ac:dyDescent="0.25">
      <c r="A765" s="330">
        <v>642015</v>
      </c>
      <c r="B765" s="329">
        <v>24.026469999999993</v>
      </c>
      <c r="C765" s="157"/>
      <c r="D765" s="330">
        <v>642015</v>
      </c>
      <c r="E765" s="329">
        <v>24.026469999999993</v>
      </c>
      <c r="F765" s="157"/>
      <c r="G765" s="330">
        <v>642015</v>
      </c>
      <c r="H765" s="329">
        <v>24.026469999999993</v>
      </c>
      <c r="I765" s="157"/>
      <c r="J765" s="330">
        <v>642015</v>
      </c>
      <c r="K765" s="329">
        <v>24.026469999999993</v>
      </c>
      <c r="L765" s="157"/>
      <c r="M765" s="360">
        <f t="shared" si="75"/>
        <v>642015</v>
      </c>
      <c r="N765" s="237">
        <f t="shared" si="76"/>
        <v>24.026469999999993</v>
      </c>
      <c r="O765" s="361"/>
      <c r="P765" s="361"/>
      <c r="Q765" s="361" t="s">
        <v>698</v>
      </c>
      <c r="R765" s="362">
        <v>35</v>
      </c>
      <c r="S765" s="236"/>
      <c r="T765" s="364">
        <f t="shared" si="77"/>
        <v>642015</v>
      </c>
      <c r="U765" s="365">
        <f>N765</f>
        <v>24.026469999999993</v>
      </c>
      <c r="V765" s="365">
        <f>IF($Q765="ekrk",IF($R765="data",IFERROR(INDEX(data!$A:$ALL,MATCH($M765,data!$A:$A,0),MATCH(V$2,data!$1:$1,0)),"#data"),IFERROR(U765*INDEX(indexy_SDcast!$A:$ALI,MATCH($R765,indexy_SDcast!$K:$K,0),MATCH(V$2,indexy_SDcast!$2:$2,0)),"#ekrk")),"#popis")</f>
        <v>30.759459184216169</v>
      </c>
      <c r="W765" s="365">
        <f>IF($Q765="ekrk",IF($R765="data",IFERROR(INDEX(data!$A:$ALL,MATCH($M765,data!$A:$A,0),MATCH(W$2,data!$1:$1,0)),"#data"),IFERROR(V765*INDEX(indexy_SDcast!$A:$ALI,MATCH($R765,indexy_SDcast!$K:$K,0),MATCH(W$2,indexy_SDcast!$2:$2,0)),"#ekrk")),"#popis")</f>
        <v>31.105235667404106</v>
      </c>
      <c r="X765" s="365">
        <f>IF($Q765="ekrk",IF($R765="data",IFERROR(INDEX(data!$A:$ALL,MATCH($M765,data!$A:$A,0),MATCH(X$2,data!$1:$1,0)),"#data"),IFERROR(W765*INDEX(indexy_SDcast!$A:$ALI,MATCH($R765,indexy_SDcast!$K:$K,0),MATCH(X$2,indexy_SDcast!$2:$2,0)),"#ekrk")),"#popis")</f>
        <v>19.979701280908014</v>
      </c>
      <c r="Y765" s="362">
        <f>IF($Q765="ekrk",IF($R765="data",IFERROR(INDEX(data!$A:$ALL,MATCH($M765,data!$A:$A,0),MATCH(Y$2,data!$1:$1,0)),"#data"),IFERROR(X765*INDEX(indexy_SDcast!$A:$ALI,MATCH($R765,indexy_SDcast!$K:$K,0),MATCH(Y$2,indexy_SDcast!$2:$2,0)),"#ekrk")),"#popis")</f>
        <v>27.029498210026336</v>
      </c>
    </row>
    <row r="766" spans="1:44" s="18" customFormat="1" x14ac:dyDescent="0.25">
      <c r="A766" s="333" t="s">
        <v>728</v>
      </c>
      <c r="B766" s="334">
        <v>-112.89987999999495</v>
      </c>
      <c r="C766" s="164"/>
      <c r="D766" s="333" t="s">
        <v>728</v>
      </c>
      <c r="E766" s="334">
        <v>-112.89987999999495</v>
      </c>
      <c r="F766" s="164"/>
      <c r="G766" s="333" t="s">
        <v>728</v>
      </c>
      <c r="H766" s="334">
        <v>-112.89987999999495</v>
      </c>
      <c r="I766" s="164"/>
      <c r="J766" s="333" t="s">
        <v>728</v>
      </c>
      <c r="K766" s="334">
        <v>-112.89987999999495</v>
      </c>
      <c r="L766" s="164"/>
      <c r="M766" s="358" t="str">
        <f t="shared" si="75"/>
        <v>D624PAY</v>
      </c>
      <c r="N766" s="239">
        <f t="shared" si="76"/>
        <v>-112.89987999999495</v>
      </c>
      <c r="O766" s="243"/>
      <c r="P766" s="243">
        <f>MATCH(Q766,Q767:Q$1550,0)</f>
        <v>6</v>
      </c>
      <c r="Q766" s="243" t="s">
        <v>697</v>
      </c>
      <c r="R766" s="359"/>
      <c r="S766" s="240"/>
      <c r="T766" s="363" t="str">
        <f t="shared" si="77"/>
        <v>D624PAY</v>
      </c>
      <c r="U766" s="244">
        <f>SUM(U767:U771)</f>
        <v>-112.89987999999495</v>
      </c>
      <c r="V766" s="244">
        <f>SUM(V767:V771)</f>
        <v>-144.53805535156638</v>
      </c>
      <c r="W766" s="244">
        <f>SUM(W767:W771)</f>
        <v>-146.16285181391555</v>
      </c>
      <c r="X766" s="244">
        <f>SUM(X767:X771)</f>
        <v>-93.884198429909219</v>
      </c>
      <c r="Y766" s="359">
        <f>SUM(Y767:Y771)</f>
        <v>-127.01104674852583</v>
      </c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8"/>
      <c r="AN766" s="58"/>
      <c r="AO766" s="58"/>
      <c r="AP766" s="58"/>
      <c r="AQ766" s="58"/>
      <c r="AR766" s="58"/>
    </row>
    <row r="767" spans="1:44" x14ac:dyDescent="0.25">
      <c r="A767" s="330">
        <v>642026</v>
      </c>
      <c r="B767" s="329">
        <v>-2.93214</v>
      </c>
      <c r="C767" s="157"/>
      <c r="D767" s="330">
        <v>642026</v>
      </c>
      <c r="E767" s="329">
        <v>-2.93214</v>
      </c>
      <c r="F767" s="157"/>
      <c r="G767" s="330">
        <v>642026</v>
      </c>
      <c r="H767" s="329">
        <v>-2.93214</v>
      </c>
      <c r="I767" s="157"/>
      <c r="J767" s="330">
        <v>642026</v>
      </c>
      <c r="K767" s="329">
        <v>-2.93214</v>
      </c>
      <c r="L767" s="157"/>
      <c r="M767" s="360">
        <f t="shared" si="75"/>
        <v>642026</v>
      </c>
      <c r="N767" s="237">
        <f t="shared" si="76"/>
        <v>-2.93214</v>
      </c>
      <c r="O767" s="361"/>
      <c r="P767" s="361"/>
      <c r="Q767" s="361" t="s">
        <v>698</v>
      </c>
      <c r="R767" s="362">
        <v>35</v>
      </c>
      <c r="S767" s="236"/>
      <c r="T767" s="364">
        <f t="shared" si="77"/>
        <v>642026</v>
      </c>
      <c r="U767" s="365">
        <f>N767</f>
        <v>-2.93214</v>
      </c>
      <c r="V767" s="365">
        <f>IF($Q767="ekrk",IF($R767="data",IFERROR(INDEX(data!$A:$ALL,MATCH($M767,data!$A:$A,0),MATCH(V$2,data!$1:$1,0)),"#data"),IFERROR(U767*INDEX(indexy_SDcast!$A:$ALI,MATCH($R767,indexy_SDcast!$K:$K,0),MATCH(V$2,indexy_SDcast!$2:$2,0)),"#ekrk")),"#popis")</f>
        <v>-3.7538198766779987</v>
      </c>
      <c r="W767" s="365">
        <f>IF($Q767="ekrk",IF($R767="data",IFERROR(INDEX(data!$A:$ALL,MATCH($M767,data!$A:$A,0),MATCH(W$2,data!$1:$1,0)),"#data"),IFERROR(V767*INDEX(indexy_SDcast!$A:$ALI,MATCH($R767,indexy_SDcast!$K:$K,0),MATCH(W$2,indexy_SDcast!$2:$2,0)),"#ekrk")),"#popis")</f>
        <v>-3.7960177133728887</v>
      </c>
      <c r="X767" s="365">
        <f>IF($Q767="ekrk",IF($R767="data",IFERROR(INDEX(data!$A:$ALL,MATCH($M767,data!$A:$A,0),MATCH(X$2,data!$1:$1,0)),"#data"),IFERROR(W767*INDEX(indexy_SDcast!$A:$ALI,MATCH($R767,indexy_SDcast!$K:$K,0),MATCH(X$2,indexy_SDcast!$2:$2,0)),"#ekrk")),"#popis")</f>
        <v>-2.4382808341717133</v>
      </c>
      <c r="Y767" s="362">
        <f>IF($Q767="ekrk",IF($R767="data",IFERROR(INDEX(data!$A:$ALL,MATCH($M767,data!$A:$A,0),MATCH(Y$2,data!$1:$1,0)),"#data"),IFERROR(X767*INDEX(indexy_SDcast!$A:$ALI,MATCH($R767,indexy_SDcast!$K:$K,0),MATCH(Y$2,indexy_SDcast!$2:$2,0)),"#ekrk")),"#popis")</f>
        <v>-3.2986232634900863</v>
      </c>
    </row>
    <row r="768" spans="1:44" x14ac:dyDescent="0.25">
      <c r="A768" s="330">
        <v>642030</v>
      </c>
      <c r="B768" s="329">
        <v>-2.4205699999999979</v>
      </c>
      <c r="C768" s="157"/>
      <c r="D768" s="330">
        <v>642030</v>
      </c>
      <c r="E768" s="329">
        <v>-2.4205699999999979</v>
      </c>
      <c r="F768" s="157"/>
      <c r="G768" s="330">
        <v>642030</v>
      </c>
      <c r="H768" s="329">
        <v>-2.4205699999999979</v>
      </c>
      <c r="I768" s="157"/>
      <c r="J768" s="330">
        <v>642030</v>
      </c>
      <c r="K768" s="329">
        <v>-2.4205699999999979</v>
      </c>
      <c r="L768" s="157"/>
      <c r="M768" s="360">
        <f t="shared" si="75"/>
        <v>642030</v>
      </c>
      <c r="N768" s="237">
        <f t="shared" si="76"/>
        <v>-2.4205699999999979</v>
      </c>
      <c r="O768" s="361"/>
      <c r="P768" s="361"/>
      <c r="Q768" s="361" t="s">
        <v>698</v>
      </c>
      <c r="R768" s="362">
        <v>35</v>
      </c>
      <c r="S768" s="236"/>
      <c r="T768" s="364">
        <f t="shared" si="77"/>
        <v>642030</v>
      </c>
      <c r="U768" s="365">
        <f>N768</f>
        <v>-2.4205699999999979</v>
      </c>
      <c r="V768" s="365">
        <f>IF($Q768="ekrk",IF($R768="data",IFERROR(INDEX(data!$A:$ALL,MATCH($M768,data!$A:$A,0),MATCH(V$2,data!$1:$1,0)),"#data"),IFERROR(U768*INDEX(indexy_SDcast!$A:$ALI,MATCH($R768,indexy_SDcast!$K:$K,0),MATCH(V$2,indexy_SDcast!$2:$2,0)),"#ekrk")),"#popis")</f>
        <v>-3.0988915191261177</v>
      </c>
      <c r="W768" s="365">
        <f>IF($Q768="ekrk",IF($R768="data",IFERROR(INDEX(data!$A:$ALL,MATCH($M768,data!$A:$A,0),MATCH(W$2,data!$1:$1,0)),"#data"),IFERROR(V768*INDEX(indexy_SDcast!$A:$ALI,MATCH($R768,indexy_SDcast!$K:$K,0),MATCH(W$2,indexy_SDcast!$2:$2,0)),"#ekrk")),"#popis")</f>
        <v>-3.1337271059564022</v>
      </c>
      <c r="X768" s="365">
        <f>IF($Q768="ekrk",IF($R768="data",IFERROR(INDEX(data!$A:$ALL,MATCH($M768,data!$A:$A,0),MATCH(X$2,data!$1:$1,0)),"#data"),IFERROR(W768*INDEX(indexy_SDcast!$A:$ALI,MATCH($R768,indexy_SDcast!$K:$K,0),MATCH(X$2,indexy_SDcast!$2:$2,0)),"#ekrk")),"#popis")</f>
        <v>-2.0128743643792655</v>
      </c>
      <c r="Y768" s="362">
        <f>IF($Q768="ekrk",IF($R768="data",IFERROR(INDEX(data!$A:$ALL,MATCH($M768,data!$A:$A,0),MATCH(Y$2,data!$1:$1,0)),"#data"),IFERROR(X768*INDEX(indexy_SDcast!$A:$ALI,MATCH($R768,indexy_SDcast!$K:$K,0),MATCH(Y$2,indexy_SDcast!$2:$2,0)),"#ekrk")),"#popis")</f>
        <v>-2.72311298672853</v>
      </c>
    </row>
    <row r="769" spans="1:44" x14ac:dyDescent="0.25">
      <c r="A769" s="330">
        <v>642031</v>
      </c>
      <c r="B769" s="329">
        <v>-0.89727999999999997</v>
      </c>
      <c r="C769" s="157"/>
      <c r="D769" s="330">
        <v>642031</v>
      </c>
      <c r="E769" s="329">
        <v>-0.89727999999999997</v>
      </c>
      <c r="F769" s="157"/>
      <c r="G769" s="330">
        <v>642031</v>
      </c>
      <c r="H769" s="329">
        <v>-0.89727999999999997</v>
      </c>
      <c r="I769" s="157"/>
      <c r="J769" s="330">
        <v>642031</v>
      </c>
      <c r="K769" s="329">
        <v>-0.89727999999999997</v>
      </c>
      <c r="L769" s="157"/>
      <c r="M769" s="360">
        <f t="shared" si="75"/>
        <v>642031</v>
      </c>
      <c r="N769" s="237">
        <f t="shared" si="76"/>
        <v>-0.89727999999999997</v>
      </c>
      <c r="O769" s="361"/>
      <c r="P769" s="361"/>
      <c r="Q769" s="361" t="s">
        <v>698</v>
      </c>
      <c r="R769" s="362">
        <v>35</v>
      </c>
      <c r="S769" s="236"/>
      <c r="T769" s="364">
        <f t="shared" si="77"/>
        <v>642031</v>
      </c>
      <c r="U769" s="365">
        <f>N769</f>
        <v>-0.89727999999999997</v>
      </c>
      <c r="V769" s="365">
        <f>IF($Q769="ekrk",IF($R769="data",IFERROR(INDEX(data!$A:$ALL,MATCH($M769,data!$A:$A,0),MATCH(V$2,data!$1:$1,0)),"#data"),IFERROR(U769*INDEX(indexy_SDcast!$A:$ALI,MATCH($R769,indexy_SDcast!$K:$K,0),MATCH(V$2,indexy_SDcast!$2:$2,0)),"#ekrk")),"#popis")</f>
        <v>-1.1487266975470594</v>
      </c>
      <c r="W769" s="365">
        <f>IF($Q769="ekrk",IF($R769="data",IFERROR(INDEX(data!$A:$ALL,MATCH($M769,data!$A:$A,0),MATCH(W$2,data!$1:$1,0)),"#data"),IFERROR(V769*INDEX(indexy_SDcast!$A:$ALI,MATCH($R769,indexy_SDcast!$K:$K,0),MATCH(W$2,indexy_SDcast!$2:$2,0)),"#ekrk")),"#popis")</f>
        <v>-1.1616398854949714</v>
      </c>
      <c r="X769" s="365">
        <f>IF($Q769="ekrk",IF($R769="data",IFERROR(INDEX(data!$A:$ALL,MATCH($M769,data!$A:$A,0),MATCH(X$2,data!$1:$1,0)),"#data"),IFERROR(W769*INDEX(indexy_SDcast!$A:$ALI,MATCH($R769,indexy_SDcast!$K:$K,0),MATCH(X$2,indexy_SDcast!$2:$2,0)),"#ekrk")),"#popis")</f>
        <v>-0.74615148897583161</v>
      </c>
      <c r="Y769" s="362">
        <f>IF($Q769="ekrk",IF($R769="data",IFERROR(INDEX(data!$A:$ALL,MATCH($M769,data!$A:$A,0),MATCH(Y$2,data!$1:$1,0)),"#data"),IFERROR(X769*INDEX(indexy_SDcast!$A:$ALI,MATCH($R769,indexy_SDcast!$K:$K,0),MATCH(Y$2,indexy_SDcast!$2:$2,0)),"#ekrk")),"#popis")</f>
        <v>-1.0094295231006654</v>
      </c>
    </row>
    <row r="770" spans="1:44" x14ac:dyDescent="0.25">
      <c r="A770" s="330">
        <v>642032</v>
      </c>
      <c r="B770" s="329">
        <v>-97.219849999994949</v>
      </c>
      <c r="C770" s="157"/>
      <c r="D770" s="330">
        <v>642032</v>
      </c>
      <c r="E770" s="329">
        <v>-97.219849999994949</v>
      </c>
      <c r="F770" s="157"/>
      <c r="G770" s="330">
        <v>642032</v>
      </c>
      <c r="H770" s="329">
        <v>-97.219849999994949</v>
      </c>
      <c r="I770" s="157"/>
      <c r="J770" s="330">
        <v>642032</v>
      </c>
      <c r="K770" s="329">
        <v>-97.219849999994949</v>
      </c>
      <c r="L770" s="157"/>
      <c r="M770" s="360">
        <f t="shared" si="75"/>
        <v>642032</v>
      </c>
      <c r="N770" s="237">
        <f t="shared" si="76"/>
        <v>-97.219849999994949</v>
      </c>
      <c r="O770" s="361"/>
      <c r="P770" s="361"/>
      <c r="Q770" s="361" t="s">
        <v>698</v>
      </c>
      <c r="R770" s="362">
        <v>35</v>
      </c>
      <c r="S770" s="236"/>
      <c r="T770" s="364">
        <f t="shared" si="77"/>
        <v>642032</v>
      </c>
      <c r="U770" s="365">
        <f>N770</f>
        <v>-97.219849999994949</v>
      </c>
      <c r="V770" s="365">
        <f>IF($Q770="ekrk",IF($R770="data",IFERROR(INDEX(data!$A:$ALL,MATCH($M770,data!$A:$A,0),MATCH(V$2,data!$1:$1,0)),"#data"),IFERROR(U770*INDEX(indexy_SDcast!$A:$ALI,MATCH($R770,indexy_SDcast!$K:$K,0),MATCH(V$2,indexy_SDcast!$2:$2,0)),"#ekrk")),"#popis")</f>
        <v>-124.46397693753865</v>
      </c>
      <c r="W770" s="365">
        <f>IF($Q770="ekrk",IF($R770="data",IFERROR(INDEX(data!$A:$ALL,MATCH($M770,data!$A:$A,0),MATCH(W$2,data!$1:$1,0)),"#data"),IFERROR(V770*INDEX(indexy_SDcast!$A:$ALI,MATCH($R770,indexy_SDcast!$K:$K,0),MATCH(W$2,indexy_SDcast!$2:$2,0)),"#ekrk")),"#popis")</f>
        <v>-125.86311454822624</v>
      </c>
      <c r="X770" s="365">
        <f>IF($Q770="ekrk",IF($R770="data",IFERROR(INDEX(data!$A:$ALL,MATCH($M770,data!$A:$A,0),MATCH(X$2,data!$1:$1,0)),"#data"),IFERROR(W770*INDEX(indexy_SDcast!$A:$ALI,MATCH($R770,indexy_SDcast!$K:$K,0),MATCH(X$2,indexy_SDcast!$2:$2,0)),"#ekrk")),"#popis")</f>
        <v>-80.845149602691734</v>
      </c>
      <c r="Y770" s="362">
        <f>IF($Q770="ekrk",IF($R770="data",IFERROR(INDEX(data!$A:$ALL,MATCH($M770,data!$A:$A,0),MATCH(Y$2,data!$1:$1,0)),"#data"),IFERROR(X770*INDEX(indexy_SDcast!$A:$ALI,MATCH($R770,indexy_SDcast!$K:$K,0),MATCH(Y$2,indexy_SDcast!$2:$2,0)),"#ekrk")),"#popis")</f>
        <v>-109.37119608306563</v>
      </c>
    </row>
    <row r="771" spans="1:44" x14ac:dyDescent="0.25">
      <c r="A771" s="330">
        <v>642036</v>
      </c>
      <c r="B771" s="329">
        <v>-9.43004</v>
      </c>
      <c r="C771" s="157"/>
      <c r="D771" s="330">
        <v>642036</v>
      </c>
      <c r="E771" s="329">
        <v>-9.43004</v>
      </c>
      <c r="F771" s="157"/>
      <c r="G771" s="330">
        <v>642036</v>
      </c>
      <c r="H771" s="329">
        <v>-9.43004</v>
      </c>
      <c r="I771" s="157"/>
      <c r="J771" s="330">
        <v>642036</v>
      </c>
      <c r="K771" s="329">
        <v>-9.43004</v>
      </c>
      <c r="L771" s="157"/>
      <c r="M771" s="360">
        <f t="shared" si="75"/>
        <v>642036</v>
      </c>
      <c r="N771" s="237">
        <f t="shared" si="76"/>
        <v>-9.43004</v>
      </c>
      <c r="O771" s="361"/>
      <c r="P771" s="361"/>
      <c r="Q771" s="361" t="s">
        <v>698</v>
      </c>
      <c r="R771" s="362">
        <v>35</v>
      </c>
      <c r="S771" s="236"/>
      <c r="T771" s="364">
        <f t="shared" si="77"/>
        <v>642036</v>
      </c>
      <c r="U771" s="365">
        <f>N771</f>
        <v>-9.43004</v>
      </c>
      <c r="V771" s="365">
        <f>IF($Q771="ekrk",IF($R771="data",IFERROR(INDEX(data!$A:$ALL,MATCH($M771,data!$A:$A,0),MATCH(V$2,data!$1:$1,0)),"#data"),IFERROR(U771*INDEX(indexy_SDcast!$A:$ALI,MATCH($R771,indexy_SDcast!$K:$K,0),MATCH(V$2,indexy_SDcast!$2:$2,0)),"#ekrk")),"#popis")</f>
        <v>-12.072640320676568</v>
      </c>
      <c r="W771" s="365">
        <f>IF($Q771="ekrk",IF($R771="data",IFERROR(INDEX(data!$A:$ALL,MATCH($M771,data!$A:$A,0),MATCH(W$2,data!$1:$1,0)),"#data"),IFERROR(V771*INDEX(indexy_SDcast!$A:$ALI,MATCH($R771,indexy_SDcast!$K:$K,0),MATCH(W$2,indexy_SDcast!$2:$2,0)),"#ekrk")),"#popis")</f>
        <v>-12.208352560865059</v>
      </c>
      <c r="X771" s="365">
        <f>IF($Q771="ekrk",IF($R771="data",IFERROR(INDEX(data!$A:$ALL,MATCH($M771,data!$A:$A,0),MATCH(X$2,data!$1:$1,0)),"#data"),IFERROR(W771*INDEX(indexy_SDcast!$A:$ALI,MATCH($R771,indexy_SDcast!$K:$K,0),MATCH(X$2,indexy_SDcast!$2:$2,0)),"#ekrk")),"#popis")</f>
        <v>-7.8417421396906777</v>
      </c>
      <c r="Y771" s="362">
        <f>IF($Q771="ekrk",IF($R771="data",IFERROR(INDEX(data!$A:$ALL,MATCH($M771,data!$A:$A,0),MATCH(Y$2,data!$1:$1,0)),"#data"),IFERROR(X771*INDEX(indexy_SDcast!$A:$ALI,MATCH($R771,indexy_SDcast!$K:$K,0),MATCH(Y$2,indexy_SDcast!$2:$2,0)),"#ekrk")),"#popis")</f>
        <v>-10.608684892140912</v>
      </c>
    </row>
    <row r="772" spans="1:44" s="18" customFormat="1" x14ac:dyDescent="0.25">
      <c r="A772" s="333" t="s">
        <v>730</v>
      </c>
      <c r="B772" s="334">
        <v>-33.876919999999998</v>
      </c>
      <c r="C772" s="164"/>
      <c r="D772" s="333" t="s">
        <v>730</v>
      </c>
      <c r="E772" s="334">
        <v>-33.876919999999998</v>
      </c>
      <c r="F772" s="164"/>
      <c r="G772" s="333" t="s">
        <v>730</v>
      </c>
      <c r="H772" s="334">
        <v>-33.876919999999998</v>
      </c>
      <c r="I772" s="164"/>
      <c r="J772" s="333" t="s">
        <v>730</v>
      </c>
      <c r="K772" s="334">
        <v>-33.876919999999998</v>
      </c>
      <c r="L772" s="164"/>
      <c r="M772" s="358" t="str">
        <f t="shared" si="75"/>
        <v>D632PAY</v>
      </c>
      <c r="N772" s="239">
        <f t="shared" si="76"/>
        <v>-33.876919999999998</v>
      </c>
      <c r="O772" s="243"/>
      <c r="P772" s="243">
        <f>MATCH(Q772,Q773:Q$1550,0)</f>
        <v>5</v>
      </c>
      <c r="Q772" s="243" t="s">
        <v>697</v>
      </c>
      <c r="R772" s="359"/>
      <c r="S772" s="240"/>
      <c r="T772" s="363" t="str">
        <f t="shared" si="77"/>
        <v>D632PAY</v>
      </c>
      <c r="U772" s="244">
        <f>SUM(U773:U776)</f>
        <v>-33.876919999999998</v>
      </c>
      <c r="V772" s="244">
        <f>SUM(V773:V776)</f>
        <v>-43.370321900260706</v>
      </c>
      <c r="W772" s="244">
        <f>SUM(W773:W776)</f>
        <v>-43.857860946106349</v>
      </c>
      <c r="X772" s="244">
        <f>SUM(X773:X776)</f>
        <v>-28.171043932680025</v>
      </c>
      <c r="Y772" s="359">
        <f>SUM(Y773:Y776)</f>
        <v>-38.111139443339191</v>
      </c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8"/>
      <c r="AN772" s="58"/>
      <c r="AO772" s="58"/>
      <c r="AP772" s="58"/>
      <c r="AQ772" s="58"/>
      <c r="AR772" s="58"/>
    </row>
    <row r="773" spans="1:44" x14ac:dyDescent="0.25">
      <c r="A773" s="330">
        <v>637016</v>
      </c>
      <c r="B773" s="329">
        <v>-19.12257</v>
      </c>
      <c r="C773" s="157"/>
      <c r="D773" s="330">
        <v>637016</v>
      </c>
      <c r="E773" s="329">
        <v>-19.12257</v>
      </c>
      <c r="F773" s="157"/>
      <c r="G773" s="330">
        <v>637016</v>
      </c>
      <c r="H773" s="329">
        <v>-19.12257</v>
      </c>
      <c r="I773" s="157"/>
      <c r="J773" s="330">
        <v>637016</v>
      </c>
      <c r="K773" s="329">
        <v>-19.12257</v>
      </c>
      <c r="L773" s="157"/>
      <c r="M773" s="360">
        <f t="shared" si="75"/>
        <v>637016</v>
      </c>
      <c r="N773" s="237">
        <f t="shared" si="76"/>
        <v>-19.12257</v>
      </c>
      <c r="O773" s="361"/>
      <c r="P773" s="361"/>
      <c r="Q773" s="361" t="s">
        <v>698</v>
      </c>
      <c r="R773" s="362">
        <v>35</v>
      </c>
      <c r="S773" s="236"/>
      <c r="T773" s="364">
        <f t="shared" si="77"/>
        <v>637016</v>
      </c>
      <c r="U773" s="365">
        <f>N773</f>
        <v>-19.12257</v>
      </c>
      <c r="V773" s="365">
        <f>IF($Q773="ekrk",IF($R773="data",IFERROR(INDEX(data!$A:$ALL,MATCH($M773,data!$A:$A,0),MATCH(V$2,data!$1:$1,0)),"#data"),IFERROR(U773*INDEX(indexy_SDcast!$A:$ALI,MATCH($R773,indexy_SDcast!$K:$K,0),MATCH(V$2,indexy_SDcast!$2:$2,0)),"#ekrk")),"#popis")</f>
        <v>-24.481328776649953</v>
      </c>
      <c r="W773" s="365">
        <f>IF($Q773="ekrk",IF($R773="data",IFERROR(INDEX(data!$A:$ALL,MATCH($M773,data!$A:$A,0),MATCH(W$2,data!$1:$1,0)),"#data"),IFERROR(V773*INDEX(indexy_SDcast!$A:$ALI,MATCH($R773,indexy_SDcast!$K:$K,0),MATCH(W$2,indexy_SDcast!$2:$2,0)),"#ekrk")),"#popis")</f>
        <v>-24.756530876838418</v>
      </c>
      <c r="X773" s="365">
        <f>IF($Q773="ekrk",IF($R773="data",IFERROR(INDEX(data!$A:$ALL,MATCH($M773,data!$A:$A,0),MATCH(X$2,data!$1:$1,0)),"#data"),IFERROR(W773*INDEX(indexy_SDcast!$A:$ALI,MATCH($R773,indexy_SDcast!$K:$K,0),MATCH(X$2,indexy_SDcast!$2:$2,0)),"#ekrk")),"#popis")</f>
        <v>-15.901763193813045</v>
      </c>
      <c r="Y773" s="362">
        <f>IF($Q773="ekrk",IF($R773="data",IFERROR(INDEX(data!$A:$ALL,MATCH($M773,data!$A:$A,0),MATCH(Y$2,data!$1:$1,0)),"#data"),IFERROR(X773*INDEX(indexy_SDcast!$A:$ALI,MATCH($R773,indexy_SDcast!$K:$K,0),MATCH(Y$2,indexy_SDcast!$2:$2,0)),"#ekrk")),"#popis")</f>
        <v>-21.512667969373094</v>
      </c>
    </row>
    <row r="774" spans="1:44" x14ac:dyDescent="0.25">
      <c r="A774" s="330">
        <v>642012</v>
      </c>
      <c r="B774" s="329">
        <v>-5.06853</v>
      </c>
      <c r="C774" s="157"/>
      <c r="D774" s="330">
        <v>642012</v>
      </c>
      <c r="E774" s="329">
        <v>-5.06853</v>
      </c>
      <c r="F774" s="157"/>
      <c r="G774" s="330">
        <v>642012</v>
      </c>
      <c r="H774" s="329">
        <v>-5.06853</v>
      </c>
      <c r="I774" s="157"/>
      <c r="J774" s="330">
        <v>642012</v>
      </c>
      <c r="K774" s="329">
        <v>-5.06853</v>
      </c>
      <c r="L774" s="157"/>
      <c r="M774" s="360">
        <f t="shared" si="75"/>
        <v>642012</v>
      </c>
      <c r="N774" s="237">
        <f t="shared" si="76"/>
        <v>-5.06853</v>
      </c>
      <c r="O774" s="361"/>
      <c r="P774" s="361"/>
      <c r="Q774" s="361" t="s">
        <v>698</v>
      </c>
      <c r="R774" s="362">
        <v>35</v>
      </c>
      <c r="S774" s="236"/>
      <c r="T774" s="364">
        <f t="shared" si="77"/>
        <v>642012</v>
      </c>
      <c r="U774" s="365">
        <f>N774</f>
        <v>-5.06853</v>
      </c>
      <c r="V774" s="365">
        <f>IF($Q774="ekrk",IF($R774="data",IFERROR(INDEX(data!$A:$ALL,MATCH($M774,data!$A:$A,0),MATCH(V$2,data!$1:$1,0)),"#data"),IFERROR(U774*INDEX(indexy_SDcast!$A:$ALI,MATCH($R774,indexy_SDcast!$K:$K,0),MATCH(V$2,indexy_SDcast!$2:$2,0)),"#ekrk")),"#popis")</f>
        <v>-6.4888950253189597</v>
      </c>
      <c r="W774" s="365">
        <f>IF($Q774="ekrk",IF($R774="data",IFERROR(INDEX(data!$A:$ALL,MATCH($M774,data!$A:$A,0),MATCH(W$2,data!$1:$1,0)),"#data"),IFERROR(V774*INDEX(indexy_SDcast!$A:$ALI,MATCH($R774,indexy_SDcast!$K:$K,0),MATCH(W$2,indexy_SDcast!$2:$2,0)),"#ekrk")),"#popis")</f>
        <v>-6.5618386778127533</v>
      </c>
      <c r="X774" s="365">
        <f>IF($Q774="ekrk",IF($R774="data",IFERROR(INDEX(data!$A:$ALL,MATCH($M774,data!$A:$A,0),MATCH(X$2,data!$1:$1,0)),"#data"),IFERROR(W774*INDEX(indexy_SDcast!$A:$ALI,MATCH($R774,indexy_SDcast!$K:$K,0),MATCH(X$2,indexy_SDcast!$2:$2,0)),"#ekrk")),"#popis")</f>
        <v>-4.2148395221320785</v>
      </c>
      <c r="Y774" s="362">
        <f>IF($Q774="ekrk",IF($R774="data",IFERROR(INDEX(data!$A:$ALL,MATCH($M774,data!$A:$A,0),MATCH(Y$2,data!$1:$1,0)),"#data"),IFERROR(X774*INDEX(indexy_SDcast!$A:$ALI,MATCH($R774,indexy_SDcast!$K:$K,0),MATCH(Y$2,indexy_SDcast!$2:$2,0)),"#ekrk")),"#popis")</f>
        <v>-5.7020370683860273</v>
      </c>
    </row>
    <row r="775" spans="1:44" x14ac:dyDescent="0.25">
      <c r="A775" s="330">
        <v>642013</v>
      </c>
      <c r="B775" s="329">
        <v>-1.4738000000000002</v>
      </c>
      <c r="C775" s="157"/>
      <c r="D775" s="330">
        <v>642013</v>
      </c>
      <c r="E775" s="329">
        <v>-1.4738000000000002</v>
      </c>
      <c r="F775" s="157"/>
      <c r="G775" s="330">
        <v>642013</v>
      </c>
      <c r="H775" s="329">
        <v>-1.4738000000000002</v>
      </c>
      <c r="I775" s="157"/>
      <c r="J775" s="330">
        <v>642013</v>
      </c>
      <c r="K775" s="329">
        <v>-1.4738000000000002</v>
      </c>
      <c r="L775" s="157"/>
      <c r="M775" s="360">
        <f t="shared" si="75"/>
        <v>642013</v>
      </c>
      <c r="N775" s="237">
        <f t="shared" si="76"/>
        <v>-1.4738000000000002</v>
      </c>
      <c r="O775" s="361"/>
      <c r="P775" s="361"/>
      <c r="Q775" s="361" t="s">
        <v>698</v>
      </c>
      <c r="R775" s="362">
        <v>35</v>
      </c>
      <c r="S775" s="236"/>
      <c r="T775" s="364">
        <f t="shared" si="77"/>
        <v>642013</v>
      </c>
      <c r="U775" s="365">
        <f>N775</f>
        <v>-1.4738000000000002</v>
      </c>
      <c r="V775" s="365">
        <f>IF($Q775="ekrk",IF($R775="data",IFERROR(INDEX(data!$A:$ALL,MATCH($M775,data!$A:$A,0),MATCH(V$2,data!$1:$1,0)),"#data"),IFERROR(U775*INDEX(indexy_SDcast!$A:$ALI,MATCH($R775,indexy_SDcast!$K:$K,0),MATCH(V$2,indexy_SDcast!$2:$2,0)),"#ekrk")),"#popis")</f>
        <v>-1.8868061328067673</v>
      </c>
      <c r="W775" s="365">
        <f>IF($Q775="ekrk",IF($R775="data",IFERROR(INDEX(data!$A:$ALL,MATCH($M775,data!$A:$A,0),MATCH(W$2,data!$1:$1,0)),"#data"),IFERROR(V775*INDEX(indexy_SDcast!$A:$ALI,MATCH($R775,indexy_SDcast!$K:$K,0),MATCH(W$2,indexy_SDcast!$2:$2,0)),"#ekrk")),"#popis")</f>
        <v>-1.9080162973012762</v>
      </c>
      <c r="X775" s="365">
        <f>IF($Q775="ekrk",IF($R775="data",IFERROR(INDEX(data!$A:$ALL,MATCH($M775,data!$A:$A,0),MATCH(X$2,data!$1:$1,0)),"#data"),IFERROR(W775*INDEX(indexy_SDcast!$A:$ALI,MATCH($R775,indexy_SDcast!$K:$K,0),MATCH(X$2,indexy_SDcast!$2:$2,0)),"#ekrk")),"#popis")</f>
        <v>-1.2255684562818527</v>
      </c>
      <c r="Y775" s="362">
        <f>IF($Q775="ekrk",IF($R775="data",IFERROR(INDEX(data!$A:$ALL,MATCH($M775,data!$A:$A,0),MATCH(Y$2,data!$1:$1,0)),"#data"),IFERROR(X775*INDEX(indexy_SDcast!$A:$ALI,MATCH($R775,indexy_SDcast!$K:$K,0),MATCH(Y$2,indexy_SDcast!$2:$2,0)),"#ekrk")),"#popis")</f>
        <v>-1.6580077914873403</v>
      </c>
    </row>
    <row r="776" spans="1:44" x14ac:dyDescent="0.25">
      <c r="A776" s="330">
        <v>642015</v>
      </c>
      <c r="B776" s="329">
        <v>-8.2120200000000025</v>
      </c>
      <c r="C776" s="157"/>
      <c r="D776" s="330">
        <v>642015</v>
      </c>
      <c r="E776" s="329">
        <v>-8.2120200000000025</v>
      </c>
      <c r="F776" s="157"/>
      <c r="G776" s="330">
        <v>642015</v>
      </c>
      <c r="H776" s="329">
        <v>-8.2120200000000025</v>
      </c>
      <c r="I776" s="157"/>
      <c r="J776" s="330">
        <v>642015</v>
      </c>
      <c r="K776" s="329">
        <v>-8.2120200000000025</v>
      </c>
      <c r="L776" s="157"/>
      <c r="M776" s="360">
        <f t="shared" si="75"/>
        <v>642015</v>
      </c>
      <c r="N776" s="237">
        <f t="shared" si="76"/>
        <v>-8.2120200000000025</v>
      </c>
      <c r="O776" s="361"/>
      <c r="P776" s="361"/>
      <c r="Q776" s="361" t="s">
        <v>698</v>
      </c>
      <c r="R776" s="362">
        <v>35</v>
      </c>
      <c r="S776" s="236"/>
      <c r="T776" s="364">
        <f t="shared" si="77"/>
        <v>642015</v>
      </c>
      <c r="U776" s="365">
        <f>N776</f>
        <v>-8.2120200000000025</v>
      </c>
      <c r="V776" s="365">
        <f>IF($Q776="ekrk",IF($R776="data",IFERROR(INDEX(data!$A:$ALL,MATCH($M776,data!$A:$A,0),MATCH(V$2,data!$1:$1,0)),"#data"),IFERROR(U776*INDEX(indexy_SDcast!$A:$ALI,MATCH($R776,indexy_SDcast!$K:$K,0),MATCH(V$2,indexy_SDcast!$2:$2,0)),"#ekrk")),"#popis")</f>
        <v>-10.513291965485028</v>
      </c>
      <c r="W776" s="365">
        <f>IF($Q776="ekrk",IF($R776="data",IFERROR(INDEX(data!$A:$ALL,MATCH($M776,data!$A:$A,0),MATCH(W$2,data!$1:$1,0)),"#data"),IFERROR(V776*INDEX(indexy_SDcast!$A:$ALI,MATCH($R776,indexy_SDcast!$K:$K,0),MATCH(W$2,indexy_SDcast!$2:$2,0)),"#ekrk")),"#popis")</f>
        <v>-10.631475094153908</v>
      </c>
      <c r="X776" s="365">
        <f>IF($Q776="ekrk",IF($R776="data",IFERROR(INDEX(data!$A:$ALL,MATCH($M776,data!$A:$A,0),MATCH(X$2,data!$1:$1,0)),"#data"),IFERROR(W776*INDEX(indexy_SDcast!$A:$ALI,MATCH($R776,indexy_SDcast!$K:$K,0),MATCH(X$2,indexy_SDcast!$2:$2,0)),"#ekrk")),"#popis")</f>
        <v>-6.8288727604530477</v>
      </c>
      <c r="Y776" s="362">
        <f>IF($Q776="ekrk",IF($R776="data",IFERROR(INDEX(data!$A:$ALL,MATCH($M776,data!$A:$A,0),MATCH(Y$2,data!$1:$1,0)),"#data"),IFERROR(X776*INDEX(indexy_SDcast!$A:$ALI,MATCH($R776,indexy_SDcast!$K:$K,0),MATCH(Y$2,indexy_SDcast!$2:$2,0)),"#ekrk")),"#popis")</f>
        <v>-9.2384266140927327</v>
      </c>
    </row>
    <row r="777" spans="1:44" s="18" customFormat="1" x14ac:dyDescent="0.25">
      <c r="A777" s="333" t="s">
        <v>731</v>
      </c>
      <c r="B777" s="334">
        <v>-192.89514000000008</v>
      </c>
      <c r="C777" s="164"/>
      <c r="D777" s="333" t="s">
        <v>731</v>
      </c>
      <c r="E777" s="334">
        <v>-192.89514000000008</v>
      </c>
      <c r="F777" s="164"/>
      <c r="G777" s="333" t="s">
        <v>731</v>
      </c>
      <c r="H777" s="334">
        <v>-192.89514000000008</v>
      </c>
      <c r="I777" s="164"/>
      <c r="J777" s="333" t="s">
        <v>731</v>
      </c>
      <c r="K777" s="334">
        <v>-192.89514000000008</v>
      </c>
      <c r="L777" s="164"/>
      <c r="M777" s="358" t="str">
        <f t="shared" si="75"/>
        <v>D71PAY</v>
      </c>
      <c r="N777" s="239">
        <f t="shared" si="76"/>
        <v>-192.89514000000008</v>
      </c>
      <c r="O777" s="243"/>
      <c r="P777" s="243">
        <f>MATCH(Q777,Q778:Q$1550,0)</f>
        <v>3</v>
      </c>
      <c r="Q777" s="243" t="s">
        <v>697</v>
      </c>
      <c r="R777" s="359"/>
      <c r="S777" s="240"/>
      <c r="T777" s="363" t="str">
        <f t="shared" si="77"/>
        <v>D71PAY</v>
      </c>
      <c r="U777" s="244">
        <f>SUM(U778:U779)</f>
        <v>-192.89514000000008</v>
      </c>
      <c r="V777" s="244">
        <f>SUM(V778:V779)</f>
        <v>-246.9505585158231</v>
      </c>
      <c r="W777" s="244">
        <f>SUM(W778:W779)</f>
        <v>-249.72660523151814</v>
      </c>
      <c r="X777" s="244">
        <f>SUM(X778:X779)</f>
        <v>-160.4058888275695</v>
      </c>
      <c r="Y777" s="359">
        <f>SUM(Y778:Y779)</f>
        <v>-217.00478020086945</v>
      </c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8"/>
      <c r="AN777" s="58"/>
      <c r="AO777" s="58"/>
      <c r="AP777" s="58"/>
      <c r="AQ777" s="58"/>
      <c r="AR777" s="58"/>
    </row>
    <row r="778" spans="1:44" x14ac:dyDescent="0.25">
      <c r="A778" s="330">
        <v>634003</v>
      </c>
      <c r="B778" s="329">
        <v>-14.16456</v>
      </c>
      <c r="C778" s="157"/>
      <c r="D778" s="330">
        <v>634003</v>
      </c>
      <c r="E778" s="329">
        <v>-14.16456</v>
      </c>
      <c r="F778" s="157"/>
      <c r="G778" s="330">
        <v>634003</v>
      </c>
      <c r="H778" s="329">
        <v>-14.16456</v>
      </c>
      <c r="I778" s="157"/>
      <c r="J778" s="330">
        <v>634003</v>
      </c>
      <c r="K778" s="329">
        <v>-14.16456</v>
      </c>
      <c r="L778" s="157"/>
      <c r="M778" s="360">
        <f t="shared" si="75"/>
        <v>634003</v>
      </c>
      <c r="N778" s="237">
        <f t="shared" si="76"/>
        <v>-14.16456</v>
      </c>
      <c r="O778" s="361"/>
      <c r="P778" s="361"/>
      <c r="Q778" s="361" t="s">
        <v>698</v>
      </c>
      <c r="R778" s="362">
        <v>35</v>
      </c>
      <c r="S778" s="236"/>
      <c r="T778" s="364">
        <f t="shared" si="77"/>
        <v>634003</v>
      </c>
      <c r="U778" s="365">
        <f>N778</f>
        <v>-14.16456</v>
      </c>
      <c r="V778" s="365">
        <f>IF($Q778="ekrk",IF($R778="data",IFERROR(INDEX(data!$A:$ALL,MATCH($M778,data!$A:$A,0),MATCH(V$2,data!$1:$1,0)),"#data"),IFERROR(U778*INDEX(indexy_SDcast!$A:$ALI,MATCH($R778,indexy_SDcast!$K:$K,0),MATCH(V$2,indexy_SDcast!$2:$2,0)),"#ekrk")),"#popis")</f>
        <v>-18.133925007809349</v>
      </c>
      <c r="W778" s="365">
        <f>IF($Q778="ekrk",IF($R778="data",IFERROR(INDEX(data!$A:$ALL,MATCH($M778,data!$A:$A,0),MATCH(W$2,data!$1:$1,0)),"#data"),IFERROR(V778*INDEX(indexy_SDcast!$A:$ALI,MATCH($R778,indexy_SDcast!$K:$K,0),MATCH(W$2,indexy_SDcast!$2:$2,0)),"#ekrk")),"#popis")</f>
        <v>-18.337774001968896</v>
      </c>
      <c r="X778" s="365">
        <f>IF($Q778="ekrk",IF($R778="data",IFERROR(INDEX(data!$A:$ALL,MATCH($M778,data!$A:$A,0),MATCH(X$2,data!$1:$1,0)),"#data"),IFERROR(W778*INDEX(indexy_SDcast!$A:$ALI,MATCH($R778,indexy_SDcast!$K:$K,0),MATCH(X$2,indexy_SDcast!$2:$2,0)),"#ekrk")),"#popis")</f>
        <v>-11.778828832346095</v>
      </c>
      <c r="Y778" s="362">
        <f>IF($Q778="ekrk",IF($R778="data",IFERROR(INDEX(data!$A:$ALL,MATCH($M778,data!$A:$A,0),MATCH(Y$2,data!$1:$1,0)),"#data"),IFERROR(X778*INDEX(indexy_SDcast!$A:$ALI,MATCH($R778,indexy_SDcast!$K:$K,0),MATCH(Y$2,indexy_SDcast!$2:$2,0)),"#ekrk")),"#popis")</f>
        <v>-15.934964610523759</v>
      </c>
    </row>
    <row r="779" spans="1:44" x14ac:dyDescent="0.25">
      <c r="A779" s="330">
        <v>637015</v>
      </c>
      <c r="B779" s="329">
        <v>-178.73058000000009</v>
      </c>
      <c r="C779" s="157"/>
      <c r="D779" s="330">
        <v>637015</v>
      </c>
      <c r="E779" s="329">
        <v>-178.73058000000009</v>
      </c>
      <c r="F779" s="157"/>
      <c r="G779" s="330">
        <v>637015</v>
      </c>
      <c r="H779" s="329">
        <v>-178.73058000000009</v>
      </c>
      <c r="I779" s="157"/>
      <c r="J779" s="330">
        <v>637015</v>
      </c>
      <c r="K779" s="329">
        <v>-178.73058000000009</v>
      </c>
      <c r="L779" s="157"/>
      <c r="M779" s="360">
        <f t="shared" si="75"/>
        <v>637015</v>
      </c>
      <c r="N779" s="237">
        <f t="shared" si="76"/>
        <v>-178.73058000000009</v>
      </c>
      <c r="O779" s="361"/>
      <c r="P779" s="361"/>
      <c r="Q779" s="361" t="s">
        <v>698</v>
      </c>
      <c r="R779" s="362">
        <v>35</v>
      </c>
      <c r="S779" s="236"/>
      <c r="T779" s="364">
        <f t="shared" si="77"/>
        <v>637015</v>
      </c>
      <c r="U779" s="365">
        <f>N779</f>
        <v>-178.73058000000009</v>
      </c>
      <c r="V779" s="365">
        <f>IF($Q779="ekrk",IF($R779="data",IFERROR(INDEX(data!$A:$ALL,MATCH($M779,data!$A:$A,0),MATCH(V$2,data!$1:$1,0)),"#data"),IFERROR(U779*INDEX(indexy_SDcast!$A:$ALI,MATCH($R779,indexy_SDcast!$K:$K,0),MATCH(V$2,indexy_SDcast!$2:$2,0)),"#ekrk")),"#popis")</f>
        <v>-228.81663350801375</v>
      </c>
      <c r="W779" s="365">
        <f>IF($Q779="ekrk",IF($R779="data",IFERROR(INDEX(data!$A:$ALL,MATCH($M779,data!$A:$A,0),MATCH(W$2,data!$1:$1,0)),"#data"),IFERROR(V779*INDEX(indexy_SDcast!$A:$ALI,MATCH($R779,indexy_SDcast!$K:$K,0),MATCH(W$2,indexy_SDcast!$2:$2,0)),"#ekrk")),"#popis")</f>
        <v>-231.38883122954923</v>
      </c>
      <c r="X779" s="365">
        <f>IF($Q779="ekrk",IF($R779="data",IFERROR(INDEX(data!$A:$ALL,MATCH($M779,data!$A:$A,0),MATCH(X$2,data!$1:$1,0)),"#data"),IFERROR(W779*INDEX(indexy_SDcast!$A:$ALI,MATCH($R779,indexy_SDcast!$K:$K,0),MATCH(X$2,indexy_SDcast!$2:$2,0)),"#ekrk")),"#popis")</f>
        <v>-148.62705999522339</v>
      </c>
      <c r="Y779" s="362">
        <f>IF($Q779="ekrk",IF($R779="data",IFERROR(INDEX(data!$A:$ALL,MATCH($M779,data!$A:$A,0),MATCH(Y$2,data!$1:$1,0)),"#data"),IFERROR(X779*INDEX(indexy_SDcast!$A:$ALI,MATCH($R779,indexy_SDcast!$K:$K,0),MATCH(Y$2,indexy_SDcast!$2:$2,0)),"#ekrk")),"#popis")</f>
        <v>-201.06981559034568</v>
      </c>
    </row>
    <row r="780" spans="1:44" s="18" customFormat="1" x14ac:dyDescent="0.25">
      <c r="A780" s="333" t="s">
        <v>734</v>
      </c>
      <c r="B780" s="334">
        <v>-23.240859999999998</v>
      </c>
      <c r="C780" s="164"/>
      <c r="D780" s="333" t="s">
        <v>734</v>
      </c>
      <c r="E780" s="334">
        <v>-23.240859999999998</v>
      </c>
      <c r="F780" s="164"/>
      <c r="G780" s="333" t="s">
        <v>734</v>
      </c>
      <c r="H780" s="334">
        <v>-23.240859999999998</v>
      </c>
      <c r="I780" s="164"/>
      <c r="J780" s="333" t="s">
        <v>734</v>
      </c>
      <c r="K780" s="334">
        <v>-23.240859999999998</v>
      </c>
      <c r="L780" s="164"/>
      <c r="M780" s="358" t="str">
        <f t="shared" si="75"/>
        <v>D74PAY</v>
      </c>
      <c r="N780" s="239">
        <f t="shared" si="76"/>
        <v>-23.240859999999998</v>
      </c>
      <c r="O780" s="243"/>
      <c r="P780" s="243">
        <f>MATCH(Q780,Q781:Q$1550,0)</f>
        <v>3</v>
      </c>
      <c r="Q780" s="243" t="s">
        <v>697</v>
      </c>
      <c r="R780" s="359"/>
      <c r="S780" s="240"/>
      <c r="T780" s="363" t="str">
        <f t="shared" si="77"/>
        <v>D74PAY</v>
      </c>
      <c r="U780" s="244">
        <f>SUM(U781:U782)</f>
        <v>-23.240859999999998</v>
      </c>
      <c r="V780" s="244">
        <f>SUM(V781:V782)</f>
        <v>-29.753696010112279</v>
      </c>
      <c r="W780" s="244">
        <f>SUM(W781:W782)</f>
        <v>-30.088166402020171</v>
      </c>
      <c r="X780" s="244">
        <f>SUM(X781:X782)</f>
        <v>-19.326411258557911</v>
      </c>
      <c r="Y780" s="359">
        <f>SUM(Y781:Y782)</f>
        <v>-26.145696133034644</v>
      </c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8"/>
      <c r="AN780" s="58"/>
      <c r="AO780" s="58"/>
      <c r="AP780" s="58"/>
      <c r="AQ780" s="58"/>
      <c r="AR780" s="58"/>
    </row>
    <row r="781" spans="1:44" x14ac:dyDescent="0.25">
      <c r="A781" s="330">
        <v>649001</v>
      </c>
      <c r="B781" s="329">
        <v>-6.4734799999999995</v>
      </c>
      <c r="C781" s="157"/>
      <c r="D781" s="330">
        <v>649001</v>
      </c>
      <c r="E781" s="329">
        <v>-6.4734799999999995</v>
      </c>
      <c r="F781" s="157"/>
      <c r="G781" s="330">
        <v>649001</v>
      </c>
      <c r="H781" s="329">
        <v>-6.4734799999999995</v>
      </c>
      <c r="I781" s="157"/>
      <c r="J781" s="330">
        <v>649001</v>
      </c>
      <c r="K781" s="329">
        <v>-6.4734799999999995</v>
      </c>
      <c r="L781" s="157"/>
      <c r="M781" s="360">
        <f t="shared" si="75"/>
        <v>649001</v>
      </c>
      <c r="N781" s="237">
        <f t="shared" si="76"/>
        <v>-6.4734799999999995</v>
      </c>
      <c r="O781" s="361"/>
      <c r="P781" s="361"/>
      <c r="Q781" s="361" t="s">
        <v>698</v>
      </c>
      <c r="R781" s="362">
        <v>35</v>
      </c>
      <c r="S781" s="236"/>
      <c r="T781" s="364">
        <f t="shared" si="77"/>
        <v>649001</v>
      </c>
      <c r="U781" s="365">
        <f>N781</f>
        <v>-6.4734799999999995</v>
      </c>
      <c r="V781" s="365">
        <f>IF($Q781="ekrk",IF($R781="data",IFERROR(INDEX(data!$A:$ALL,MATCH($M781,data!$A:$A,0),MATCH(V$2,data!$1:$1,0)),"#data"),IFERROR(U781*INDEX(indexy_SDcast!$A:$ALI,MATCH($R781,indexy_SDcast!$K:$K,0),MATCH(V$2,indexy_SDcast!$2:$2,0)),"#ekrk")),"#popis")</f>
        <v>-8.2875571750589963</v>
      </c>
      <c r="W781" s="365">
        <f>IF($Q781="ekrk",IF($R781="data",IFERROR(INDEX(data!$A:$ALL,MATCH($M781,data!$A:$A,0),MATCH(W$2,data!$1:$1,0)),"#data"),IFERROR(V781*INDEX(indexy_SDcast!$A:$ALI,MATCH($R781,indexy_SDcast!$K:$K,0),MATCH(W$2,indexy_SDcast!$2:$2,0)),"#ekrk")),"#popis")</f>
        <v>-8.380720138589945</v>
      </c>
      <c r="X781" s="365">
        <f>IF($Q781="ekrk",IF($R781="data",IFERROR(INDEX(data!$A:$ALL,MATCH($M781,data!$A:$A,0),MATCH(X$2,data!$1:$1,0)),"#data"),IFERROR(W781*INDEX(indexy_SDcast!$A:$ALI,MATCH($R781,indexy_SDcast!$K:$K,0),MATCH(X$2,indexy_SDcast!$2:$2,0)),"#ekrk")),"#popis")</f>
        <v>-5.3831543563383395</v>
      </c>
      <c r="Y781" s="362">
        <f>IF($Q781="ekrk",IF($R781="data",IFERROR(INDEX(data!$A:$ALL,MATCH($M781,data!$A:$A,0),MATCH(Y$2,data!$1:$1,0)),"#data"),IFERROR(X781*INDEX(indexy_SDcast!$A:$ALI,MATCH($R781,indexy_SDcast!$K:$K,0),MATCH(Y$2,indexy_SDcast!$2:$2,0)),"#ekrk")),"#popis")</f>
        <v>-7.2825894137857672</v>
      </c>
    </row>
    <row r="782" spans="1:44" x14ac:dyDescent="0.25">
      <c r="A782" s="330">
        <v>649003</v>
      </c>
      <c r="B782" s="329">
        <v>-16.767379999999999</v>
      </c>
      <c r="C782" s="157"/>
      <c r="D782" s="330">
        <v>649003</v>
      </c>
      <c r="E782" s="329">
        <v>-16.767379999999999</v>
      </c>
      <c r="F782" s="157"/>
      <c r="G782" s="330">
        <v>649003</v>
      </c>
      <c r="H782" s="329">
        <v>-16.767379999999999</v>
      </c>
      <c r="I782" s="157"/>
      <c r="J782" s="330">
        <v>649003</v>
      </c>
      <c r="K782" s="329">
        <v>-16.767379999999999</v>
      </c>
      <c r="L782" s="157"/>
      <c r="M782" s="360">
        <f t="shared" si="75"/>
        <v>649003</v>
      </c>
      <c r="N782" s="237">
        <f t="shared" si="76"/>
        <v>-16.767379999999999</v>
      </c>
      <c r="O782" s="361"/>
      <c r="P782" s="361"/>
      <c r="Q782" s="361" t="s">
        <v>698</v>
      </c>
      <c r="R782" s="362">
        <v>35</v>
      </c>
      <c r="S782" s="236"/>
      <c r="T782" s="364">
        <f t="shared" si="77"/>
        <v>649003</v>
      </c>
      <c r="U782" s="365">
        <f>N782</f>
        <v>-16.767379999999999</v>
      </c>
      <c r="V782" s="365">
        <f>IF($Q782="ekrk",IF($R782="data",IFERROR(INDEX(data!$A:$ALL,MATCH($M782,data!$A:$A,0),MATCH(V$2,data!$1:$1,0)),"#data"),IFERROR(U782*INDEX(indexy_SDcast!$A:$ALI,MATCH($R782,indexy_SDcast!$K:$K,0),MATCH(V$2,indexy_SDcast!$2:$2,0)),"#ekrk")),"#popis")</f>
        <v>-21.466138835053282</v>
      </c>
      <c r="W782" s="365">
        <f>IF($Q782="ekrk",IF($R782="data",IFERROR(INDEX(data!$A:$ALL,MATCH($M782,data!$A:$A,0),MATCH(W$2,data!$1:$1,0)),"#data"),IFERROR(V782*INDEX(indexy_SDcast!$A:$ALI,MATCH($R782,indexy_SDcast!$K:$K,0),MATCH(W$2,indexy_SDcast!$2:$2,0)),"#ekrk")),"#popis")</f>
        <v>-21.707446263430224</v>
      </c>
      <c r="X782" s="365">
        <f>IF($Q782="ekrk",IF($R782="data",IFERROR(INDEX(data!$A:$ALL,MATCH($M782,data!$A:$A,0),MATCH(X$2,data!$1:$1,0)),"#data"),IFERROR(W782*INDEX(indexy_SDcast!$A:$ALI,MATCH($R782,indexy_SDcast!$K:$K,0),MATCH(X$2,indexy_SDcast!$2:$2,0)),"#ekrk")),"#popis")</f>
        <v>-13.943256902219574</v>
      </c>
      <c r="Y782" s="362">
        <f>IF($Q782="ekrk",IF($R782="data",IFERROR(INDEX(data!$A:$ALL,MATCH($M782,data!$A:$A,0),MATCH(Y$2,data!$1:$1,0)),"#data"),IFERROR(X782*INDEX(indexy_SDcast!$A:$ALI,MATCH($R782,indexy_SDcast!$K:$K,0),MATCH(Y$2,indexy_SDcast!$2:$2,0)),"#ekrk")),"#popis")</f>
        <v>-18.863106719248876</v>
      </c>
    </row>
    <row r="783" spans="1:44" s="18" customFormat="1" x14ac:dyDescent="0.25">
      <c r="A783" s="333" t="s">
        <v>735</v>
      </c>
      <c r="B783" s="334">
        <v>852587.17079999973</v>
      </c>
      <c r="C783" s="164"/>
      <c r="D783" s="333" t="s">
        <v>735</v>
      </c>
      <c r="E783" s="334">
        <v>852587.17079999973</v>
      </c>
      <c r="F783" s="164"/>
      <c r="G783" s="333" t="s">
        <v>735</v>
      </c>
      <c r="H783" s="334">
        <v>852587.17079999973</v>
      </c>
      <c r="I783" s="164"/>
      <c r="J783" s="333" t="s">
        <v>735</v>
      </c>
      <c r="K783" s="334">
        <v>852587.17079999973</v>
      </c>
      <c r="L783" s="164"/>
      <c r="M783" s="358" t="str">
        <f t="shared" si="75"/>
        <v>D74REC</v>
      </c>
      <c r="N783" s="239">
        <f t="shared" si="76"/>
        <v>852587.17079999973</v>
      </c>
      <c r="O783" s="243"/>
      <c r="P783" s="243">
        <f>MATCH(Q783,Q784:Q$1550,0)</f>
        <v>5</v>
      </c>
      <c r="Q783" s="243" t="s">
        <v>697</v>
      </c>
      <c r="R783" s="359"/>
      <c r="S783" s="240"/>
      <c r="T783" s="363" t="str">
        <f t="shared" si="77"/>
        <v>D74REC</v>
      </c>
      <c r="U783" s="244">
        <f>SUM(U784:U787)</f>
        <v>852587.17079999973</v>
      </c>
      <c r="V783" s="244">
        <f>SUM(V784:V787)</f>
        <v>1091509.5010298616</v>
      </c>
      <c r="W783" s="244">
        <f>SUM(W784:W787)</f>
        <v>1103779.4929816704</v>
      </c>
      <c r="X783" s="244">
        <f>SUM(X784:X787)</f>
        <v>708986.25509775255</v>
      </c>
      <c r="Y783" s="359">
        <f>SUM(Y784:Y787)</f>
        <v>959150.61209699209</v>
      </c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8"/>
      <c r="AN783" s="58"/>
      <c r="AO783" s="58"/>
      <c r="AP783" s="58"/>
      <c r="AQ783" s="58"/>
      <c r="AR783" s="58"/>
    </row>
    <row r="784" spans="1:44" x14ac:dyDescent="0.25">
      <c r="A784" s="330">
        <v>291005</v>
      </c>
      <c r="B784" s="329">
        <v>46.73265</v>
      </c>
      <c r="C784" s="157"/>
      <c r="D784" s="330">
        <v>291005</v>
      </c>
      <c r="E784" s="329">
        <v>46.73265</v>
      </c>
      <c r="F784" s="157"/>
      <c r="G784" s="330">
        <v>291005</v>
      </c>
      <c r="H784" s="329">
        <v>46.73265</v>
      </c>
      <c r="I784" s="157"/>
      <c r="J784" s="330">
        <v>291005</v>
      </c>
      <c r="K784" s="329">
        <v>46.73265</v>
      </c>
      <c r="L784" s="157"/>
      <c r="M784" s="360">
        <f t="shared" si="75"/>
        <v>291005</v>
      </c>
      <c r="N784" s="237">
        <f t="shared" si="76"/>
        <v>46.73265</v>
      </c>
      <c r="O784" s="361"/>
      <c r="P784" s="361"/>
      <c r="Q784" s="361" t="s">
        <v>698</v>
      </c>
      <c r="R784" s="362">
        <v>35</v>
      </c>
      <c r="S784" s="236"/>
      <c r="T784" s="364">
        <f t="shared" si="77"/>
        <v>291005</v>
      </c>
      <c r="U784" s="365">
        <f>N784</f>
        <v>46.73265</v>
      </c>
      <c r="V784" s="365">
        <f>IF($Q784="ekrk",IF($R784="data",IFERROR(INDEX(data!$A:$ALL,MATCH($M784,data!$A:$A,0),MATCH(V$2,data!$1:$1,0)),"#data"),IFERROR(U784*INDEX(indexy_SDcast!$A:$ALI,MATCH($R784,indexy_SDcast!$K:$K,0),MATCH(V$2,indexy_SDcast!$2:$2,0)),"#ekrk")),"#popis")</f>
        <v>59.828640671944747</v>
      </c>
      <c r="W784" s="365">
        <f>IF($Q784="ekrk",IF($R784="data",IFERROR(INDEX(data!$A:$ALL,MATCH($M784,data!$A:$A,0),MATCH(W$2,data!$1:$1,0)),"#data"),IFERROR(V784*INDEX(indexy_SDcast!$A:$ALI,MATCH($R784,indexy_SDcast!$K:$K,0),MATCH(W$2,indexy_SDcast!$2:$2,0)),"#ekrk")),"#popis")</f>
        <v>60.501192710053246</v>
      </c>
      <c r="X784" s="365">
        <f>IF($Q784="ekrk",IF($R784="data",IFERROR(INDEX(data!$A:$ALL,MATCH($M784,data!$A:$A,0),MATCH(X$2,data!$1:$1,0)),"#data"),IFERROR(W784*INDEX(indexy_SDcast!$A:$ALI,MATCH($R784,indexy_SDcast!$K:$K,0),MATCH(X$2,indexy_SDcast!$2:$2,0)),"#ekrk")),"#popis")</f>
        <v>38.861488477717543</v>
      </c>
      <c r="Y784" s="362">
        <f>IF($Q784="ekrk",IF($R784="data",IFERROR(INDEX(data!$A:$ALL,MATCH($M784,data!$A:$A,0),MATCH(Y$2,data!$1:$1,0)),"#data"),IFERROR(X784*INDEX(indexy_SDcast!$A:$ALI,MATCH($R784,indexy_SDcast!$K:$K,0),MATCH(Y$2,indexy_SDcast!$2:$2,0)),"#ekrk")),"#popis")</f>
        <v>52.573685586138446</v>
      </c>
    </row>
    <row r="785" spans="1:44" x14ac:dyDescent="0.25">
      <c r="A785" s="330">
        <v>331001</v>
      </c>
      <c r="B785" s="329">
        <v>1859.7259099999999</v>
      </c>
      <c r="C785" s="157"/>
      <c r="D785" s="330">
        <v>331001</v>
      </c>
      <c r="E785" s="329">
        <v>1859.7259099999999</v>
      </c>
      <c r="F785" s="157"/>
      <c r="G785" s="330">
        <v>331001</v>
      </c>
      <c r="H785" s="329">
        <v>1859.7259099999999</v>
      </c>
      <c r="I785" s="157"/>
      <c r="J785" s="330">
        <v>331001</v>
      </c>
      <c r="K785" s="329">
        <v>1859.7259099999999</v>
      </c>
      <c r="L785" s="157"/>
      <c r="M785" s="360">
        <f t="shared" si="75"/>
        <v>331001</v>
      </c>
      <c r="N785" s="237">
        <f t="shared" si="76"/>
        <v>1859.7259099999999</v>
      </c>
      <c r="O785" s="361"/>
      <c r="P785" s="361"/>
      <c r="Q785" s="361" t="s">
        <v>698</v>
      </c>
      <c r="R785" s="362">
        <v>35</v>
      </c>
      <c r="S785" s="236"/>
      <c r="T785" s="364">
        <f t="shared" si="77"/>
        <v>331001</v>
      </c>
      <c r="U785" s="365">
        <f>N785</f>
        <v>1859.7259099999999</v>
      </c>
      <c r="V785" s="365">
        <f>IF($Q785="ekrk",IF($R785="data",IFERROR(INDEX(data!$A:$ALL,MATCH($M785,data!$A:$A,0),MATCH(V$2,data!$1:$1,0)),"#data"),IFERROR(U785*INDEX(indexy_SDcast!$A:$ALI,MATCH($R785,indexy_SDcast!$K:$K,0),MATCH(V$2,indexy_SDcast!$2:$2,0)),"#ekrk")),"#popis")</f>
        <v>2380.8808877240099</v>
      </c>
      <c r="W785" s="365">
        <f>IF($Q785="ekrk",IF($R785="data",IFERROR(INDEX(data!$A:$ALL,MATCH($M785,data!$A:$A,0),MATCH(W$2,data!$1:$1,0)),"#data"),IFERROR(V785*INDEX(indexy_SDcast!$A:$ALI,MATCH($R785,indexy_SDcast!$K:$K,0),MATCH(W$2,indexy_SDcast!$2:$2,0)),"#ekrk")),"#popis")</f>
        <v>2407.6450975664579</v>
      </c>
      <c r="X785" s="365">
        <f>IF($Q785="ekrk",IF($R785="data",IFERROR(INDEX(data!$A:$ALL,MATCH($M785,data!$A:$A,0),MATCH(X$2,data!$1:$1,0)),"#data"),IFERROR(W785*INDEX(indexy_SDcast!$A:$ALI,MATCH($R785,indexy_SDcast!$K:$K,0),MATCH(X$2,indexy_SDcast!$2:$2,0)),"#ekrk")),"#popis")</f>
        <v>1546.4930198304135</v>
      </c>
      <c r="Y785" s="362">
        <f>IF($Q785="ekrk",IF($R785="data",IFERROR(INDEX(data!$A:$ALL,MATCH($M785,data!$A:$A,0),MATCH(Y$2,data!$1:$1,0)),"#data"),IFERROR(X785*INDEX(indexy_SDcast!$A:$ALI,MATCH($R785,indexy_SDcast!$K:$K,0),MATCH(Y$2,indexy_SDcast!$2:$2,0)),"#ekrk")),"#popis")</f>
        <v>2092.1699340554237</v>
      </c>
    </row>
    <row r="786" spans="1:44" x14ac:dyDescent="0.25">
      <c r="A786" s="330">
        <v>331002</v>
      </c>
      <c r="B786" s="329">
        <v>219.59408999999997</v>
      </c>
      <c r="C786" s="157"/>
      <c r="D786" s="330">
        <v>331002</v>
      </c>
      <c r="E786" s="329">
        <v>219.59408999999997</v>
      </c>
      <c r="F786" s="157"/>
      <c r="G786" s="330">
        <v>331002</v>
      </c>
      <c r="H786" s="329">
        <v>219.59408999999997</v>
      </c>
      <c r="I786" s="157"/>
      <c r="J786" s="330">
        <v>331002</v>
      </c>
      <c r="K786" s="329">
        <v>219.59408999999997</v>
      </c>
      <c r="L786" s="157"/>
      <c r="M786" s="360">
        <f t="shared" si="75"/>
        <v>331002</v>
      </c>
      <c r="N786" s="237">
        <f t="shared" si="76"/>
        <v>219.59408999999997</v>
      </c>
      <c r="O786" s="361"/>
      <c r="P786" s="361"/>
      <c r="Q786" s="361" t="s">
        <v>698</v>
      </c>
      <c r="R786" s="362">
        <v>35</v>
      </c>
      <c r="S786" s="236"/>
      <c r="T786" s="364">
        <f t="shared" si="77"/>
        <v>331002</v>
      </c>
      <c r="U786" s="365">
        <f>N786</f>
        <v>219.59408999999997</v>
      </c>
      <c r="V786" s="365">
        <f>IF($Q786="ekrk",IF($R786="data",IFERROR(INDEX(data!$A:$ALL,MATCH($M786,data!$A:$A,0),MATCH(V$2,data!$1:$1,0)),"#data"),IFERROR(U786*INDEX(indexy_SDcast!$A:$ALI,MATCH($R786,indexy_SDcast!$K:$K,0),MATCH(V$2,indexy_SDcast!$2:$2,0)),"#ekrk")),"#popis")</f>
        <v>281.13141249838588</v>
      </c>
      <c r="W786" s="365">
        <f>IF($Q786="ekrk",IF($R786="data",IFERROR(INDEX(data!$A:$ALL,MATCH($M786,data!$A:$A,0),MATCH(W$2,data!$1:$1,0)),"#data"),IFERROR(V786*INDEX(indexy_SDcast!$A:$ALI,MATCH($R786,indexy_SDcast!$K:$K,0),MATCH(W$2,indexy_SDcast!$2:$2,0)),"#ekrk")),"#popis")</f>
        <v>284.29169664204306</v>
      </c>
      <c r="X786" s="365">
        <f>IF($Q786="ekrk",IF($R786="data",IFERROR(INDEX(data!$A:$ALL,MATCH($M786,data!$A:$A,0),MATCH(X$2,data!$1:$1,0)),"#data"),IFERROR(W786*INDEX(indexy_SDcast!$A:$ALI,MATCH($R786,indexy_SDcast!$K:$K,0),MATCH(X$2,indexy_SDcast!$2:$2,0)),"#ekrk")),"#popis")</f>
        <v>182.6079453724509</v>
      </c>
      <c r="Y786" s="362">
        <f>IF($Q786="ekrk",IF($R786="data",IFERROR(INDEX(data!$A:$ALL,MATCH($M786,data!$A:$A,0),MATCH(Y$2,data!$1:$1,0)),"#data"),IFERROR(X786*INDEX(indexy_SDcast!$A:$ALI,MATCH($R786,indexy_SDcast!$K:$K,0),MATCH(Y$2,indexy_SDcast!$2:$2,0)),"#ekrk")),"#popis")</f>
        <v>247.0407872062506</v>
      </c>
    </row>
    <row r="787" spans="1:44" x14ac:dyDescent="0.25">
      <c r="A787" s="330">
        <v>341000</v>
      </c>
      <c r="B787" s="329">
        <v>850461.11814999976</v>
      </c>
      <c r="C787" s="157"/>
      <c r="D787" s="330">
        <v>341000</v>
      </c>
      <c r="E787" s="329">
        <v>850461.11814999976</v>
      </c>
      <c r="F787" s="157"/>
      <c r="G787" s="330">
        <v>341000</v>
      </c>
      <c r="H787" s="329">
        <v>850461.11814999976</v>
      </c>
      <c r="I787" s="157"/>
      <c r="J787" s="330">
        <v>341000</v>
      </c>
      <c r="K787" s="329">
        <v>850461.11814999976</v>
      </c>
      <c r="L787" s="157"/>
      <c r="M787" s="360">
        <f t="shared" si="75"/>
        <v>341000</v>
      </c>
      <c r="N787" s="237">
        <f t="shared" si="76"/>
        <v>850461.11814999976</v>
      </c>
      <c r="O787" s="361"/>
      <c r="P787" s="361"/>
      <c r="Q787" s="361" t="s">
        <v>698</v>
      </c>
      <c r="R787" s="362">
        <v>35</v>
      </c>
      <c r="S787" s="236"/>
      <c r="T787" s="364">
        <f t="shared" si="77"/>
        <v>341000</v>
      </c>
      <c r="U787" s="365">
        <f>N787</f>
        <v>850461.11814999976</v>
      </c>
      <c r="V787" s="365">
        <f>IF($Q787="ekrk",IF($R787="data",IFERROR(INDEX(data!$A:$ALL,MATCH($M787,data!$A:$A,0),MATCH(V$2,data!$1:$1,0)),"#data"),IFERROR(U787*INDEX(indexy_SDcast!$A:$ALI,MATCH($R787,indexy_SDcast!$K:$K,0),MATCH(V$2,indexy_SDcast!$2:$2,0)),"#ekrk")),"#popis")</f>
        <v>1088787.6600889673</v>
      </c>
      <c r="W787" s="365">
        <f>IF($Q787="ekrk",IF($R787="data",IFERROR(INDEX(data!$A:$ALL,MATCH($M787,data!$A:$A,0),MATCH(W$2,data!$1:$1,0)),"#data"),IFERROR(V787*INDEX(indexy_SDcast!$A:$ALI,MATCH($R787,indexy_SDcast!$K:$K,0),MATCH(W$2,indexy_SDcast!$2:$2,0)),"#ekrk")),"#popis")</f>
        <v>1101027.0549947519</v>
      </c>
      <c r="X787" s="365">
        <f>IF($Q787="ekrk",IF($R787="data",IFERROR(INDEX(data!$A:$ALL,MATCH($M787,data!$A:$A,0),MATCH(X$2,data!$1:$1,0)),"#data"),IFERROR(W787*INDEX(indexy_SDcast!$A:$ALI,MATCH($R787,indexy_SDcast!$K:$K,0),MATCH(X$2,indexy_SDcast!$2:$2,0)),"#ekrk")),"#popis")</f>
        <v>707218.29264407197</v>
      </c>
      <c r="Y787" s="362">
        <f>IF($Q787="ekrk",IF($R787="data",IFERROR(INDEX(data!$A:$ALL,MATCH($M787,data!$A:$A,0),MATCH(Y$2,data!$1:$1,0)),"#data"),IFERROR(X787*INDEX(indexy_SDcast!$A:$ALI,MATCH($R787,indexy_SDcast!$K:$K,0),MATCH(Y$2,indexy_SDcast!$2:$2,0)),"#ekrk")),"#popis")</f>
        <v>956758.8276901443</v>
      </c>
    </row>
    <row r="788" spans="1:44" s="18" customFormat="1" x14ac:dyDescent="0.25">
      <c r="A788" s="333" t="s">
        <v>736</v>
      </c>
      <c r="B788" s="334">
        <v>-968.36827999999991</v>
      </c>
      <c r="C788" s="164"/>
      <c r="D788" s="333" t="s">
        <v>736</v>
      </c>
      <c r="E788" s="334">
        <v>-968.36827999999991</v>
      </c>
      <c r="F788" s="164"/>
      <c r="G788" s="333" t="s">
        <v>736</v>
      </c>
      <c r="H788" s="334">
        <v>-968.36827999999991</v>
      </c>
      <c r="I788" s="164"/>
      <c r="J788" s="333" t="s">
        <v>736</v>
      </c>
      <c r="K788" s="334">
        <v>-968.36827999999991</v>
      </c>
      <c r="L788" s="164"/>
      <c r="M788" s="358" t="str">
        <f t="shared" si="75"/>
        <v>D75PAY</v>
      </c>
      <c r="N788" s="239">
        <f t="shared" si="76"/>
        <v>-968.36827999999991</v>
      </c>
      <c r="O788" s="243"/>
      <c r="P788" s="243">
        <f>MATCH(Q788,Q789:Q$1550,0)</f>
        <v>10</v>
      </c>
      <c r="Q788" s="243" t="s">
        <v>697</v>
      </c>
      <c r="R788" s="359"/>
      <c r="S788" s="240"/>
      <c r="T788" s="363" t="str">
        <f t="shared" si="77"/>
        <v>D75PAY</v>
      </c>
      <c r="U788" s="244">
        <f>SUM(U789:U797)</f>
        <v>-968.36827999999991</v>
      </c>
      <c r="V788" s="244">
        <f>SUM(V789:V797)</f>
        <v>-1239.7361986155113</v>
      </c>
      <c r="W788" s="244">
        <f>SUM(W789:W797)</f>
        <v>-1253.6724521845604</v>
      </c>
      <c r="X788" s="244">
        <f>SUM(X789:X797)</f>
        <v>-805.26639844749116</v>
      </c>
      <c r="Y788" s="359">
        <f>SUM(Y789:Y797)</f>
        <v>-1089.4030080534633</v>
      </c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8"/>
      <c r="AN788" s="58"/>
      <c r="AO788" s="58"/>
      <c r="AP788" s="58"/>
      <c r="AQ788" s="58"/>
      <c r="AR788" s="58"/>
    </row>
    <row r="789" spans="1:44" x14ac:dyDescent="0.25">
      <c r="A789" s="330">
        <v>637031</v>
      </c>
      <c r="B789" s="329">
        <v>-2.8078400000000001</v>
      </c>
      <c r="C789" s="157"/>
      <c r="D789" s="330">
        <v>637031</v>
      </c>
      <c r="E789" s="329">
        <v>-2.8078400000000001</v>
      </c>
      <c r="F789" s="157"/>
      <c r="G789" s="330">
        <v>637031</v>
      </c>
      <c r="H789" s="329">
        <v>-2.8078400000000001</v>
      </c>
      <c r="I789" s="157"/>
      <c r="J789" s="330">
        <v>637031</v>
      </c>
      <c r="K789" s="329">
        <v>-2.8078400000000001</v>
      </c>
      <c r="L789" s="157"/>
      <c r="M789" s="360">
        <f t="shared" si="75"/>
        <v>637031</v>
      </c>
      <c r="N789" s="237">
        <f t="shared" si="76"/>
        <v>-2.8078400000000001</v>
      </c>
      <c r="O789" s="361"/>
      <c r="P789" s="361"/>
      <c r="Q789" s="361" t="s">
        <v>698</v>
      </c>
      <c r="R789" s="362">
        <v>35</v>
      </c>
      <c r="S789" s="236"/>
      <c r="T789" s="364">
        <f t="shared" si="77"/>
        <v>637031</v>
      </c>
      <c r="U789" s="365">
        <f t="shared" ref="U789:U797" si="78">N789</f>
        <v>-2.8078400000000001</v>
      </c>
      <c r="V789" s="365">
        <f>IF($Q789="ekrk",IF($R789="data",IFERROR(INDEX(data!$A:$ALL,MATCH($M789,data!$A:$A,0),MATCH(V$2,data!$1:$1,0)),"#data"),IFERROR(U789*INDEX(indexy_SDcast!$A:$ALI,MATCH($R789,indexy_SDcast!$K:$K,0),MATCH(V$2,indexy_SDcast!$2:$2,0)),"#ekrk")),"#popis")</f>
        <v>-3.5946870212648618</v>
      </c>
      <c r="W789" s="365">
        <f>IF($Q789="ekrk",IF($R789="data",IFERROR(INDEX(data!$A:$ALL,MATCH($M789,data!$A:$A,0),MATCH(W$2,data!$1:$1,0)),"#data"),IFERROR(V789*INDEX(indexy_SDcast!$A:$ALI,MATCH($R789,indexy_SDcast!$K:$K,0),MATCH(W$2,indexy_SDcast!$2:$2,0)),"#ekrk")),"#popis")</f>
        <v>-3.6350959968885976</v>
      </c>
      <c r="X789" s="365">
        <f>IF($Q789="ekrk",IF($R789="data",IFERROR(INDEX(data!$A:$ALL,MATCH($M789,data!$A:$A,0),MATCH(X$2,data!$1:$1,0)),"#data"),IFERROR(W789*INDEX(indexy_SDcast!$A:$ALI,MATCH($R789,indexy_SDcast!$K:$K,0),MATCH(X$2,indexy_SDcast!$2:$2,0)),"#ekrk")),"#popis")</f>
        <v>-2.3349166333874591</v>
      </c>
      <c r="Y789" s="362">
        <f>IF($Q789="ekrk",IF($R789="data",IFERROR(INDEX(data!$A:$ALL,MATCH($M789,data!$A:$A,0),MATCH(Y$2,data!$1:$1,0)),"#data"),IFERROR(X789*INDEX(indexy_SDcast!$A:$ALI,MATCH($R789,indexy_SDcast!$K:$K,0),MATCH(Y$2,indexy_SDcast!$2:$2,0)),"#ekrk")),"#popis")</f>
        <v>-3.158787214852635</v>
      </c>
    </row>
    <row r="790" spans="1:44" x14ac:dyDescent="0.25">
      <c r="A790" s="330">
        <v>637034</v>
      </c>
      <c r="B790" s="329">
        <v>-3.4200000000000001E-2</v>
      </c>
      <c r="C790" s="157"/>
      <c r="D790" s="330">
        <v>637034</v>
      </c>
      <c r="E790" s="329">
        <v>-3.4200000000000001E-2</v>
      </c>
      <c r="F790" s="157"/>
      <c r="G790" s="330">
        <v>637034</v>
      </c>
      <c r="H790" s="329">
        <v>-3.4200000000000001E-2</v>
      </c>
      <c r="I790" s="157"/>
      <c r="J790" s="330">
        <v>637034</v>
      </c>
      <c r="K790" s="329">
        <v>-3.4200000000000001E-2</v>
      </c>
      <c r="L790" s="157"/>
      <c r="M790" s="360">
        <f t="shared" si="75"/>
        <v>637034</v>
      </c>
      <c r="N790" s="237">
        <f t="shared" si="76"/>
        <v>-3.4200000000000001E-2</v>
      </c>
      <c r="O790" s="361"/>
      <c r="P790" s="361"/>
      <c r="Q790" s="361" t="s">
        <v>698</v>
      </c>
      <c r="R790" s="362">
        <v>35</v>
      </c>
      <c r="S790" s="236"/>
      <c r="T790" s="364">
        <f t="shared" si="77"/>
        <v>637034</v>
      </c>
      <c r="U790" s="365">
        <f t="shared" si="78"/>
        <v>-3.4200000000000001E-2</v>
      </c>
      <c r="V790" s="365">
        <f>IF($Q790="ekrk",IF($R790="data",IFERROR(INDEX(data!$A:$ALL,MATCH($M790,data!$A:$A,0),MATCH(V$2,data!$1:$1,0)),"#data"),IFERROR(U790*INDEX(indexy_SDcast!$A:$ALI,MATCH($R790,indexy_SDcast!$K:$K,0),MATCH(V$2,indexy_SDcast!$2:$2,0)),"#ekrk")),"#popis")</f>
        <v>-4.3783939301120532E-2</v>
      </c>
      <c r="W790" s="365">
        <f>IF($Q790="ekrk",IF($R790="data",IFERROR(INDEX(data!$A:$ALL,MATCH($M790,data!$A:$A,0),MATCH(W$2,data!$1:$1,0)),"#data"),IFERROR(V790*INDEX(indexy_SDcast!$A:$ALI,MATCH($R790,indexy_SDcast!$K:$K,0),MATCH(W$2,indexy_SDcast!$2:$2,0)),"#ekrk")),"#popis")</f>
        <v>-4.4276127946603093E-2</v>
      </c>
      <c r="X790" s="365">
        <f>IF($Q790="ekrk",IF($R790="data",IFERROR(INDEX(data!$A:$ALL,MATCH($M790,data!$A:$A,0),MATCH(X$2,data!$1:$1,0)),"#data"),IFERROR(W790*INDEX(indexy_SDcast!$A:$ALI,MATCH($R790,indexy_SDcast!$K:$K,0),MATCH(X$2,indexy_SDcast!$2:$2,0)),"#ekrk")),"#popis")</f>
        <v>-2.8439707697679031E-2</v>
      </c>
      <c r="Y790" s="362">
        <f>IF($Q790="ekrk",IF($R790="data",IFERROR(INDEX(data!$A:$ALL,MATCH($M790,data!$A:$A,0),MATCH(Y$2,data!$1:$1,0)),"#data"),IFERROR(X790*INDEX(indexy_SDcast!$A:$ALI,MATCH($R790,indexy_SDcast!$K:$K,0),MATCH(Y$2,indexy_SDcast!$2:$2,0)),"#ekrk")),"#popis")</f>
        <v>-3.8474600670964192E-2</v>
      </c>
    </row>
    <row r="791" spans="1:44" x14ac:dyDescent="0.25">
      <c r="A791" s="330">
        <v>642001</v>
      </c>
      <c r="B791" s="329">
        <v>-160.92096000000001</v>
      </c>
      <c r="C791" s="157"/>
      <c r="D791" s="330">
        <v>642001</v>
      </c>
      <c r="E791" s="329">
        <v>-160.92096000000001</v>
      </c>
      <c r="F791" s="157"/>
      <c r="G791" s="330">
        <v>642001</v>
      </c>
      <c r="H791" s="329">
        <v>-160.92096000000001</v>
      </c>
      <c r="I791" s="157"/>
      <c r="J791" s="330">
        <v>642001</v>
      </c>
      <c r="K791" s="329">
        <v>-160.92096000000001</v>
      </c>
      <c r="L791" s="157"/>
      <c r="M791" s="360">
        <f t="shared" si="75"/>
        <v>642001</v>
      </c>
      <c r="N791" s="237">
        <f t="shared" si="76"/>
        <v>-160.92096000000001</v>
      </c>
      <c r="O791" s="361"/>
      <c r="P791" s="361"/>
      <c r="Q791" s="361" t="s">
        <v>698</v>
      </c>
      <c r="R791" s="362">
        <v>35</v>
      </c>
      <c r="S791" s="236"/>
      <c r="T791" s="364">
        <f t="shared" si="77"/>
        <v>642001</v>
      </c>
      <c r="U791" s="365">
        <f t="shared" si="78"/>
        <v>-160.92096000000001</v>
      </c>
      <c r="V791" s="365">
        <f>IF($Q791="ekrk",IF($R791="data",IFERROR(INDEX(data!$A:$ALL,MATCH($M791,data!$A:$A,0),MATCH(V$2,data!$1:$1,0)),"#data"),IFERROR(U791*INDEX(indexy_SDcast!$A:$ALI,MATCH($R791,indexy_SDcast!$K:$K,0),MATCH(V$2,indexy_SDcast!$2:$2,0)),"#ekrk")),"#popis")</f>
        <v>-206.01618552391943</v>
      </c>
      <c r="W791" s="365">
        <f>IF($Q791="ekrk",IF($R791="data",IFERROR(INDEX(data!$A:$ALL,MATCH($M791,data!$A:$A,0),MATCH(W$2,data!$1:$1,0)),"#data"),IFERROR(V791*INDEX(indexy_SDcast!$A:$ALI,MATCH($R791,indexy_SDcast!$K:$K,0),MATCH(W$2,indexy_SDcast!$2:$2,0)),"#ekrk")),"#popis")</f>
        <v>-208.33207644006427</v>
      </c>
      <c r="X791" s="365">
        <f>IF($Q791="ekrk",IF($R791="data",IFERROR(INDEX(data!$A:$ALL,MATCH($M791,data!$A:$A,0),MATCH(X$2,data!$1:$1,0)),"#data"),IFERROR(W791*INDEX(indexy_SDcast!$A:$ALI,MATCH($R791,indexy_SDcast!$K:$K,0),MATCH(X$2,indexy_SDcast!$2:$2,0)),"#ekrk")),"#popis")</f>
        <v>-133.81710715876898</v>
      </c>
      <c r="Y791" s="362">
        <f>IF($Q791="ekrk",IF($R791="data",IFERROR(INDEX(data!$A:$ALL,MATCH($M791,data!$A:$A,0),MATCH(Y$2,data!$1:$1,0)),"#data"),IFERROR(X791*INDEX(indexy_SDcast!$A:$ALI,MATCH($R791,indexy_SDcast!$K:$K,0),MATCH(Y$2,indexy_SDcast!$2:$2,0)),"#ekrk")),"#popis")</f>
        <v>-181.03420104059069</v>
      </c>
    </row>
    <row r="792" spans="1:44" x14ac:dyDescent="0.25">
      <c r="A792" s="330">
        <v>642002</v>
      </c>
      <c r="B792" s="329">
        <v>-208.99377999999999</v>
      </c>
      <c r="C792" s="157"/>
      <c r="D792" s="330">
        <v>642002</v>
      </c>
      <c r="E792" s="329">
        <v>-208.99377999999999</v>
      </c>
      <c r="F792" s="157"/>
      <c r="G792" s="330">
        <v>642002</v>
      </c>
      <c r="H792" s="329">
        <v>-208.99377999999999</v>
      </c>
      <c r="I792" s="157"/>
      <c r="J792" s="330">
        <v>642002</v>
      </c>
      <c r="K792" s="329">
        <v>-208.99377999999999</v>
      </c>
      <c r="L792" s="157"/>
      <c r="M792" s="360">
        <f t="shared" si="75"/>
        <v>642002</v>
      </c>
      <c r="N792" s="237">
        <f t="shared" si="76"/>
        <v>-208.99377999999999</v>
      </c>
      <c r="O792" s="361"/>
      <c r="P792" s="361"/>
      <c r="Q792" s="361" t="s">
        <v>698</v>
      </c>
      <c r="R792" s="362">
        <v>35</v>
      </c>
      <c r="S792" s="236"/>
      <c r="T792" s="364">
        <f t="shared" si="77"/>
        <v>642002</v>
      </c>
      <c r="U792" s="365">
        <f t="shared" si="78"/>
        <v>-208.99377999999999</v>
      </c>
      <c r="V792" s="365">
        <f>IF($Q792="ekrk",IF($R792="data",IFERROR(INDEX(data!$A:$ALL,MATCH($M792,data!$A:$A,0),MATCH(V$2,data!$1:$1,0)),"#data"),IFERROR(U792*INDEX(indexy_SDcast!$A:$ALI,MATCH($R792,indexy_SDcast!$K:$K,0),MATCH(V$2,indexy_SDcast!$2:$2,0)),"#ekrk")),"#popis")</f>
        <v>-267.56055490736071</v>
      </c>
      <c r="W792" s="365">
        <f>IF($Q792="ekrk",IF($R792="data",IFERROR(INDEX(data!$A:$ALL,MATCH($M792,data!$A:$A,0),MATCH(W$2,data!$1:$1,0)),"#data"),IFERROR(V792*INDEX(indexy_SDcast!$A:$ALI,MATCH($R792,indexy_SDcast!$K:$K,0),MATCH(W$2,indexy_SDcast!$2:$2,0)),"#ekrk")),"#popis")</f>
        <v>-270.56828489252098</v>
      </c>
      <c r="X792" s="365">
        <f>IF($Q792="ekrk",IF($R792="data",IFERROR(INDEX(data!$A:$ALL,MATCH($M792,data!$A:$A,0),MATCH(X$2,data!$1:$1,0)),"#data"),IFERROR(W792*INDEX(indexy_SDcast!$A:$ALI,MATCH($R792,indexy_SDcast!$K:$K,0),MATCH(X$2,indexy_SDcast!$2:$2,0)),"#ekrk")),"#popis")</f>
        <v>-173.79304134014728</v>
      </c>
      <c r="Y792" s="362">
        <f>IF($Q792="ekrk",IF($R792="data",IFERROR(INDEX(data!$A:$ALL,MATCH($M792,data!$A:$A,0),MATCH(Y$2,data!$1:$1,0)),"#data"),IFERROR(X792*INDEX(indexy_SDcast!$A:$ALI,MATCH($R792,indexy_SDcast!$K:$K,0),MATCH(Y$2,indexy_SDcast!$2:$2,0)),"#ekrk")),"#popis")</f>
        <v>-235.11556222851877</v>
      </c>
    </row>
    <row r="793" spans="1:44" x14ac:dyDescent="0.25">
      <c r="A793" s="330">
        <v>642006</v>
      </c>
      <c r="B793" s="329">
        <v>-2.0369300000000004</v>
      </c>
      <c r="C793" s="157"/>
      <c r="D793" s="330">
        <v>642006</v>
      </c>
      <c r="E793" s="329">
        <v>-2.0369300000000004</v>
      </c>
      <c r="F793" s="157"/>
      <c r="G793" s="330">
        <v>642006</v>
      </c>
      <c r="H793" s="329">
        <v>-2.0369300000000004</v>
      </c>
      <c r="I793" s="157"/>
      <c r="J793" s="330">
        <v>642006</v>
      </c>
      <c r="K793" s="329">
        <v>-2.0369300000000004</v>
      </c>
      <c r="L793" s="157"/>
      <c r="M793" s="360">
        <f t="shared" si="75"/>
        <v>642006</v>
      </c>
      <c r="N793" s="237">
        <f t="shared" si="76"/>
        <v>-2.0369300000000004</v>
      </c>
      <c r="O793" s="361"/>
      <c r="P793" s="361"/>
      <c r="Q793" s="361" t="s">
        <v>698</v>
      </c>
      <c r="R793" s="362">
        <v>35</v>
      </c>
      <c r="S793" s="236"/>
      <c r="T793" s="364">
        <f t="shared" si="77"/>
        <v>642006</v>
      </c>
      <c r="U793" s="365">
        <f t="shared" si="78"/>
        <v>-2.0369300000000004</v>
      </c>
      <c r="V793" s="365">
        <f>IF($Q793="ekrk",IF($R793="data",IFERROR(INDEX(data!$A:$ALL,MATCH($M793,data!$A:$A,0),MATCH(V$2,data!$1:$1,0)),"#data"),IFERROR(U793*INDEX(indexy_SDcast!$A:$ALI,MATCH($R793,indexy_SDcast!$K:$K,0),MATCH(V$2,indexy_SDcast!$2:$2,0)),"#ekrk")),"#popis")</f>
        <v>-2.6077432596675862</v>
      </c>
      <c r="W793" s="365">
        <f>IF($Q793="ekrk",IF($R793="data",IFERROR(INDEX(data!$A:$ALL,MATCH($M793,data!$A:$A,0),MATCH(W$2,data!$1:$1,0)),"#data"),IFERROR(V793*INDEX(indexy_SDcast!$A:$ALI,MATCH($R793,indexy_SDcast!$K:$K,0),MATCH(W$2,indexy_SDcast!$2:$2,0)),"#ekrk")),"#popis")</f>
        <v>-2.6370576987799486</v>
      </c>
      <c r="X793" s="365">
        <f>IF($Q793="ekrk",IF($R793="data",IFERROR(INDEX(data!$A:$ALL,MATCH($M793,data!$A:$A,0),MATCH(X$2,data!$1:$1,0)),"#data"),IFERROR(W793*INDEX(indexy_SDcast!$A:$ALI,MATCH($R793,indexy_SDcast!$K:$K,0),MATCH(X$2,indexy_SDcast!$2:$2,0)),"#ekrk")),"#popis")</f>
        <v>-1.6938506959249517</v>
      </c>
      <c r="Y793" s="362">
        <f>IF($Q793="ekrk",IF($R793="data",IFERROR(INDEX(data!$A:$ALL,MATCH($M793,data!$A:$A,0),MATCH(Y$2,data!$1:$1,0)),"#data"),IFERROR(X793*INDEX(indexy_SDcast!$A:$ALI,MATCH($R793,indexy_SDcast!$K:$K,0),MATCH(Y$2,indexy_SDcast!$2:$2,0)),"#ekrk")),"#popis")</f>
        <v>-2.2915224662195057</v>
      </c>
    </row>
    <row r="794" spans="1:44" x14ac:dyDescent="0.25">
      <c r="A794" s="330">
        <v>642007</v>
      </c>
      <c r="B794" s="329">
        <v>-22.123839999999994</v>
      </c>
      <c r="C794" s="157"/>
      <c r="D794" s="330">
        <v>642007</v>
      </c>
      <c r="E794" s="329">
        <v>-22.123839999999994</v>
      </c>
      <c r="F794" s="157"/>
      <c r="G794" s="330">
        <v>642007</v>
      </c>
      <c r="H794" s="329">
        <v>-22.123839999999994</v>
      </c>
      <c r="I794" s="157"/>
      <c r="J794" s="330">
        <v>642007</v>
      </c>
      <c r="K794" s="329">
        <v>-22.123839999999994</v>
      </c>
      <c r="L794" s="157"/>
      <c r="M794" s="360">
        <f t="shared" si="75"/>
        <v>642007</v>
      </c>
      <c r="N794" s="237">
        <f t="shared" si="76"/>
        <v>-22.123839999999994</v>
      </c>
      <c r="O794" s="361"/>
      <c r="P794" s="361"/>
      <c r="Q794" s="361" t="s">
        <v>698</v>
      </c>
      <c r="R794" s="362">
        <v>35</v>
      </c>
      <c r="S794" s="236"/>
      <c r="T794" s="364">
        <f t="shared" si="77"/>
        <v>642007</v>
      </c>
      <c r="U794" s="365">
        <f t="shared" si="78"/>
        <v>-22.123839999999994</v>
      </c>
      <c r="V794" s="365">
        <f>IF($Q794="ekrk",IF($R794="data",IFERROR(INDEX(data!$A:$ALL,MATCH($M794,data!$A:$A,0),MATCH(V$2,data!$1:$1,0)),"#data"),IFERROR(U794*INDEX(indexy_SDcast!$A:$ALI,MATCH($R794,indexy_SDcast!$K:$K,0),MATCH(V$2,indexy_SDcast!$2:$2,0)),"#ekrk")),"#popis")</f>
        <v>-28.323651101394798</v>
      </c>
      <c r="W794" s="365">
        <f>IF($Q794="ekrk",IF($R794="data",IFERROR(INDEX(data!$A:$ALL,MATCH($M794,data!$A:$A,0),MATCH(W$2,data!$1:$1,0)),"#data"),IFERROR(V794*INDEX(indexy_SDcast!$A:$ALI,MATCH($R794,indexy_SDcast!$K:$K,0),MATCH(W$2,indexy_SDcast!$2:$2,0)),"#ekrk")),"#popis")</f>
        <v>-28.642045921350149</v>
      </c>
      <c r="X794" s="365">
        <f>IF($Q794="ekrk",IF($R794="data",IFERROR(INDEX(data!$A:$ALL,MATCH($M794,data!$A:$A,0),MATCH(X$2,data!$1:$1,0)),"#data"),IFERROR(W794*INDEX(indexy_SDcast!$A:$ALI,MATCH($R794,indexy_SDcast!$K:$K,0),MATCH(X$2,indexy_SDcast!$2:$2,0)),"#ekrk")),"#popis")</f>
        <v>-18.397530489772489</v>
      </c>
      <c r="Y794" s="362">
        <f>IF($Q794="ekrk",IF($R794="data",IFERROR(INDEX(data!$A:$ALL,MATCH($M794,data!$A:$A,0),MATCH(Y$2,data!$1:$1,0)),"#data"),IFERROR(X794*INDEX(indexy_SDcast!$A:$ALI,MATCH($R794,indexy_SDcast!$K:$K,0),MATCH(Y$2,indexy_SDcast!$2:$2,0)),"#ekrk")),"#popis")</f>
        <v>-24.889061675681411</v>
      </c>
    </row>
    <row r="795" spans="1:44" x14ac:dyDescent="0.25">
      <c r="A795" s="330">
        <v>642009</v>
      </c>
      <c r="B795" s="329">
        <v>-71.205110000000019</v>
      </c>
      <c r="C795" s="157"/>
      <c r="D795" s="330">
        <v>642009</v>
      </c>
      <c r="E795" s="329">
        <v>-71.205110000000019</v>
      </c>
      <c r="F795" s="157"/>
      <c r="G795" s="330">
        <v>642009</v>
      </c>
      <c r="H795" s="329">
        <v>-71.205110000000019</v>
      </c>
      <c r="I795" s="157"/>
      <c r="J795" s="330">
        <v>642009</v>
      </c>
      <c r="K795" s="329">
        <v>-71.205110000000019</v>
      </c>
      <c r="L795" s="157"/>
      <c r="M795" s="360">
        <f t="shared" ref="M795:M858" si="79">J795</f>
        <v>642009</v>
      </c>
      <c r="N795" s="237">
        <f t="shared" ref="N795:N858" si="80">K795</f>
        <v>-71.205110000000019</v>
      </c>
      <c r="O795" s="361"/>
      <c r="P795" s="361"/>
      <c r="Q795" s="361" t="s">
        <v>698</v>
      </c>
      <c r="R795" s="362">
        <v>35</v>
      </c>
      <c r="S795" s="236"/>
      <c r="T795" s="364">
        <f t="shared" si="77"/>
        <v>642009</v>
      </c>
      <c r="U795" s="365">
        <f t="shared" si="78"/>
        <v>-71.205110000000019</v>
      </c>
      <c r="V795" s="365">
        <f>IF($Q795="ekrk",IF($R795="data",IFERROR(INDEX(data!$A:$ALL,MATCH($M795,data!$A:$A,0),MATCH(V$2,data!$1:$1,0)),"#data"),IFERROR(U795*INDEX(indexy_SDcast!$A:$ALI,MATCH($R795,indexy_SDcast!$K:$K,0),MATCH(V$2,indexy_SDcast!$2:$2,0)),"#ekrk")),"#popis")</f>
        <v>-91.15907058975472</v>
      </c>
      <c r="W795" s="365">
        <f>IF($Q795="ekrk",IF($R795="data",IFERROR(INDEX(data!$A:$ALL,MATCH($M795,data!$A:$A,0),MATCH(W$2,data!$1:$1,0)),"#data"),IFERROR(V795*INDEX(indexy_SDcast!$A:$ALI,MATCH($R795,indexy_SDcast!$K:$K,0),MATCH(W$2,indexy_SDcast!$2:$2,0)),"#ekrk")),"#popis")</f>
        <v>-92.183817567600826</v>
      </c>
      <c r="X795" s="365">
        <f>IF($Q795="ekrk",IF($R795="data",IFERROR(INDEX(data!$A:$ALL,MATCH($M795,data!$A:$A,0),MATCH(X$2,data!$1:$1,0)),"#data"),IFERROR(W795*INDEX(indexy_SDcast!$A:$ALI,MATCH($R795,indexy_SDcast!$K:$K,0),MATCH(X$2,indexy_SDcast!$2:$2,0)),"#ekrk")),"#popis")</f>
        <v>-59.212061841552128</v>
      </c>
      <c r="Y795" s="362">
        <f>IF($Q795="ekrk",IF($R795="data",IFERROR(INDEX(data!$A:$ALL,MATCH($M795,data!$A:$A,0),MATCH(Y$2,data!$1:$1,0)),"#data"),IFERROR(X795*INDEX(indexy_SDcast!$A:$ALI,MATCH($R795,indexy_SDcast!$K:$K,0),MATCH(Y$2,indexy_SDcast!$2:$2,0)),"#ekrk")),"#popis")</f>
        <v>-80.104917338657316</v>
      </c>
    </row>
    <row r="796" spans="1:44" x14ac:dyDescent="0.25">
      <c r="A796" s="330">
        <v>642200</v>
      </c>
      <c r="B796" s="329">
        <v>-103.90922</v>
      </c>
      <c r="C796" s="157"/>
      <c r="D796" s="330">
        <v>642200</v>
      </c>
      <c r="E796" s="329">
        <v>-103.90922</v>
      </c>
      <c r="F796" s="157"/>
      <c r="G796" s="330">
        <v>642200</v>
      </c>
      <c r="H796" s="329">
        <v>-103.90922</v>
      </c>
      <c r="I796" s="157"/>
      <c r="J796" s="330">
        <v>642200</v>
      </c>
      <c r="K796" s="329">
        <v>-103.90922</v>
      </c>
      <c r="L796" s="157"/>
      <c r="M796" s="360">
        <f t="shared" si="79"/>
        <v>642200</v>
      </c>
      <c r="N796" s="237">
        <f t="shared" si="80"/>
        <v>-103.90922</v>
      </c>
      <c r="O796" s="361"/>
      <c r="P796" s="361"/>
      <c r="Q796" s="361" t="s">
        <v>698</v>
      </c>
      <c r="R796" s="362">
        <v>35</v>
      </c>
      <c r="S796" s="236"/>
      <c r="T796" s="364">
        <f t="shared" si="77"/>
        <v>642200</v>
      </c>
      <c r="U796" s="365">
        <f t="shared" si="78"/>
        <v>-103.90922</v>
      </c>
      <c r="V796" s="365">
        <f>IF($Q796="ekrk",IF($R796="data",IFERROR(INDEX(data!$A:$ALL,MATCH($M796,data!$A:$A,0),MATCH(V$2,data!$1:$1,0)),"#data"),IFERROR(U796*INDEX(indexy_SDcast!$A:$ALI,MATCH($R796,indexy_SDcast!$K:$K,0),MATCH(V$2,indexy_SDcast!$2:$2,0)),"#ekrk")),"#popis")</f>
        <v>-133.02792343002278</v>
      </c>
      <c r="W796" s="365">
        <f>IF($Q796="ekrk",IF($R796="data",IFERROR(INDEX(data!$A:$ALL,MATCH($M796,data!$A:$A,0),MATCH(W$2,data!$1:$1,0)),"#data"),IFERROR(V796*INDEX(indexy_SDcast!$A:$ALI,MATCH($R796,indexy_SDcast!$K:$K,0),MATCH(W$2,indexy_SDcast!$2:$2,0)),"#ekrk")),"#popis")</f>
        <v>-134.52333098104469</v>
      </c>
      <c r="X796" s="365">
        <f>IF($Q796="ekrk",IF($R796="data",IFERROR(INDEX(data!$A:$ALL,MATCH($M796,data!$A:$A,0),MATCH(X$2,data!$1:$1,0)),"#data"),IFERROR(W796*INDEX(indexy_SDcast!$A:$ALI,MATCH($R796,indexy_SDcast!$K:$K,0),MATCH(X$2,indexy_SDcast!$2:$2,0)),"#ekrk")),"#popis")</f>
        <v>-86.407831692801864</v>
      </c>
      <c r="Y796" s="362">
        <f>IF($Q796="ekrk",IF($R796="data",IFERROR(INDEX(data!$A:$ALL,MATCH($M796,data!$A:$A,0),MATCH(Y$2,data!$1:$1,0)),"#data"),IFERROR(X796*INDEX(indexy_SDcast!$A:$ALI,MATCH($R796,indexy_SDcast!$K:$K,0),MATCH(Y$2,indexy_SDcast!$2:$2,0)),"#ekrk")),"#popis")</f>
        <v>-116.89665922606332</v>
      </c>
    </row>
    <row r="797" spans="1:44" x14ac:dyDescent="0.25">
      <c r="A797" s="330">
        <v>649002</v>
      </c>
      <c r="B797" s="329">
        <v>-396.33639999999997</v>
      </c>
      <c r="C797" s="157"/>
      <c r="D797" s="330">
        <v>649002</v>
      </c>
      <c r="E797" s="329">
        <v>-396.33639999999997</v>
      </c>
      <c r="F797" s="157"/>
      <c r="G797" s="330">
        <v>649002</v>
      </c>
      <c r="H797" s="329">
        <v>-396.33639999999997</v>
      </c>
      <c r="I797" s="157"/>
      <c r="J797" s="330">
        <v>649002</v>
      </c>
      <c r="K797" s="329">
        <v>-396.33639999999997</v>
      </c>
      <c r="L797" s="157"/>
      <c r="M797" s="360">
        <f t="shared" si="79"/>
        <v>649002</v>
      </c>
      <c r="N797" s="237">
        <f t="shared" si="80"/>
        <v>-396.33639999999997</v>
      </c>
      <c r="O797" s="361"/>
      <c r="P797" s="361"/>
      <c r="Q797" s="361" t="s">
        <v>698</v>
      </c>
      <c r="R797" s="362">
        <v>35</v>
      </c>
      <c r="S797" s="236"/>
      <c r="T797" s="364">
        <f t="shared" si="77"/>
        <v>649002</v>
      </c>
      <c r="U797" s="365">
        <f t="shared" si="78"/>
        <v>-396.33639999999997</v>
      </c>
      <c r="V797" s="365">
        <f>IF($Q797="ekrk",IF($R797="data",IFERROR(INDEX(data!$A:$ALL,MATCH($M797,data!$A:$A,0),MATCH(V$2,data!$1:$1,0)),"#data"),IFERROR(U797*INDEX(indexy_SDcast!$A:$ALI,MATCH($R797,indexy_SDcast!$K:$K,0),MATCH(V$2,indexy_SDcast!$2:$2,0)),"#ekrk")),"#popis")</f>
        <v>-507.40259884282528</v>
      </c>
      <c r="W797" s="365">
        <f>IF($Q797="ekrk",IF($R797="data",IFERROR(INDEX(data!$A:$ALL,MATCH($M797,data!$A:$A,0),MATCH(W$2,data!$1:$1,0)),"#data"),IFERROR(V797*INDEX(indexy_SDcast!$A:$ALI,MATCH($R797,indexy_SDcast!$K:$K,0),MATCH(W$2,indexy_SDcast!$2:$2,0)),"#ekrk")),"#popis")</f>
        <v>-513.10646655836433</v>
      </c>
      <c r="X797" s="365">
        <f>IF($Q797="ekrk",IF($R797="data",IFERROR(INDEX(data!$A:$ALL,MATCH($M797,data!$A:$A,0),MATCH(X$2,data!$1:$1,0)),"#data"),IFERROR(W797*INDEX(indexy_SDcast!$A:$ALI,MATCH($R797,indexy_SDcast!$K:$K,0),MATCH(X$2,indexy_SDcast!$2:$2,0)),"#ekrk")),"#popis")</f>
        <v>-329.58161888743842</v>
      </c>
      <c r="Y797" s="362">
        <f>IF($Q797="ekrk",IF($R797="data",IFERROR(INDEX(data!$A:$ALL,MATCH($M797,data!$A:$A,0),MATCH(Y$2,data!$1:$1,0)),"#data"),IFERROR(X797*INDEX(indexy_SDcast!$A:$ALI,MATCH($R797,indexy_SDcast!$K:$K,0),MATCH(Y$2,indexy_SDcast!$2:$2,0)),"#ekrk")),"#popis")</f>
        <v>-445.87382226220853</v>
      </c>
    </row>
    <row r="798" spans="1:44" s="18" customFormat="1" x14ac:dyDescent="0.25">
      <c r="A798" s="333" t="s">
        <v>737</v>
      </c>
      <c r="B798" s="334">
        <v>414894.73456999986</v>
      </c>
      <c r="C798" s="164"/>
      <c r="D798" s="333" t="s">
        <v>737</v>
      </c>
      <c r="E798" s="334">
        <v>414894.73456999986</v>
      </c>
      <c r="F798" s="164"/>
      <c r="G798" s="333" t="s">
        <v>737</v>
      </c>
      <c r="H798" s="334">
        <v>414894.73456999986</v>
      </c>
      <c r="I798" s="164"/>
      <c r="J798" s="333" t="s">
        <v>737</v>
      </c>
      <c r="K798" s="334">
        <v>414894.73456999986</v>
      </c>
      <c r="L798" s="164"/>
      <c r="M798" s="358" t="str">
        <f t="shared" si="79"/>
        <v>D75REC</v>
      </c>
      <c r="N798" s="239">
        <f t="shared" si="80"/>
        <v>414894.73456999986</v>
      </c>
      <c r="O798" s="243"/>
      <c r="P798" s="243">
        <f>MATCH(Q798,Q799:Q$1550,0)</f>
        <v>19</v>
      </c>
      <c r="Q798" s="243" t="s">
        <v>697</v>
      </c>
      <c r="R798" s="359"/>
      <c r="S798" s="240"/>
      <c r="T798" s="363" t="str">
        <f t="shared" si="77"/>
        <v>D75REC</v>
      </c>
      <c r="U798" s="244">
        <f>SUM(U799:U816)</f>
        <v>414894.73456999986</v>
      </c>
      <c r="V798" s="244">
        <f>SUM(V799:V816)</f>
        <v>531161.57528559619</v>
      </c>
      <c r="W798" s="244">
        <f>SUM(W799:W816)</f>
        <v>537132.52491793118</v>
      </c>
      <c r="X798" s="244">
        <f>SUM(X799:X816)</f>
        <v>345014.18059874041</v>
      </c>
      <c r="Y798" s="359">
        <f>SUM(Y799:Y816)</f>
        <v>466751.73196100671</v>
      </c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8"/>
      <c r="AN798" s="58"/>
      <c r="AO798" s="58"/>
      <c r="AP798" s="58"/>
      <c r="AQ798" s="58"/>
      <c r="AR798" s="58"/>
    </row>
    <row r="799" spans="1:44" x14ac:dyDescent="0.25">
      <c r="A799" s="330">
        <v>222001</v>
      </c>
      <c r="B799" s="329">
        <v>0.18038999999999999</v>
      </c>
      <c r="C799" s="157"/>
      <c r="D799" s="330">
        <v>222001</v>
      </c>
      <c r="E799" s="329">
        <v>0.18038999999999999</v>
      </c>
      <c r="F799" s="157"/>
      <c r="G799" s="330">
        <v>222001</v>
      </c>
      <c r="H799" s="329">
        <v>0.18038999999999999</v>
      </c>
      <c r="I799" s="157"/>
      <c r="J799" s="330">
        <v>222001</v>
      </c>
      <c r="K799" s="329">
        <v>0.18038999999999999</v>
      </c>
      <c r="L799" s="157"/>
      <c r="M799" s="360">
        <f t="shared" si="79"/>
        <v>222001</v>
      </c>
      <c r="N799" s="237">
        <f t="shared" si="80"/>
        <v>0.18038999999999999</v>
      </c>
      <c r="O799" s="361"/>
      <c r="P799" s="361"/>
      <c r="Q799" s="361" t="s">
        <v>698</v>
      </c>
      <c r="R799" s="362">
        <v>35</v>
      </c>
      <c r="S799" s="236"/>
      <c r="T799" s="364">
        <f t="shared" si="77"/>
        <v>222001</v>
      </c>
      <c r="U799" s="365">
        <f t="shared" ref="U799:U816" si="81">N799</f>
        <v>0.18038999999999999</v>
      </c>
      <c r="V799" s="365">
        <f>IF($Q799="ekrk",IF($R799="data",IFERROR(INDEX(data!$A:$ALL,MATCH($M799,data!$A:$A,0),MATCH(V$2,data!$1:$1,0)),"#data"),IFERROR(U799*INDEX(indexy_SDcast!$A:$ALI,MATCH($R799,indexy_SDcast!$K:$K,0),MATCH(V$2,indexy_SDcast!$2:$2,0)),"#ekrk")),"#popis")</f>
        <v>0.23094107633126118</v>
      </c>
      <c r="W799" s="365">
        <f>IF($Q799="ekrk",IF($R799="data",IFERROR(INDEX(data!$A:$ALL,MATCH($M799,data!$A:$A,0),MATCH(W$2,data!$1:$1,0)),"#data"),IFERROR(V799*INDEX(indexy_SDcast!$A:$ALI,MATCH($R799,indexy_SDcast!$K:$K,0),MATCH(W$2,indexy_SDcast!$2:$2,0)),"#ekrk")),"#popis")</f>
        <v>0.23353715556396878</v>
      </c>
      <c r="X799" s="365">
        <f>IF($Q799="ekrk",IF($R799="data",IFERROR(INDEX(data!$A:$ALL,MATCH($M799,data!$A:$A,0),MATCH(X$2,data!$1:$1,0)),"#data"),IFERROR(W799*INDEX(indexy_SDcast!$A:$ALI,MATCH($R799,indexy_SDcast!$K:$K,0),MATCH(X$2,indexy_SDcast!$2:$2,0)),"#ekrk")),"#popis")</f>
        <v>0.15000698454924916</v>
      </c>
      <c r="Y799" s="362">
        <f>IF($Q799="ekrk",IF($R799="data",IFERROR(INDEX(data!$A:$ALL,MATCH($M799,data!$A:$A,0),MATCH(Y$2,data!$1:$1,0)),"#data"),IFERROR(X799*INDEX(indexy_SDcast!$A:$ALI,MATCH($R799,indexy_SDcast!$K:$K,0),MATCH(Y$2,indexy_SDcast!$2:$2,0)),"#ekrk")),"#popis")</f>
        <v>0.20293664371448047</v>
      </c>
    </row>
    <row r="800" spans="1:44" x14ac:dyDescent="0.25">
      <c r="A800" s="330">
        <v>222002</v>
      </c>
      <c r="B800" s="329">
        <v>15.498360000000002</v>
      </c>
      <c r="C800" s="157"/>
      <c r="D800" s="330">
        <v>222002</v>
      </c>
      <c r="E800" s="329">
        <v>15.498360000000002</v>
      </c>
      <c r="F800" s="157"/>
      <c r="G800" s="330">
        <v>222002</v>
      </c>
      <c r="H800" s="329">
        <v>15.498360000000002</v>
      </c>
      <c r="I800" s="157"/>
      <c r="J800" s="330">
        <v>222002</v>
      </c>
      <c r="K800" s="329">
        <v>15.498360000000002</v>
      </c>
      <c r="L800" s="157"/>
      <c r="M800" s="360">
        <f t="shared" si="79"/>
        <v>222002</v>
      </c>
      <c r="N800" s="237">
        <f t="shared" si="80"/>
        <v>15.498360000000002</v>
      </c>
      <c r="O800" s="361"/>
      <c r="P800" s="361"/>
      <c r="Q800" s="361" t="s">
        <v>698</v>
      </c>
      <c r="R800" s="362">
        <v>35</v>
      </c>
      <c r="S800" s="236"/>
      <c r="T800" s="364">
        <f t="shared" si="77"/>
        <v>222002</v>
      </c>
      <c r="U800" s="365">
        <f t="shared" si="81"/>
        <v>15.498360000000002</v>
      </c>
      <c r="V800" s="365">
        <f>IF($Q800="ekrk",IF($R800="data",IFERROR(INDEX(data!$A:$ALL,MATCH($M800,data!$A:$A,0),MATCH(V$2,data!$1:$1,0)),"#data"),IFERROR(U800*INDEX(indexy_SDcast!$A:$ALI,MATCH($R800,indexy_SDcast!$K:$K,0),MATCH(V$2,indexy_SDcast!$2:$2,0)),"#ekrk")),"#popis")</f>
        <v>19.841498640553052</v>
      </c>
      <c r="W800" s="365">
        <f>IF($Q800="ekrk",IF($R800="data",IFERROR(INDEX(data!$A:$ALL,MATCH($M800,data!$A:$A,0),MATCH(W$2,data!$1:$1,0)),"#data"),IFERROR(V800*INDEX(indexy_SDcast!$A:$ALI,MATCH($R800,indexy_SDcast!$K:$K,0),MATCH(W$2,indexy_SDcast!$2:$2,0)),"#ekrk")),"#popis")</f>
        <v>20.06454299188642</v>
      </c>
      <c r="X800" s="365">
        <f>IF($Q800="ekrk",IF($R800="data",IFERROR(INDEX(data!$A:$ALL,MATCH($M800,data!$A:$A,0),MATCH(X$2,data!$1:$1,0)),"#data"),IFERROR(W800*INDEX(indexy_SDcast!$A:$ALI,MATCH($R800,indexy_SDcast!$K:$K,0),MATCH(X$2,indexy_SDcast!$2:$2,0)),"#ekrk")),"#popis")</f>
        <v>12.88797743255558</v>
      </c>
      <c r="Y800" s="362">
        <f>IF($Q800="ekrk",IF($R800="data",IFERROR(INDEX(data!$A:$ALL,MATCH($M800,data!$A:$A,0),MATCH(Y$2,data!$1:$1,0)),"#data"),IFERROR(X800*INDEX(indexy_SDcast!$A:$ALI,MATCH($R800,indexy_SDcast!$K:$K,0),MATCH(Y$2,indexy_SDcast!$2:$2,0)),"#ekrk")),"#popis")</f>
        <v>17.435474036691364</v>
      </c>
    </row>
    <row r="801" spans="1:25" x14ac:dyDescent="0.25">
      <c r="A801" s="330">
        <v>222003</v>
      </c>
      <c r="B801" s="329">
        <v>1.14209</v>
      </c>
      <c r="C801" s="157"/>
      <c r="D801" s="330">
        <v>222003</v>
      </c>
      <c r="E801" s="329">
        <v>1.14209</v>
      </c>
      <c r="F801" s="157"/>
      <c r="G801" s="330">
        <v>222003</v>
      </c>
      <c r="H801" s="329">
        <v>1.14209</v>
      </c>
      <c r="I801" s="157"/>
      <c r="J801" s="330">
        <v>222003</v>
      </c>
      <c r="K801" s="329">
        <v>1.14209</v>
      </c>
      <c r="L801" s="157"/>
      <c r="M801" s="360">
        <f t="shared" si="79"/>
        <v>222003</v>
      </c>
      <c r="N801" s="237">
        <f t="shared" si="80"/>
        <v>1.14209</v>
      </c>
      <c r="O801" s="361"/>
      <c r="P801" s="361"/>
      <c r="Q801" s="361" t="s">
        <v>698</v>
      </c>
      <c r="R801" s="362">
        <v>35</v>
      </c>
      <c r="S801" s="236"/>
      <c r="T801" s="364">
        <f t="shared" si="77"/>
        <v>222003</v>
      </c>
      <c r="U801" s="365">
        <f t="shared" si="81"/>
        <v>1.14209</v>
      </c>
      <c r="V801" s="365">
        <f>IF($Q801="ekrk",IF($R801="data",IFERROR(INDEX(data!$A:$ALL,MATCH($M801,data!$A:$A,0),MATCH(V$2,data!$1:$1,0)),"#data"),IFERROR(U801*INDEX(indexy_SDcast!$A:$ALI,MATCH($R801,indexy_SDcast!$K:$K,0),MATCH(V$2,indexy_SDcast!$2:$2,0)),"#ekrk")),"#popis")</f>
        <v>1.4621403285501973</v>
      </c>
      <c r="W801" s="365">
        <f>IF($Q801="ekrk",IF($R801="data",IFERROR(INDEX(data!$A:$ALL,MATCH($M801,data!$A:$A,0),MATCH(W$2,data!$1:$1,0)),"#data"),IFERROR(V801*INDEX(indexy_SDcast!$A:$ALI,MATCH($R801,indexy_SDcast!$K:$K,0),MATCH(W$2,indexy_SDcast!$2:$2,0)),"#ekrk")),"#popis")</f>
        <v>1.4785766949279511</v>
      </c>
      <c r="X801" s="365">
        <f>IF($Q801="ekrk",IF($R801="data",IFERROR(INDEX(data!$A:$ALL,MATCH($M801,data!$A:$A,0),MATCH(X$2,data!$1:$1,0)),"#data"),IFERROR(W801*INDEX(indexy_SDcast!$A:$ALI,MATCH($R801,indexy_SDcast!$K:$K,0),MATCH(X$2,indexy_SDcast!$2:$2,0)),"#ekrk")),"#popis")</f>
        <v>0.94972823872638146</v>
      </c>
      <c r="Y801" s="362">
        <f>IF($Q801="ekrk",IF($R801="data",IFERROR(INDEX(data!$A:$ALL,MATCH($M801,data!$A:$A,0),MATCH(Y$2,data!$1:$1,0)),"#data"),IFERROR(X801*INDEX(indexy_SDcast!$A:$ALI,MATCH($R801,indexy_SDcast!$K:$K,0),MATCH(Y$2,indexy_SDcast!$2:$2,0)),"#ekrk")),"#popis")</f>
        <v>1.2848379146286988</v>
      </c>
    </row>
    <row r="802" spans="1:25" x14ac:dyDescent="0.25">
      <c r="A802" s="330">
        <v>291001</v>
      </c>
      <c r="B802" s="329">
        <v>19.36749</v>
      </c>
      <c r="C802" s="157"/>
      <c r="D802" s="330">
        <v>291001</v>
      </c>
      <c r="E802" s="329">
        <v>19.36749</v>
      </c>
      <c r="F802" s="157"/>
      <c r="G802" s="330">
        <v>291001</v>
      </c>
      <c r="H802" s="329">
        <v>19.36749</v>
      </c>
      <c r="I802" s="157"/>
      <c r="J802" s="330">
        <v>291001</v>
      </c>
      <c r="K802" s="329">
        <v>19.36749</v>
      </c>
      <c r="L802" s="157"/>
      <c r="M802" s="360">
        <f t="shared" si="79"/>
        <v>291001</v>
      </c>
      <c r="N802" s="237">
        <f t="shared" si="80"/>
        <v>19.36749</v>
      </c>
      <c r="O802" s="361"/>
      <c r="P802" s="361"/>
      <c r="Q802" s="361" t="s">
        <v>698</v>
      </c>
      <c r="R802" s="362">
        <v>35</v>
      </c>
      <c r="S802" s="236"/>
      <c r="T802" s="364">
        <f t="shared" si="77"/>
        <v>291001</v>
      </c>
      <c r="U802" s="365">
        <f t="shared" si="81"/>
        <v>19.36749</v>
      </c>
      <c r="V802" s="365">
        <f>IF($Q802="ekrk",IF($R802="data",IFERROR(INDEX(data!$A:$ALL,MATCH($M802,data!$A:$A,0),MATCH(V$2,data!$1:$1,0)),"#data"),IFERROR(U802*INDEX(indexy_SDcast!$A:$ALI,MATCH($R802,indexy_SDcast!$K:$K,0),MATCH(V$2,indexy_SDcast!$2:$2,0)),"#ekrk")),"#popis")</f>
        <v>24.794883233188855</v>
      </c>
      <c r="W802" s="365">
        <f>IF($Q802="ekrk",IF($R802="data",IFERROR(INDEX(data!$A:$ALL,MATCH($M802,data!$A:$A,0),MATCH(W$2,data!$1:$1,0)),"#data"),IFERROR(V802*INDEX(indexy_SDcast!$A:$ALI,MATCH($R802,indexy_SDcast!$K:$K,0),MATCH(W$2,indexy_SDcast!$2:$2,0)),"#ekrk")),"#popis")</f>
        <v>25.073610094870055</v>
      </c>
      <c r="X802" s="365">
        <f>IF($Q802="ekrk",IF($R802="data",IFERROR(INDEX(data!$A:$ALL,MATCH($M802,data!$A:$A,0),MATCH(X$2,data!$1:$1,0)),"#data"),IFERROR(W802*INDEX(indexy_SDcast!$A:$ALI,MATCH($R802,indexy_SDcast!$K:$K,0),MATCH(X$2,indexy_SDcast!$2:$2,0)),"#ekrk")),"#popis")</f>
        <v>16.105431416307649</v>
      </c>
      <c r="Y802" s="362">
        <f>IF($Q802="ekrk",IF($R802="data",IFERROR(INDEX(data!$A:$ALL,MATCH($M802,data!$A:$A,0),MATCH(Y$2,data!$1:$1,0)),"#data"),IFERROR(X802*INDEX(indexy_SDcast!$A:$ALI,MATCH($R802,indexy_SDcast!$K:$K,0),MATCH(Y$2,indexy_SDcast!$2:$2,0)),"#ekrk")),"#popis")</f>
        <v>21.788200109616731</v>
      </c>
    </row>
    <row r="803" spans="1:25" x14ac:dyDescent="0.25">
      <c r="A803" s="330">
        <v>291003</v>
      </c>
      <c r="B803" s="329">
        <v>8.9249999999999996E-2</v>
      </c>
      <c r="C803" s="157"/>
      <c r="D803" s="330">
        <v>291003</v>
      </c>
      <c r="E803" s="329">
        <v>8.9249999999999996E-2</v>
      </c>
      <c r="F803" s="157"/>
      <c r="G803" s="330">
        <v>291003</v>
      </c>
      <c r="H803" s="329">
        <v>8.9249999999999996E-2</v>
      </c>
      <c r="I803" s="157"/>
      <c r="J803" s="330">
        <v>291003</v>
      </c>
      <c r="K803" s="329">
        <v>8.9249999999999996E-2</v>
      </c>
      <c r="L803" s="157"/>
      <c r="M803" s="360">
        <f t="shared" si="79"/>
        <v>291003</v>
      </c>
      <c r="N803" s="237">
        <f t="shared" si="80"/>
        <v>8.9249999999999996E-2</v>
      </c>
      <c r="O803" s="361"/>
      <c r="P803" s="361"/>
      <c r="Q803" s="361" t="s">
        <v>698</v>
      </c>
      <c r="R803" s="362">
        <v>35</v>
      </c>
      <c r="S803" s="236"/>
      <c r="T803" s="364">
        <f t="shared" si="77"/>
        <v>291003</v>
      </c>
      <c r="U803" s="365">
        <f t="shared" si="81"/>
        <v>8.9249999999999996E-2</v>
      </c>
      <c r="V803" s="365">
        <f>IF($Q803="ekrk",IF($R803="data",IFERROR(INDEX(data!$A:$ALL,MATCH($M803,data!$A:$A,0),MATCH(V$2,data!$1:$1,0)),"#data"),IFERROR(U803*INDEX(indexy_SDcast!$A:$ALI,MATCH($R803,indexy_SDcast!$K:$K,0),MATCH(V$2,indexy_SDcast!$2:$2,0)),"#ekrk")),"#popis")</f>
        <v>0.11426071879020488</v>
      </c>
      <c r="W803" s="365">
        <f>IF($Q803="ekrk",IF($R803="data",IFERROR(INDEX(data!$A:$ALL,MATCH($M803,data!$A:$A,0),MATCH(W$2,data!$1:$1,0)),"#data"),IFERROR(V803*INDEX(indexy_SDcast!$A:$ALI,MATCH($R803,indexy_SDcast!$K:$K,0),MATCH(W$2,indexy_SDcast!$2:$2,0)),"#ekrk")),"#popis")</f>
        <v>0.11554515845714403</v>
      </c>
      <c r="X803" s="365">
        <f>IF($Q803="ekrk",IF($R803="data",IFERROR(INDEX(data!$A:$ALL,MATCH($M803,data!$A:$A,0),MATCH(X$2,data!$1:$1,0)),"#data"),IFERROR(W803*INDEX(indexy_SDcast!$A:$ALI,MATCH($R803,indexy_SDcast!$K:$K,0),MATCH(X$2,indexy_SDcast!$2:$2,0)),"#ekrk")),"#popis")</f>
        <v>7.4217658246136062E-2</v>
      </c>
      <c r="Y803" s="362">
        <f>IF($Q803="ekrk",IF($R803="data",IFERROR(INDEX(data!$A:$ALL,MATCH($M803,data!$A:$A,0),MATCH(Y$2,data!$1:$1,0)),"#data"),IFERROR(X803*INDEX(indexy_SDcast!$A:$ALI,MATCH($R803,indexy_SDcast!$K:$K,0),MATCH(Y$2,indexy_SDcast!$2:$2,0)),"#ekrk")),"#popis")</f>
        <v>0.10040520789133199</v>
      </c>
    </row>
    <row r="804" spans="1:25" x14ac:dyDescent="0.25">
      <c r="A804" s="330">
        <v>291004</v>
      </c>
      <c r="B804" s="329">
        <v>578.72357</v>
      </c>
      <c r="C804" s="157"/>
      <c r="D804" s="330">
        <v>291004</v>
      </c>
      <c r="E804" s="329">
        <v>578.72357</v>
      </c>
      <c r="F804" s="157"/>
      <c r="G804" s="330">
        <v>291004</v>
      </c>
      <c r="H804" s="329">
        <v>578.72357</v>
      </c>
      <c r="I804" s="157"/>
      <c r="J804" s="330">
        <v>291004</v>
      </c>
      <c r="K804" s="329">
        <v>578.72357</v>
      </c>
      <c r="L804" s="157"/>
      <c r="M804" s="360">
        <f t="shared" si="79"/>
        <v>291004</v>
      </c>
      <c r="N804" s="237">
        <f t="shared" si="80"/>
        <v>578.72357</v>
      </c>
      <c r="O804" s="361"/>
      <c r="P804" s="361"/>
      <c r="Q804" s="361" t="s">
        <v>698</v>
      </c>
      <c r="R804" s="362">
        <v>35</v>
      </c>
      <c r="S804" s="236"/>
      <c r="T804" s="364">
        <f t="shared" si="77"/>
        <v>291004</v>
      </c>
      <c r="U804" s="365">
        <f t="shared" si="81"/>
        <v>578.72357</v>
      </c>
      <c r="V804" s="365">
        <f>IF($Q804="ekrk",IF($R804="data",IFERROR(INDEX(data!$A:$ALL,MATCH($M804,data!$A:$A,0),MATCH(V$2,data!$1:$1,0)),"#data"),IFERROR(U804*INDEX(indexy_SDcast!$A:$ALI,MATCH($R804,indexy_SDcast!$K:$K,0),MATCH(V$2,indexy_SDcast!$2:$2,0)),"#ekrk")),"#popis")</f>
        <v>740.90051640373622</v>
      </c>
      <c r="W804" s="365">
        <f>IF($Q804="ekrk",IF($R804="data",IFERROR(INDEX(data!$A:$ALL,MATCH($M804,data!$A:$A,0),MATCH(W$2,data!$1:$1,0)),"#data"),IFERROR(V804*INDEX(indexy_SDcast!$A:$ALI,MATCH($R804,indexy_SDcast!$K:$K,0),MATCH(W$2,indexy_SDcast!$2:$2,0)),"#ekrk")),"#popis")</f>
        <v>749.22920558581609</v>
      </c>
      <c r="X804" s="365">
        <f>IF($Q804="ekrk",IF($R804="data",IFERROR(INDEX(data!$A:$ALL,MATCH($M804,data!$A:$A,0),MATCH(X$2,data!$1:$1,0)),"#data"),IFERROR(W804*INDEX(indexy_SDcast!$A:$ALI,MATCH($R804,indexy_SDcast!$K:$K,0),MATCH(X$2,indexy_SDcast!$2:$2,0)),"#ekrk")),"#popis")</f>
        <v>481.249390893488</v>
      </c>
      <c r="Y804" s="362">
        <f>IF($Q804="ekrk",IF($R804="data",IFERROR(INDEX(data!$A:$ALL,MATCH($M804,data!$A:$A,0),MATCH(Y$2,data!$1:$1,0)),"#data"),IFERROR(X804*INDEX(indexy_SDcast!$A:$ALI,MATCH($R804,indexy_SDcast!$K:$K,0),MATCH(Y$2,indexy_SDcast!$2:$2,0)),"#ekrk")),"#popis")</f>
        <v>651.05725890715769</v>
      </c>
    </row>
    <row r="805" spans="1:25" x14ac:dyDescent="0.25">
      <c r="A805" s="330">
        <v>291007</v>
      </c>
      <c r="B805" s="329">
        <v>1255.30585</v>
      </c>
      <c r="C805" s="157"/>
      <c r="D805" s="330">
        <v>291007</v>
      </c>
      <c r="E805" s="329">
        <v>1255.30585</v>
      </c>
      <c r="F805" s="157"/>
      <c r="G805" s="330">
        <v>291007</v>
      </c>
      <c r="H805" s="329">
        <v>1255.30585</v>
      </c>
      <c r="I805" s="157"/>
      <c r="J805" s="330">
        <v>291007</v>
      </c>
      <c r="K805" s="329">
        <v>1255.30585</v>
      </c>
      <c r="L805" s="157"/>
      <c r="M805" s="360">
        <f t="shared" si="79"/>
        <v>291007</v>
      </c>
      <c r="N805" s="237">
        <f t="shared" si="80"/>
        <v>1255.30585</v>
      </c>
      <c r="O805" s="361"/>
      <c r="P805" s="361"/>
      <c r="Q805" s="361" t="s">
        <v>698</v>
      </c>
      <c r="R805" s="362">
        <v>35</v>
      </c>
      <c r="S805" s="236"/>
      <c r="T805" s="364">
        <f t="shared" si="77"/>
        <v>291007</v>
      </c>
      <c r="U805" s="365">
        <f t="shared" si="81"/>
        <v>1255.30585</v>
      </c>
      <c r="V805" s="365">
        <f>IF($Q805="ekrk",IF($R805="data",IFERROR(INDEX(data!$A:$ALL,MATCH($M805,data!$A:$A,0),MATCH(V$2,data!$1:$1,0)),"#data"),IFERROR(U805*INDEX(indexy_SDcast!$A:$ALI,MATCH($R805,indexy_SDcast!$K:$K,0),MATCH(V$2,indexy_SDcast!$2:$2,0)),"#ekrk")),"#popis")</f>
        <v>1607.0828988520909</v>
      </c>
      <c r="W805" s="365">
        <f>IF($Q805="ekrk",IF($R805="data",IFERROR(INDEX(data!$A:$ALL,MATCH($M805,data!$A:$A,0),MATCH(W$2,data!$1:$1,0)),"#data"),IFERROR(V805*INDEX(indexy_SDcast!$A:$ALI,MATCH($R805,indexy_SDcast!$K:$K,0),MATCH(W$2,indexy_SDcast!$2:$2,0)),"#ekrk")),"#popis")</f>
        <v>1625.148608968402</v>
      </c>
      <c r="X805" s="365">
        <f>IF($Q805="ekrk",IF($R805="data",IFERROR(INDEX(data!$A:$ALL,MATCH($M805,data!$A:$A,0),MATCH(X$2,data!$1:$1,0)),"#data"),IFERROR(W805*INDEX(indexy_SDcast!$A:$ALI,MATCH($R805,indexy_SDcast!$K:$K,0),MATCH(X$2,indexy_SDcast!$2:$2,0)),"#ekrk")),"#popis")</f>
        <v>1043.8751884557462</v>
      </c>
      <c r="Y805" s="362">
        <f>IF($Q805="ekrk",IF($R805="data",IFERROR(INDEX(data!$A:$ALL,MATCH($M805,data!$A:$A,0),MATCH(Y$2,data!$1:$1,0)),"#data"),IFERROR(X805*INDEX(indexy_SDcast!$A:$ALI,MATCH($R805,indexy_SDcast!$K:$K,0),MATCH(Y$2,indexy_SDcast!$2:$2,0)),"#ekrk")),"#popis")</f>
        <v>1412.2044239378736</v>
      </c>
    </row>
    <row r="806" spans="1:25" x14ac:dyDescent="0.25">
      <c r="A806" s="330">
        <v>292012</v>
      </c>
      <c r="B806" s="329">
        <v>54.051119999999997</v>
      </c>
      <c r="C806" s="157"/>
      <c r="D806" s="330">
        <v>292012</v>
      </c>
      <c r="E806" s="329">
        <v>54.051119999999997</v>
      </c>
      <c r="F806" s="157"/>
      <c r="G806" s="330">
        <v>292012</v>
      </c>
      <c r="H806" s="329">
        <v>54.051119999999997</v>
      </c>
      <c r="I806" s="157"/>
      <c r="J806" s="330">
        <v>292012</v>
      </c>
      <c r="K806" s="329">
        <v>54.051119999999997</v>
      </c>
      <c r="L806" s="157"/>
      <c r="M806" s="360">
        <f t="shared" si="79"/>
        <v>292012</v>
      </c>
      <c r="N806" s="237">
        <f t="shared" si="80"/>
        <v>54.051119999999997</v>
      </c>
      <c r="O806" s="361"/>
      <c r="P806" s="361"/>
      <c r="Q806" s="361" t="s">
        <v>698</v>
      </c>
      <c r="R806" s="362">
        <v>35</v>
      </c>
      <c r="S806" s="236"/>
      <c r="T806" s="364">
        <f t="shared" si="77"/>
        <v>292012</v>
      </c>
      <c r="U806" s="365">
        <f t="shared" si="81"/>
        <v>54.051119999999997</v>
      </c>
      <c r="V806" s="365">
        <f>IF($Q806="ekrk",IF($R806="data",IFERROR(INDEX(data!$A:$ALL,MATCH($M806,data!$A:$A,0),MATCH(V$2,data!$1:$1,0)),"#data"),IFERROR(U806*INDEX(indexy_SDcast!$A:$ALI,MATCH($R806,indexy_SDcast!$K:$K,0),MATCH(V$2,indexy_SDcast!$2:$2,0)),"#ekrk")),"#popis")</f>
        <v>69.197981205777239</v>
      </c>
      <c r="W806" s="365">
        <f>IF($Q806="ekrk",IF($R806="data",IFERROR(INDEX(data!$A:$ALL,MATCH($M806,data!$A:$A,0),MATCH(W$2,data!$1:$1,0)),"#data"),IFERROR(V806*INDEX(indexy_SDcast!$A:$ALI,MATCH($R806,indexy_SDcast!$K:$K,0),MATCH(W$2,indexy_SDcast!$2:$2,0)),"#ekrk")),"#popis")</f>
        <v>69.97585686483032</v>
      </c>
      <c r="X806" s="365">
        <f>IF($Q806="ekrk",IF($R806="data",IFERROR(INDEX(data!$A:$ALL,MATCH($M806,data!$A:$A,0),MATCH(X$2,data!$1:$1,0)),"#data"),IFERROR(W806*INDEX(indexy_SDcast!$A:$ALI,MATCH($R806,indexy_SDcast!$K:$K,0),MATCH(X$2,indexy_SDcast!$2:$2,0)),"#ekrk")),"#popis")</f>
        <v>44.947311506788679</v>
      </c>
      <c r="Y806" s="362">
        <f>IF($Q806="ekrk",IF($R806="data",IFERROR(INDEX(data!$A:$ALL,MATCH($M806,data!$A:$A,0),MATCH(Y$2,data!$1:$1,0)),"#data"),IFERROR(X806*INDEX(indexy_SDcast!$A:$ALI,MATCH($R806,indexy_SDcast!$K:$K,0),MATCH(Y$2,indexy_SDcast!$2:$2,0)),"#ekrk")),"#popis")</f>
        <v>60.806878883577951</v>
      </c>
    </row>
    <row r="807" spans="1:25" x14ac:dyDescent="0.25">
      <c r="A807" s="330">
        <v>292017</v>
      </c>
      <c r="B807" s="329">
        <v>5723.8499400000001</v>
      </c>
      <c r="C807" s="157"/>
      <c r="D807" s="330">
        <v>292017</v>
      </c>
      <c r="E807" s="329">
        <v>5723.8499400000001</v>
      </c>
      <c r="F807" s="157"/>
      <c r="G807" s="330">
        <v>292017</v>
      </c>
      <c r="H807" s="329">
        <v>5723.8499400000001</v>
      </c>
      <c r="I807" s="157"/>
      <c r="J807" s="330">
        <v>292017</v>
      </c>
      <c r="K807" s="329">
        <v>5723.8499400000001</v>
      </c>
      <c r="L807" s="157"/>
      <c r="M807" s="360">
        <f t="shared" si="79"/>
        <v>292017</v>
      </c>
      <c r="N807" s="237">
        <f t="shared" si="80"/>
        <v>5723.8499400000001</v>
      </c>
      <c r="O807" s="361"/>
      <c r="P807" s="361"/>
      <c r="Q807" s="361" t="s">
        <v>698</v>
      </c>
      <c r="R807" s="362">
        <v>35</v>
      </c>
      <c r="S807" s="236"/>
      <c r="T807" s="364">
        <f t="shared" si="77"/>
        <v>292017</v>
      </c>
      <c r="U807" s="365">
        <f t="shared" si="81"/>
        <v>5723.8499400000001</v>
      </c>
      <c r="V807" s="365">
        <f>IF($Q807="ekrk",IF($R807="data",IFERROR(INDEX(data!$A:$ALL,MATCH($M807,data!$A:$A,0),MATCH(V$2,data!$1:$1,0)),"#data"),IFERROR(U807*INDEX(indexy_SDcast!$A:$ALI,MATCH($R807,indexy_SDcast!$K:$K,0),MATCH(V$2,indexy_SDcast!$2:$2,0)),"#ekrk")),"#popis")</f>
        <v>7327.8566766573795</v>
      </c>
      <c r="W807" s="365">
        <f>IF($Q807="ekrk",IF($R807="data",IFERROR(INDEX(data!$A:$ALL,MATCH($M807,data!$A:$A,0),MATCH(W$2,data!$1:$1,0)),"#data"),IFERROR(V807*INDEX(indexy_SDcast!$A:$ALI,MATCH($R807,indexy_SDcast!$K:$K,0),MATCH(W$2,indexy_SDcast!$2:$2,0)),"#ekrk")),"#popis")</f>
        <v>7410.231353526211</v>
      </c>
      <c r="X807" s="365">
        <f>IF($Q807="ekrk",IF($R807="data",IFERROR(INDEX(data!$A:$ALL,MATCH($M807,data!$A:$A,0),MATCH(X$2,data!$1:$1,0)),"#data"),IFERROR(W807*INDEX(indexy_SDcast!$A:$ALI,MATCH($R807,indexy_SDcast!$K:$K,0),MATCH(X$2,indexy_SDcast!$2:$2,0)),"#ekrk")),"#popis")</f>
        <v>4759.7841871046094</v>
      </c>
      <c r="Y807" s="362">
        <f>IF($Q807="ekrk",IF($R807="data",IFERROR(INDEX(data!$A:$ALL,MATCH($M807,data!$A:$A,0),MATCH(Y$2,data!$1:$1,0)),"#data"),IFERROR(X807*INDEX(indexy_SDcast!$A:$ALI,MATCH($R807,indexy_SDcast!$K:$K,0),MATCH(Y$2,indexy_SDcast!$2:$2,0)),"#ekrk")),"#popis")</f>
        <v>6439.2643491819399</v>
      </c>
    </row>
    <row r="808" spans="1:25" x14ac:dyDescent="0.25">
      <c r="A808" s="330">
        <v>292019</v>
      </c>
      <c r="B808" s="329">
        <v>14628.620360000001</v>
      </c>
      <c r="C808" s="157"/>
      <c r="D808" s="330">
        <v>292019</v>
      </c>
      <c r="E808" s="329">
        <v>14628.620360000001</v>
      </c>
      <c r="F808" s="157"/>
      <c r="G808" s="330">
        <v>292019</v>
      </c>
      <c r="H808" s="329">
        <v>14628.620360000001</v>
      </c>
      <c r="I808" s="157"/>
      <c r="J808" s="330">
        <v>292019</v>
      </c>
      <c r="K808" s="329">
        <v>14628.620360000001</v>
      </c>
      <c r="L808" s="157"/>
      <c r="M808" s="360">
        <f t="shared" si="79"/>
        <v>292019</v>
      </c>
      <c r="N808" s="237">
        <f t="shared" si="80"/>
        <v>14628.620360000001</v>
      </c>
      <c r="O808" s="361"/>
      <c r="P808" s="361"/>
      <c r="Q808" s="361" t="s">
        <v>698</v>
      </c>
      <c r="R808" s="362">
        <v>35</v>
      </c>
      <c r="S808" s="236"/>
      <c r="T808" s="364">
        <f t="shared" si="77"/>
        <v>292019</v>
      </c>
      <c r="U808" s="365">
        <f t="shared" si="81"/>
        <v>14628.620360000001</v>
      </c>
      <c r="V808" s="365">
        <f>IF($Q808="ekrk",IF($R808="data",IFERROR(INDEX(data!$A:$ALL,MATCH($M808,data!$A:$A,0),MATCH(V$2,data!$1:$1,0)),"#data"),IFERROR(U808*INDEX(indexy_SDcast!$A:$ALI,MATCH($R808,indexy_SDcast!$K:$K,0),MATCH(V$2,indexy_SDcast!$2:$2,0)),"#ekrk")),"#popis")</f>
        <v>18728.029997116257</v>
      </c>
      <c r="W808" s="365">
        <f>IF($Q808="ekrk",IF($R808="data",IFERROR(INDEX(data!$A:$ALL,MATCH($M808,data!$A:$A,0),MATCH(W$2,data!$1:$1,0)),"#data"),IFERROR(V808*INDEX(indexy_SDcast!$A:$ALI,MATCH($R808,indexy_SDcast!$K:$K,0),MATCH(W$2,indexy_SDcast!$2:$2,0)),"#ekrk")),"#popis")</f>
        <v>18938.557507065587</v>
      </c>
      <c r="X808" s="365">
        <f>IF($Q808="ekrk",IF($R808="data",IFERROR(INDEX(data!$A:$ALL,MATCH($M808,data!$A:$A,0),MATCH(X$2,data!$1:$1,0)),"#data"),IFERROR(W808*INDEX(indexy_SDcast!$A:$ALI,MATCH($R808,indexy_SDcast!$K:$K,0),MATCH(X$2,indexy_SDcast!$2:$2,0)),"#ekrk")),"#popis")</f>
        <v>12164.72769177533</v>
      </c>
      <c r="Y808" s="362">
        <f>IF($Q808="ekrk",IF($R808="data",IFERROR(INDEX(data!$A:$ALL,MATCH($M808,data!$A:$A,0),MATCH(Y$2,data!$1:$1,0)),"#data"),IFERROR(X808*INDEX(indexy_SDcast!$A:$ALI,MATCH($R808,indexy_SDcast!$K:$K,0),MATCH(Y$2,indexy_SDcast!$2:$2,0)),"#ekrk")),"#popis")</f>
        <v>16457.027097021539</v>
      </c>
    </row>
    <row r="809" spans="1:25" x14ac:dyDescent="0.25">
      <c r="A809" s="330">
        <v>292027</v>
      </c>
      <c r="B809" s="329">
        <v>448.43818999999974</v>
      </c>
      <c r="C809" s="157"/>
      <c r="D809" s="330">
        <v>292027</v>
      </c>
      <c r="E809" s="329">
        <v>448.43818999999974</v>
      </c>
      <c r="F809" s="157"/>
      <c r="G809" s="330">
        <v>292027</v>
      </c>
      <c r="H809" s="329">
        <v>448.43818999999974</v>
      </c>
      <c r="I809" s="157"/>
      <c r="J809" s="330">
        <v>292027</v>
      </c>
      <c r="K809" s="329">
        <v>448.43818999999974</v>
      </c>
      <c r="L809" s="157"/>
      <c r="M809" s="360">
        <f t="shared" si="79"/>
        <v>292027</v>
      </c>
      <c r="N809" s="237">
        <f t="shared" si="80"/>
        <v>448.43818999999974</v>
      </c>
      <c r="O809" s="361"/>
      <c r="P809" s="361"/>
      <c r="Q809" s="361" t="s">
        <v>698</v>
      </c>
      <c r="R809" s="362">
        <v>35</v>
      </c>
      <c r="S809" s="236"/>
      <c r="T809" s="364">
        <f t="shared" si="77"/>
        <v>292027</v>
      </c>
      <c r="U809" s="365">
        <f t="shared" si="81"/>
        <v>448.43818999999974</v>
      </c>
      <c r="V809" s="365">
        <f>IF($Q809="ekrk",IF($R809="data",IFERROR(INDEX(data!$A:$ALL,MATCH($M809,data!$A:$A,0),MATCH(V$2,data!$1:$1,0)),"#data"),IFERROR(U809*INDEX(indexy_SDcast!$A:$ALI,MATCH($R809,indexy_SDcast!$K:$K,0),MATCH(V$2,indexy_SDcast!$2:$2,0)),"#ekrk")),"#popis")</f>
        <v>574.10498512468837</v>
      </c>
      <c r="W809" s="365">
        <f>IF($Q809="ekrk",IF($R809="data",IFERROR(INDEX(data!$A:$ALL,MATCH($M809,data!$A:$A,0),MATCH(W$2,data!$1:$1,0)),"#data"),IFERROR(V809*INDEX(indexy_SDcast!$A:$ALI,MATCH($R809,indexy_SDcast!$K:$K,0),MATCH(W$2,indexy_SDcast!$2:$2,0)),"#ekrk")),"#popis")</f>
        <v>580.55867475389164</v>
      </c>
      <c r="X809" s="365">
        <f>IF($Q809="ekrk",IF($R809="data",IFERROR(INDEX(data!$A:$ALL,MATCH($M809,data!$A:$A,0),MATCH(X$2,data!$1:$1,0)),"#data"),IFERROR(W809*INDEX(indexy_SDcast!$A:$ALI,MATCH($R809,indexy_SDcast!$K:$K,0),MATCH(X$2,indexy_SDcast!$2:$2,0)),"#ekrk")),"#popis")</f>
        <v>372.90792526538723</v>
      </c>
      <c r="Y809" s="362">
        <f>IF($Q809="ekrk",IF($R809="data",IFERROR(INDEX(data!$A:$ALL,MATCH($M809,data!$A:$A,0),MATCH(Y$2,data!$1:$1,0)),"#data"),IFERROR(X809*INDEX(indexy_SDcast!$A:$ALI,MATCH($R809,indexy_SDcast!$K:$K,0),MATCH(Y$2,indexy_SDcast!$2:$2,0)),"#ekrk")),"#popis")</f>
        <v>504.48772765672391</v>
      </c>
    </row>
    <row r="810" spans="1:25" x14ac:dyDescent="0.25">
      <c r="A810" s="330">
        <v>311000</v>
      </c>
      <c r="B810" s="329">
        <v>11968.102630000001</v>
      </c>
      <c r="C810" s="157"/>
      <c r="D810" s="330">
        <v>311000</v>
      </c>
      <c r="E810" s="329">
        <v>11968.102630000001</v>
      </c>
      <c r="F810" s="157"/>
      <c r="G810" s="330">
        <v>311000</v>
      </c>
      <c r="H810" s="329">
        <v>11968.102630000001</v>
      </c>
      <c r="I810" s="157"/>
      <c r="J810" s="330">
        <v>311000</v>
      </c>
      <c r="K810" s="329">
        <v>11968.102630000001</v>
      </c>
      <c r="L810" s="157"/>
      <c r="M810" s="360">
        <f t="shared" si="79"/>
        <v>311000</v>
      </c>
      <c r="N810" s="237">
        <f t="shared" si="80"/>
        <v>11968.102630000001</v>
      </c>
      <c r="O810" s="361"/>
      <c r="P810" s="361"/>
      <c r="Q810" s="361" t="s">
        <v>698</v>
      </c>
      <c r="R810" s="362">
        <v>35</v>
      </c>
      <c r="S810" s="236"/>
      <c r="T810" s="364">
        <f t="shared" si="77"/>
        <v>311000</v>
      </c>
      <c r="U810" s="365">
        <f t="shared" si="81"/>
        <v>11968.102630000001</v>
      </c>
      <c r="V810" s="365">
        <f>IF($Q810="ekrk",IF($R810="data",IFERROR(INDEX(data!$A:$ALL,MATCH($M810,data!$A:$A,0),MATCH(V$2,data!$1:$1,0)),"#data"),IFERROR(U810*INDEX(indexy_SDcast!$A:$ALI,MATCH($R810,indexy_SDcast!$K:$K,0),MATCH(V$2,indexy_SDcast!$2:$2,0)),"#ekrk")),"#popis")</f>
        <v>15321.949681330439</v>
      </c>
      <c r="W810" s="365">
        <f>IF($Q810="ekrk",IF($R810="data",IFERROR(INDEX(data!$A:$ALL,MATCH($M810,data!$A:$A,0),MATCH(W$2,data!$1:$1,0)),"#data"),IFERROR(V810*INDEX(indexy_SDcast!$A:$ALI,MATCH($R810,indexy_SDcast!$K:$K,0),MATCH(W$2,indexy_SDcast!$2:$2,0)),"#ekrk")),"#popis")</f>
        <v>15494.188401285293</v>
      </c>
      <c r="X810" s="365">
        <f>IF($Q810="ekrk",IF($R810="data",IFERROR(INDEX(data!$A:$ALL,MATCH($M810,data!$A:$A,0),MATCH(X$2,data!$1:$1,0)),"#data"),IFERROR(W810*INDEX(indexy_SDcast!$A:$ALI,MATCH($R810,indexy_SDcast!$K:$K,0),MATCH(X$2,indexy_SDcast!$2:$2,0)),"#ekrk")),"#popis")</f>
        <v>9952.3198974568331</v>
      </c>
      <c r="Y810" s="362">
        <f>IF($Q810="ekrk",IF($R810="data",IFERROR(INDEX(data!$A:$ALL,MATCH($M810,data!$A:$A,0),MATCH(Y$2,data!$1:$1,0)),"#data"),IFERROR(X810*INDEX(indexy_SDcast!$A:$ALI,MATCH($R810,indexy_SDcast!$K:$K,0),MATCH(Y$2,indexy_SDcast!$2:$2,0)),"#ekrk")),"#popis")</f>
        <v>13463.975715741708</v>
      </c>
    </row>
    <row r="811" spans="1:25" x14ac:dyDescent="0.25">
      <c r="A811" s="330">
        <v>321000</v>
      </c>
      <c r="B811" s="329">
        <v>27033.532170000002</v>
      </c>
      <c r="C811" s="157"/>
      <c r="D811" s="330">
        <v>321000</v>
      </c>
      <c r="E811" s="329">
        <v>27033.532170000002</v>
      </c>
      <c r="F811" s="157"/>
      <c r="G811" s="330">
        <v>321000</v>
      </c>
      <c r="H811" s="329">
        <v>27033.532170000002</v>
      </c>
      <c r="I811" s="157"/>
      <c r="J811" s="330">
        <v>321000</v>
      </c>
      <c r="K811" s="329">
        <v>27033.532170000002</v>
      </c>
      <c r="L811" s="157"/>
      <c r="M811" s="360">
        <f t="shared" si="79"/>
        <v>321000</v>
      </c>
      <c r="N811" s="237">
        <f t="shared" si="80"/>
        <v>27033.532170000002</v>
      </c>
      <c r="O811" s="361"/>
      <c r="P811" s="361"/>
      <c r="Q811" s="361" t="s">
        <v>698</v>
      </c>
      <c r="R811" s="362">
        <v>35</v>
      </c>
      <c r="S811" s="236"/>
      <c r="T811" s="364">
        <f t="shared" si="77"/>
        <v>321000</v>
      </c>
      <c r="U811" s="365">
        <f t="shared" si="81"/>
        <v>27033.532170000002</v>
      </c>
      <c r="V811" s="365">
        <f>IF($Q811="ekrk",IF($R811="data",IFERROR(INDEX(data!$A:$ALL,MATCH($M811,data!$A:$A,0),MATCH(V$2,data!$1:$1,0)),"#data"),IFERROR(U811*INDEX(indexy_SDcast!$A:$ALI,MATCH($R811,indexy_SDcast!$K:$K,0),MATCH(V$2,indexy_SDcast!$2:$2,0)),"#ekrk")),"#popis")</f>
        <v>34609.196831174537</v>
      </c>
      <c r="W811" s="365">
        <f>IF($Q811="ekrk",IF($R811="data",IFERROR(INDEX(data!$A:$ALL,MATCH($M811,data!$A:$A,0),MATCH(W$2,data!$1:$1,0)),"#data"),IFERROR(V811*INDEX(indexy_SDcast!$A:$ALI,MATCH($R811,indexy_SDcast!$K:$K,0),MATCH(W$2,indexy_SDcast!$2:$2,0)),"#ekrk")),"#popis")</f>
        <v>34998.24939203306</v>
      </c>
      <c r="X811" s="365">
        <f>IF($Q811="ekrk",IF($R811="data",IFERROR(INDEX(data!$A:$ALL,MATCH($M811,data!$A:$A,0),MATCH(X$2,data!$1:$1,0)),"#data"),IFERROR(W811*INDEX(indexy_SDcast!$A:$ALI,MATCH($R811,indexy_SDcast!$K:$K,0),MATCH(X$2,indexy_SDcast!$2:$2,0)),"#ekrk")),"#popis")</f>
        <v>22480.285173994231</v>
      </c>
      <c r="Y811" s="362">
        <f>IF($Q811="ekrk",IF($R811="data",IFERROR(INDEX(data!$A:$ALL,MATCH($M811,data!$A:$A,0),MATCH(Y$2,data!$1:$1,0)),"#data"),IFERROR(X811*INDEX(indexy_SDcast!$A:$ALI,MATCH($R811,indexy_SDcast!$K:$K,0),MATCH(Y$2,indexy_SDcast!$2:$2,0)),"#ekrk")),"#popis")</f>
        <v>30412.408039953629</v>
      </c>
    </row>
    <row r="812" spans="1:25" x14ac:dyDescent="0.25">
      <c r="A812" s="330">
        <v>322001</v>
      </c>
      <c r="B812" s="329">
        <v>322665.23957999988</v>
      </c>
      <c r="C812" s="157"/>
      <c r="D812" s="330">
        <v>322001</v>
      </c>
      <c r="E812" s="329">
        <v>322665.23957999988</v>
      </c>
      <c r="F812" s="157"/>
      <c r="G812" s="330">
        <v>322001</v>
      </c>
      <c r="H812" s="329">
        <v>322665.23957999988</v>
      </c>
      <c r="I812" s="157"/>
      <c r="J812" s="330">
        <v>322001</v>
      </c>
      <c r="K812" s="329">
        <v>322665.23957999988</v>
      </c>
      <c r="L812" s="157"/>
      <c r="M812" s="360">
        <f t="shared" si="79"/>
        <v>322001</v>
      </c>
      <c r="N812" s="237">
        <f t="shared" si="80"/>
        <v>322665.23957999988</v>
      </c>
      <c r="O812" s="361"/>
      <c r="P812" s="361"/>
      <c r="Q812" s="361" t="s">
        <v>698</v>
      </c>
      <c r="R812" s="362">
        <v>35</v>
      </c>
      <c r="S812" s="236"/>
      <c r="T812" s="364">
        <f t="shared" si="77"/>
        <v>322001</v>
      </c>
      <c r="U812" s="365">
        <f t="shared" si="81"/>
        <v>322665.23957999988</v>
      </c>
      <c r="V812" s="365">
        <f>IF($Q812="ekrk",IF($R812="data",IFERROR(INDEX(data!$A:$ALL,MATCH($M812,data!$A:$A,0),MATCH(V$2,data!$1:$1,0)),"#data"),IFERROR(U812*INDEX(indexy_SDcast!$A:$ALI,MATCH($R812,indexy_SDcast!$K:$K,0),MATCH(V$2,indexy_SDcast!$2:$2,0)),"#ekrk")),"#popis")</f>
        <v>413086.41123836924</v>
      </c>
      <c r="W812" s="365">
        <f>IF($Q812="ekrk",IF($R812="data",IFERROR(INDEX(data!$A:$ALL,MATCH($M812,data!$A:$A,0),MATCH(W$2,data!$1:$1,0)),"#data"),IFERROR(V812*INDEX(indexy_SDcast!$A:$ALI,MATCH($R812,indexy_SDcast!$K:$K,0),MATCH(W$2,indexy_SDcast!$2:$2,0)),"#ekrk")),"#popis")</f>
        <v>417730.04185863788</v>
      </c>
      <c r="X812" s="365">
        <f>IF($Q812="ekrk",IF($R812="data",IFERROR(INDEX(data!$A:$ALL,MATCH($M812,data!$A:$A,0),MATCH(X$2,data!$1:$1,0)),"#data"),IFERROR(W812*INDEX(indexy_SDcast!$A:$ALI,MATCH($R812,indexy_SDcast!$K:$K,0),MATCH(X$2,indexy_SDcast!$2:$2,0)),"#ekrk")),"#popis")</f>
        <v>268318.86251043191</v>
      </c>
      <c r="Y812" s="362">
        <f>IF($Q812="ekrk",IF($R812="data",IFERROR(INDEX(data!$A:$ALL,MATCH($M812,data!$A:$A,0),MATCH(Y$2,data!$1:$1,0)),"#data"),IFERROR(X812*INDEX(indexy_SDcast!$A:$ALI,MATCH($R812,indexy_SDcast!$K:$K,0),MATCH(Y$2,indexy_SDcast!$2:$2,0)),"#ekrk")),"#popis")</f>
        <v>362994.62699536508</v>
      </c>
    </row>
    <row r="813" spans="1:25" x14ac:dyDescent="0.25">
      <c r="A813" s="330">
        <v>322002</v>
      </c>
      <c r="B813" s="329">
        <v>12662.081829999999</v>
      </c>
      <c r="C813" s="157"/>
      <c r="D813" s="330">
        <v>322002</v>
      </c>
      <c r="E813" s="329">
        <v>12662.081829999999</v>
      </c>
      <c r="F813" s="157"/>
      <c r="G813" s="330">
        <v>322002</v>
      </c>
      <c r="H813" s="329">
        <v>12662.081829999999</v>
      </c>
      <c r="I813" s="157"/>
      <c r="J813" s="330">
        <v>322002</v>
      </c>
      <c r="K813" s="329">
        <v>12662.081829999999</v>
      </c>
      <c r="L813" s="157"/>
      <c r="M813" s="360">
        <f t="shared" si="79"/>
        <v>322002</v>
      </c>
      <c r="N813" s="237">
        <f t="shared" si="80"/>
        <v>12662.081829999999</v>
      </c>
      <c r="O813" s="361"/>
      <c r="P813" s="361"/>
      <c r="Q813" s="361" t="s">
        <v>698</v>
      </c>
      <c r="R813" s="362">
        <v>35</v>
      </c>
      <c r="S813" s="236"/>
      <c r="T813" s="364">
        <f t="shared" si="77"/>
        <v>322002</v>
      </c>
      <c r="U813" s="365">
        <f t="shared" si="81"/>
        <v>12662.081829999999</v>
      </c>
      <c r="V813" s="365">
        <f>IF($Q813="ekrk",IF($R813="data",IFERROR(INDEX(data!$A:$ALL,MATCH($M813,data!$A:$A,0),MATCH(V$2,data!$1:$1,0)),"#data"),IFERROR(U813*INDEX(indexy_SDcast!$A:$ALI,MATCH($R813,indexy_SDcast!$K:$K,0),MATCH(V$2,indexy_SDcast!$2:$2,0)),"#ekrk")),"#popis")</f>
        <v>16210.404159957343</v>
      </c>
      <c r="W813" s="365">
        <f>IF($Q813="ekrk",IF($R813="data",IFERROR(INDEX(data!$A:$ALL,MATCH($M813,data!$A:$A,0),MATCH(W$2,data!$1:$1,0)),"#data"),IFERROR(V813*INDEX(indexy_SDcast!$A:$ALI,MATCH($R813,indexy_SDcast!$K:$K,0),MATCH(W$2,indexy_SDcast!$2:$2,0)),"#ekrk")),"#popis")</f>
        <v>16392.630268287667</v>
      </c>
      <c r="X813" s="365">
        <f>IF($Q813="ekrk",IF($R813="data",IFERROR(INDEX(data!$A:$ALL,MATCH($M813,data!$A:$A,0),MATCH(X$2,data!$1:$1,0)),"#data"),IFERROR(W813*INDEX(indexy_SDcast!$A:$ALI,MATCH($R813,indexy_SDcast!$K:$K,0),MATCH(X$2,indexy_SDcast!$2:$2,0)),"#ekrk")),"#popis")</f>
        <v>10529.412458751251</v>
      </c>
      <c r="Y813" s="362">
        <f>IF($Q813="ekrk",IF($R813="data",IFERROR(INDEX(data!$A:$ALL,MATCH($M813,data!$A:$A,0),MATCH(Y$2,data!$1:$1,0)),"#data"),IFERROR(X813*INDEX(indexy_SDcast!$A:$ALI,MATCH($R813,indexy_SDcast!$K:$K,0),MATCH(Y$2,indexy_SDcast!$2:$2,0)),"#ekrk")),"#popis")</f>
        <v>14244.694212640979</v>
      </c>
    </row>
    <row r="814" spans="1:25" x14ac:dyDescent="0.25">
      <c r="A814" s="330">
        <v>322006</v>
      </c>
      <c r="B814" s="329">
        <v>421.13058999999998</v>
      </c>
      <c r="C814" s="157"/>
      <c r="D814" s="330">
        <v>322006</v>
      </c>
      <c r="E814" s="329">
        <v>421.13058999999998</v>
      </c>
      <c r="F814" s="157"/>
      <c r="G814" s="330">
        <v>322006</v>
      </c>
      <c r="H814" s="329">
        <v>421.13058999999998</v>
      </c>
      <c r="I814" s="157"/>
      <c r="J814" s="330">
        <v>322006</v>
      </c>
      <c r="K814" s="329">
        <v>421.13058999999998</v>
      </c>
      <c r="L814" s="157"/>
      <c r="M814" s="360">
        <f t="shared" si="79"/>
        <v>322006</v>
      </c>
      <c r="N814" s="237">
        <f t="shared" si="80"/>
        <v>421.13058999999998</v>
      </c>
      <c r="O814" s="361"/>
      <c r="P814" s="361"/>
      <c r="Q814" s="361" t="s">
        <v>698</v>
      </c>
      <c r="R814" s="362">
        <v>35</v>
      </c>
      <c r="S814" s="236"/>
      <c r="T814" s="364">
        <f t="shared" si="77"/>
        <v>322006</v>
      </c>
      <c r="U814" s="365">
        <f t="shared" si="81"/>
        <v>421.13058999999998</v>
      </c>
      <c r="V814" s="365">
        <f>IF($Q814="ekrk",IF($R814="data",IFERROR(INDEX(data!$A:$ALL,MATCH($M814,data!$A:$A,0),MATCH(V$2,data!$1:$1,0)),"#data"),IFERROR(U814*INDEX(indexy_SDcast!$A:$ALI,MATCH($R814,indexy_SDcast!$K:$K,0),MATCH(V$2,indexy_SDcast!$2:$2,0)),"#ekrk")),"#popis")</f>
        <v>539.14491784810161</v>
      </c>
      <c r="W814" s="365">
        <f>IF($Q814="ekrk",IF($R814="data",IFERROR(INDEX(data!$A:$ALL,MATCH($M814,data!$A:$A,0),MATCH(W$2,data!$1:$1,0)),"#data"),IFERROR(V814*INDEX(indexy_SDcast!$A:$ALI,MATCH($R814,indexy_SDcast!$K:$K,0),MATCH(W$2,indexy_SDcast!$2:$2,0)),"#ekrk")),"#popis")</f>
        <v>545.20561067451604</v>
      </c>
      <c r="X814" s="365">
        <f>IF($Q814="ekrk",IF($R814="data",IFERROR(INDEX(data!$A:$ALL,MATCH($M814,data!$A:$A,0),MATCH(X$2,data!$1:$1,0)),"#data"),IFERROR(W814*INDEX(indexy_SDcast!$A:$ALI,MATCH($R814,indexy_SDcast!$K:$K,0),MATCH(X$2,indexy_SDcast!$2:$2,0)),"#ekrk")),"#popis")</f>
        <v>350.19973339623135</v>
      </c>
      <c r="Y814" s="362">
        <f>IF($Q814="ekrk",IF($R814="data",IFERROR(INDEX(data!$A:$ALL,MATCH($M814,data!$A:$A,0),MATCH(Y$2,data!$1:$1,0)),"#data"),IFERROR(X814*INDEX(indexy_SDcast!$A:$ALI,MATCH($R814,indexy_SDcast!$K:$K,0),MATCH(Y$2,indexy_SDcast!$2:$2,0)),"#ekrk")),"#popis")</f>
        <v>473.76699650811543</v>
      </c>
    </row>
    <row r="815" spans="1:25" x14ac:dyDescent="0.25">
      <c r="A815" s="330">
        <v>322008</v>
      </c>
      <c r="B815" s="329">
        <v>17283.720820000002</v>
      </c>
      <c r="C815" s="157"/>
      <c r="D815" s="330">
        <v>322008</v>
      </c>
      <c r="E815" s="329">
        <v>17283.720820000002</v>
      </c>
      <c r="F815" s="157"/>
      <c r="G815" s="330">
        <v>322008</v>
      </c>
      <c r="H815" s="329">
        <v>17283.720820000002</v>
      </c>
      <c r="I815" s="157"/>
      <c r="J815" s="330">
        <v>322008</v>
      </c>
      <c r="K815" s="329">
        <v>17283.720820000002</v>
      </c>
      <c r="L815" s="157"/>
      <c r="M815" s="360">
        <f t="shared" si="79"/>
        <v>322008</v>
      </c>
      <c r="N815" s="237">
        <f t="shared" si="80"/>
        <v>17283.720820000002</v>
      </c>
      <c r="O815" s="361"/>
      <c r="P815" s="361"/>
      <c r="Q815" s="361" t="s">
        <v>698</v>
      </c>
      <c r="R815" s="362">
        <v>35</v>
      </c>
      <c r="S815" s="236"/>
      <c r="T815" s="364">
        <f t="shared" si="77"/>
        <v>322008</v>
      </c>
      <c r="U815" s="365">
        <f t="shared" si="81"/>
        <v>17283.720820000002</v>
      </c>
      <c r="V815" s="365">
        <f>IF($Q815="ekrk",IF($R815="data",IFERROR(INDEX(data!$A:$ALL,MATCH($M815,data!$A:$A,0),MATCH(V$2,data!$1:$1,0)),"#data"),IFERROR(U815*INDEX(indexy_SDcast!$A:$ALI,MATCH($R815,indexy_SDcast!$K:$K,0),MATCH(V$2,indexy_SDcast!$2:$2,0)),"#ekrk")),"#popis")</f>
        <v>22127.174949719101</v>
      </c>
      <c r="W815" s="365">
        <f>IF($Q815="ekrk",IF($R815="data",IFERROR(INDEX(data!$A:$ALL,MATCH($M815,data!$A:$A,0),MATCH(W$2,data!$1:$1,0)),"#data"),IFERROR(V815*INDEX(indexy_SDcast!$A:$ALI,MATCH($R815,indexy_SDcast!$K:$K,0),MATCH(W$2,indexy_SDcast!$2:$2,0)),"#ekrk")),"#popis")</f>
        <v>22375.913287125375</v>
      </c>
      <c r="X815" s="365">
        <f>IF($Q815="ekrk",IF($R815="data",IFERROR(INDEX(data!$A:$ALL,MATCH($M815,data!$A:$A,0),MATCH(X$2,data!$1:$1,0)),"#data"),IFERROR(W815*INDEX(indexy_SDcast!$A:$ALI,MATCH($R815,indexy_SDcast!$K:$K,0),MATCH(X$2,indexy_SDcast!$2:$2,0)),"#ekrk")),"#popis")</f>
        <v>14372.630644710216</v>
      </c>
      <c r="Y815" s="362">
        <f>IF($Q815="ekrk",IF($R815="data",IFERROR(INDEX(data!$A:$ALL,MATCH($M815,data!$A:$A,0),MATCH(Y$2,data!$1:$1,0)),"#data"),IFERROR(X815*INDEX(indexy_SDcast!$A:$ALI,MATCH($R815,indexy_SDcast!$K:$K,0),MATCH(Y$2,indexy_SDcast!$2:$2,0)),"#ekrk")),"#popis")</f>
        <v>19443.984112804967</v>
      </c>
    </row>
    <row r="816" spans="1:25" x14ac:dyDescent="0.25">
      <c r="A816" s="330">
        <v>324000</v>
      </c>
      <c r="B816" s="329">
        <v>135.66034000000002</v>
      </c>
      <c r="C816" s="157"/>
      <c r="D816" s="330">
        <v>324000</v>
      </c>
      <c r="E816" s="329">
        <v>135.66034000000002</v>
      </c>
      <c r="F816" s="157"/>
      <c r="G816" s="330">
        <v>324000</v>
      </c>
      <c r="H816" s="329">
        <v>135.66034000000002</v>
      </c>
      <c r="I816" s="157"/>
      <c r="J816" s="330">
        <v>324000</v>
      </c>
      <c r="K816" s="329">
        <v>135.66034000000002</v>
      </c>
      <c r="L816" s="157"/>
      <c r="M816" s="360">
        <f t="shared" si="79"/>
        <v>324000</v>
      </c>
      <c r="N816" s="237">
        <f t="shared" si="80"/>
        <v>135.66034000000002</v>
      </c>
      <c r="O816" s="361"/>
      <c r="P816" s="361"/>
      <c r="Q816" s="361" t="s">
        <v>698</v>
      </c>
      <c r="R816" s="362">
        <v>35</v>
      </c>
      <c r="S816" s="236"/>
      <c r="T816" s="364">
        <f t="shared" si="77"/>
        <v>324000</v>
      </c>
      <c r="U816" s="365">
        <f t="shared" si="81"/>
        <v>135.66034000000002</v>
      </c>
      <c r="V816" s="365">
        <f>IF($Q816="ekrk",IF($R816="data",IFERROR(INDEX(data!$A:$ALL,MATCH($M816,data!$A:$A,0),MATCH(V$2,data!$1:$1,0)),"#data"),IFERROR(U816*INDEX(indexy_SDcast!$A:$ALI,MATCH($R816,indexy_SDcast!$K:$K,0),MATCH(V$2,indexy_SDcast!$2:$2,0)),"#ekrk")),"#popis")</f>
        <v>173.67672784004017</v>
      </c>
      <c r="W816" s="365">
        <f>IF($Q816="ekrk",IF($R816="data",IFERROR(INDEX(data!$A:$ALL,MATCH($M816,data!$A:$A,0),MATCH(W$2,data!$1:$1,0)),"#data"),IFERROR(V816*INDEX(indexy_SDcast!$A:$ALI,MATCH($R816,indexy_SDcast!$K:$K,0),MATCH(W$2,indexy_SDcast!$2:$2,0)),"#ekrk")),"#popis")</f>
        <v>175.62908102689116</v>
      </c>
      <c r="X816" s="365">
        <f>IF($Q816="ekrk",IF($R816="data",IFERROR(INDEX(data!$A:$ALL,MATCH($M816,data!$A:$A,0),MATCH(X$2,data!$1:$1,0)),"#data"),IFERROR(W816*INDEX(indexy_SDcast!$A:$ALI,MATCH($R816,indexy_SDcast!$K:$K,0),MATCH(X$2,indexy_SDcast!$2:$2,0)),"#ekrk")),"#popis")</f>
        <v>112.811123268063</v>
      </c>
      <c r="Y816" s="362">
        <f>IF($Q816="ekrk",IF($R816="data",IFERROR(INDEX(data!$A:$ALL,MATCH($M816,data!$A:$A,0),MATCH(Y$2,data!$1:$1,0)),"#data"),IFERROR(X816*INDEX(indexy_SDcast!$A:$ALI,MATCH($R816,indexy_SDcast!$K:$K,0),MATCH(Y$2,indexy_SDcast!$2:$2,0)),"#ekrk")),"#popis")</f>
        <v>152.61629849085469</v>
      </c>
    </row>
    <row r="817" spans="1:44" s="18" customFormat="1" x14ac:dyDescent="0.25">
      <c r="A817" s="333" t="s">
        <v>741</v>
      </c>
      <c r="B817" s="334">
        <v>-38419.080549999984</v>
      </c>
      <c r="C817" s="164"/>
      <c r="D817" s="333" t="s">
        <v>741</v>
      </c>
      <c r="E817" s="334">
        <v>-38419.080549999984</v>
      </c>
      <c r="F817" s="164"/>
      <c r="G817" s="333" t="s">
        <v>741</v>
      </c>
      <c r="H817" s="334">
        <v>-38419.080549999984</v>
      </c>
      <c r="I817" s="164"/>
      <c r="J817" s="333" t="s">
        <v>741</v>
      </c>
      <c r="K817" s="334">
        <v>-38419.080549999984</v>
      </c>
      <c r="L817" s="164"/>
      <c r="M817" s="358" t="str">
        <f t="shared" si="79"/>
        <v>D92PAY</v>
      </c>
      <c r="N817" s="239">
        <f t="shared" si="80"/>
        <v>-38419.080549999984</v>
      </c>
      <c r="O817" s="243"/>
      <c r="P817" s="243">
        <f>MATCH(Q817,Q818:Q$1550,0)</f>
        <v>11</v>
      </c>
      <c r="Q817" s="243" t="s">
        <v>697</v>
      </c>
      <c r="R817" s="359"/>
      <c r="S817" s="240"/>
      <c r="T817" s="363" t="str">
        <f t="shared" si="77"/>
        <v>D92PAY</v>
      </c>
      <c r="U817" s="244">
        <f>SUM(U818:U827)</f>
        <v>-38419.080549999984</v>
      </c>
      <c r="V817" s="244">
        <f>SUM(V818:V827)</f>
        <v>-49185.341836434491</v>
      </c>
      <c r="W817" s="244">
        <f>SUM(W818:W827)</f>
        <v>-49738.249298907875</v>
      </c>
      <c r="X817" s="244">
        <f>SUM(X818:X827)</f>
        <v>-31948.170200455712</v>
      </c>
      <c r="Y817" s="359">
        <f>SUM(Y818:Y827)</f>
        <v>-43221.017026516281</v>
      </c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8"/>
      <c r="AN817" s="58"/>
      <c r="AO817" s="58"/>
      <c r="AP817" s="58"/>
      <c r="AQ817" s="58"/>
      <c r="AR817" s="58"/>
    </row>
    <row r="818" spans="1:44" x14ac:dyDescent="0.25">
      <c r="A818" s="330">
        <v>722001</v>
      </c>
      <c r="B818" s="329">
        <v>-56.896690000000035</v>
      </c>
      <c r="C818" s="157"/>
      <c r="D818" s="330">
        <v>722001</v>
      </c>
      <c r="E818" s="329">
        <v>-56.896690000000035</v>
      </c>
      <c r="F818" s="157"/>
      <c r="G818" s="330">
        <v>722001</v>
      </c>
      <c r="H818" s="329">
        <v>-56.896690000000035</v>
      </c>
      <c r="I818" s="157"/>
      <c r="J818" s="330">
        <v>722001</v>
      </c>
      <c r="K818" s="329">
        <v>-56.896690000000035</v>
      </c>
      <c r="L818" s="157"/>
      <c r="M818" s="360">
        <f t="shared" si="79"/>
        <v>722001</v>
      </c>
      <c r="N818" s="237">
        <f t="shared" si="80"/>
        <v>-56.896690000000035</v>
      </c>
      <c r="O818" s="361"/>
      <c r="P818" s="361"/>
      <c r="Q818" s="361" t="s">
        <v>698</v>
      </c>
      <c r="R818" s="362">
        <v>35</v>
      </c>
      <c r="S818" s="236"/>
      <c r="T818" s="364">
        <f t="shared" si="77"/>
        <v>722001</v>
      </c>
      <c r="U818" s="365">
        <f t="shared" ref="U818:U826" si="82">N818</f>
        <v>-56.896690000000035</v>
      </c>
      <c r="V818" s="365">
        <f>IF($Q818="ekrk",IF($R818="data",IFERROR(INDEX(data!$A:$ALL,MATCH($M818,data!$A:$A,0),MATCH(V$2,data!$1:$1,0)),"#data"),IFERROR(U818*INDEX(indexy_SDcast!$A:$ALI,MATCH($R818,indexy_SDcast!$K:$K,0),MATCH(V$2,indexy_SDcast!$2:$2,0)),"#ekrk")),"#popis")</f>
        <v>-72.840971385809155</v>
      </c>
      <c r="W818" s="365">
        <f>IF($Q818="ekrk",IF($R818="data",IFERROR(INDEX(data!$A:$ALL,MATCH($M818,data!$A:$A,0),MATCH(W$2,data!$1:$1,0)),"#data"),IFERROR(V818*INDEX(indexy_SDcast!$A:$ALI,MATCH($R818,indexy_SDcast!$K:$K,0),MATCH(W$2,indexy_SDcast!$2:$2,0)),"#ekrk")),"#popis")</f>
        <v>-73.659799011058908</v>
      </c>
      <c r="X818" s="365">
        <f>IF($Q818="ekrk",IF($R818="data",IFERROR(INDEX(data!$A:$ALL,MATCH($M818,data!$A:$A,0),MATCH(X$2,data!$1:$1,0)),"#data"),IFERROR(W818*INDEX(indexy_SDcast!$A:$ALI,MATCH($R818,indexy_SDcast!$K:$K,0),MATCH(X$2,indexy_SDcast!$2:$2,0)),"#ekrk")),"#popis")</f>
        <v>-47.313603291387686</v>
      </c>
      <c r="Y818" s="362">
        <f>IF($Q818="ekrk",IF($R818="data",IFERROR(INDEX(data!$A:$ALL,MATCH($M818,data!$A:$A,0),MATCH(Y$2,data!$1:$1,0)),"#data"),IFERROR(X818*INDEX(indexy_SDcast!$A:$ALI,MATCH($R818,indexy_SDcast!$K:$K,0),MATCH(Y$2,indexy_SDcast!$2:$2,0)),"#ekrk")),"#popis")</f>
        <v>-64.008111907884313</v>
      </c>
    </row>
    <row r="819" spans="1:44" x14ac:dyDescent="0.25">
      <c r="A819" s="330">
        <v>722002</v>
      </c>
      <c r="B819" s="329">
        <v>-32.455589999999987</v>
      </c>
      <c r="C819" s="157"/>
      <c r="D819" s="330">
        <v>722002</v>
      </c>
      <c r="E819" s="329">
        <v>-32.455589999999987</v>
      </c>
      <c r="F819" s="157"/>
      <c r="G819" s="330">
        <v>722002</v>
      </c>
      <c r="H819" s="329">
        <v>-32.455589999999987</v>
      </c>
      <c r="I819" s="157"/>
      <c r="J819" s="330">
        <v>722002</v>
      </c>
      <c r="K819" s="329">
        <v>-32.455589999999987</v>
      </c>
      <c r="L819" s="157"/>
      <c r="M819" s="360">
        <f t="shared" si="79"/>
        <v>722002</v>
      </c>
      <c r="N819" s="237">
        <f t="shared" si="80"/>
        <v>-32.455589999999987</v>
      </c>
      <c r="O819" s="361"/>
      <c r="P819" s="361"/>
      <c r="Q819" s="361" t="s">
        <v>698</v>
      </c>
      <c r="R819" s="362">
        <v>35</v>
      </c>
      <c r="S819" s="236"/>
      <c r="T819" s="364">
        <f t="shared" si="77"/>
        <v>722002</v>
      </c>
      <c r="U819" s="365">
        <f t="shared" si="82"/>
        <v>-32.455589999999987</v>
      </c>
      <c r="V819" s="365">
        <f>IF($Q819="ekrk",IF($R819="data",IFERROR(INDEX(data!$A:$ALL,MATCH($M819,data!$A:$A,0),MATCH(V$2,data!$1:$1,0)),"#data"),IFERROR(U819*INDEX(indexy_SDcast!$A:$ALI,MATCH($R819,indexy_SDcast!$K:$K,0),MATCH(V$2,indexy_SDcast!$2:$2,0)),"#ekrk")),"#popis")</f>
        <v>-41.550689548013267</v>
      </c>
      <c r="W819" s="365">
        <f>IF($Q819="ekrk",IF($R819="data",IFERROR(INDEX(data!$A:$ALL,MATCH($M819,data!$A:$A,0),MATCH(W$2,data!$1:$1,0)),"#data"),IFERROR(V819*INDEX(indexy_SDcast!$A:$ALI,MATCH($R819,indexy_SDcast!$K:$K,0),MATCH(W$2,indexy_SDcast!$2:$2,0)),"#ekrk")),"#popis")</f>
        <v>-42.017773550365241</v>
      </c>
      <c r="X819" s="365">
        <f>IF($Q819="ekrk",IF($R819="data",IFERROR(INDEX(data!$A:$ALL,MATCH($M819,data!$A:$A,0),MATCH(X$2,data!$1:$1,0)),"#data"),IFERROR(W819*INDEX(indexy_SDcast!$A:$ALI,MATCH($R819,indexy_SDcast!$K:$K,0),MATCH(X$2,indexy_SDcast!$2:$2,0)),"#ekrk")),"#popis")</f>
        <v>-26.989107975313281</v>
      </c>
      <c r="Y819" s="362">
        <f>IF($Q819="ekrk",IF($R819="data",IFERROR(INDEX(data!$A:$ALL,MATCH($M819,data!$A:$A,0),MATCH(Y$2,data!$1:$1,0)),"#data"),IFERROR(X819*INDEX(indexy_SDcast!$A:$ALI,MATCH($R819,indexy_SDcast!$K:$K,0),MATCH(Y$2,indexy_SDcast!$2:$2,0)),"#ekrk")),"#popis")</f>
        <v>-36.512159789197028</v>
      </c>
    </row>
    <row r="820" spans="1:44" x14ac:dyDescent="0.25">
      <c r="A820" s="330">
        <v>722003</v>
      </c>
      <c r="B820" s="329">
        <v>-45.29242000000113</v>
      </c>
      <c r="C820" s="157"/>
      <c r="D820" s="330">
        <v>722003</v>
      </c>
      <c r="E820" s="329">
        <v>-45.29242000000113</v>
      </c>
      <c r="F820" s="157"/>
      <c r="G820" s="330">
        <v>722003</v>
      </c>
      <c r="H820" s="329">
        <v>-45.29242000000113</v>
      </c>
      <c r="I820" s="157"/>
      <c r="J820" s="330">
        <v>722003</v>
      </c>
      <c r="K820" s="329">
        <v>-45.29242000000113</v>
      </c>
      <c r="L820" s="157"/>
      <c r="M820" s="360">
        <f t="shared" si="79"/>
        <v>722003</v>
      </c>
      <c r="N820" s="237">
        <f t="shared" si="80"/>
        <v>-45.29242000000113</v>
      </c>
      <c r="O820" s="361"/>
      <c r="P820" s="361"/>
      <c r="Q820" s="361" t="s">
        <v>698</v>
      </c>
      <c r="R820" s="362">
        <v>35</v>
      </c>
      <c r="S820" s="236"/>
      <c r="T820" s="364">
        <f t="shared" si="77"/>
        <v>722003</v>
      </c>
      <c r="U820" s="365">
        <f t="shared" si="82"/>
        <v>-45.29242000000113</v>
      </c>
      <c r="V820" s="365">
        <f>IF($Q820="ekrk",IF($R820="data",IFERROR(INDEX(data!$A:$ALL,MATCH($M820,data!$A:$A,0),MATCH(V$2,data!$1:$1,0)),"#data"),IFERROR(U820*INDEX(indexy_SDcast!$A:$ALI,MATCH($R820,indexy_SDcast!$K:$K,0),MATCH(V$2,indexy_SDcast!$2:$2,0)),"#ekrk")),"#popis")</f>
        <v>-57.984811932190262</v>
      </c>
      <c r="W820" s="365">
        <f>IF($Q820="ekrk",IF($R820="data",IFERROR(INDEX(data!$A:$ALL,MATCH($M820,data!$A:$A,0),MATCH(W$2,data!$1:$1,0)),"#data"),IFERROR(V820*INDEX(indexy_SDcast!$A:$ALI,MATCH($R820,indexy_SDcast!$K:$K,0),MATCH(W$2,indexy_SDcast!$2:$2,0)),"#ekrk")),"#popis")</f>
        <v>-58.636636927816809</v>
      </c>
      <c r="X820" s="365">
        <f>IF($Q820="ekrk",IF($R820="data",IFERROR(INDEX(data!$A:$ALL,MATCH($M820,data!$A:$A,0),MATCH(X$2,data!$1:$1,0)),"#data"),IFERROR(W820*INDEX(indexy_SDcast!$A:$ALI,MATCH($R820,indexy_SDcast!$K:$K,0),MATCH(X$2,indexy_SDcast!$2:$2,0)),"#ekrk")),"#popis")</f>
        <v>-37.663835839781981</v>
      </c>
      <c r="Y820" s="362">
        <f>IF($Q820="ekrk",IF($R820="data",IFERROR(INDEX(data!$A:$ALL,MATCH($M820,data!$A:$A,0),MATCH(Y$2,data!$1:$1,0)),"#data"),IFERROR(X820*INDEX(indexy_SDcast!$A:$ALI,MATCH($R820,indexy_SDcast!$K:$K,0),MATCH(Y$2,indexy_SDcast!$2:$2,0)),"#ekrk")),"#popis")</f>
        <v>-50.953443652679397</v>
      </c>
    </row>
    <row r="821" spans="1:44" x14ac:dyDescent="0.25">
      <c r="A821" s="330">
        <v>723001</v>
      </c>
      <c r="B821" s="329">
        <v>7.73070496506989E-12</v>
      </c>
      <c r="C821" s="157"/>
      <c r="D821" s="330">
        <v>723001</v>
      </c>
      <c r="E821" s="329">
        <v>7.73070496506989E-12</v>
      </c>
      <c r="F821" s="157"/>
      <c r="G821" s="330">
        <v>723001</v>
      </c>
      <c r="H821" s="349">
        <f>E821+E827</f>
        <v>-37504.461049999991</v>
      </c>
      <c r="I821" s="157"/>
      <c r="J821" s="330">
        <v>723001</v>
      </c>
      <c r="K821" s="329">
        <f>H821+H827</f>
        <v>-37504.461049999991</v>
      </c>
      <c r="L821" s="157"/>
      <c r="M821" s="360">
        <f t="shared" si="79"/>
        <v>723001</v>
      </c>
      <c r="N821" s="237">
        <f t="shared" si="80"/>
        <v>-37504.461049999991</v>
      </c>
      <c r="O821" s="361"/>
      <c r="P821" s="361"/>
      <c r="Q821" s="361" t="s">
        <v>698</v>
      </c>
      <c r="R821" s="362">
        <v>35</v>
      </c>
      <c r="S821" s="236"/>
      <c r="T821" s="364">
        <f t="shared" si="77"/>
        <v>723001</v>
      </c>
      <c r="U821" s="365">
        <f t="shared" si="82"/>
        <v>-37504.461049999991</v>
      </c>
      <c r="V821" s="365">
        <f>IF($Q821="ekrk",IF($R821="data",IFERROR(INDEX(data!$A:$ALL,MATCH($M821,data!$A:$A,0),MATCH(V$2,data!$1:$1,0)),"#data"),IFERROR(U821*INDEX(indexy_SDcast!$A:$ALI,MATCH($R821,indexy_SDcast!$K:$K,0),MATCH(V$2,indexy_SDcast!$2:$2,0)),"#ekrk")),"#popis")</f>
        <v>-48014.416553638555</v>
      </c>
      <c r="W821" s="365">
        <f>IF($Q821="ekrk",IF($R821="data",IFERROR(INDEX(data!$A:$ALL,MATCH($M821,data!$A:$A,0),MATCH(W$2,data!$1:$1,0)),"#data"),IFERROR(V821*INDEX(indexy_SDcast!$A:$ALI,MATCH($R821,indexy_SDcast!$K:$K,0),MATCH(W$2,indexy_SDcast!$2:$2,0)),"#ekrk")),"#popis")</f>
        <v>-48554.161287081624</v>
      </c>
      <c r="X821" s="365">
        <f>IF($Q821="ekrk",IF($R821="data",IFERROR(INDEX(data!$A:$ALL,MATCH($M821,data!$A:$A,0),MATCH(X$2,data!$1:$1,0)),"#data"),IFERROR(W821*INDEX(indexy_SDcast!$A:$ALI,MATCH($R821,indexy_SDcast!$K:$K,0),MATCH(X$2,indexy_SDcast!$2:$2,0)),"#ekrk")),"#popis")</f>
        <v>-31187.599696520119</v>
      </c>
      <c r="Y821" s="362">
        <f>IF($Q821="ekrk",IF($R821="data",IFERROR(INDEX(data!$A:$ALL,MATCH($M821,data!$A:$A,0),MATCH(Y$2,data!$1:$1,0)),"#data"),IFERROR(X821*INDEX(indexy_SDcast!$A:$ALI,MATCH($R821,indexy_SDcast!$K:$K,0),MATCH(Y$2,indexy_SDcast!$2:$2,0)),"#ekrk")),"#popis")</f>
        <v>-42192.080768376611</v>
      </c>
    </row>
    <row r="822" spans="1:44" x14ac:dyDescent="0.25">
      <c r="A822" s="330">
        <v>723002</v>
      </c>
      <c r="B822" s="329">
        <v>5.4569682106375694E-12</v>
      </c>
      <c r="C822" s="157"/>
      <c r="D822" s="330">
        <v>723002</v>
      </c>
      <c r="E822" s="329">
        <v>5.4569682106375694E-12</v>
      </c>
      <c r="F822" s="157"/>
      <c r="G822" s="330">
        <v>723002</v>
      </c>
      <c r="H822" s="329">
        <v>5.4569682106375694E-12</v>
      </c>
      <c r="I822" s="157"/>
      <c r="J822" s="330">
        <v>723002</v>
      </c>
      <c r="K822" s="329">
        <v>5.4569682106375694E-12</v>
      </c>
      <c r="L822" s="157"/>
      <c r="M822" s="360">
        <f t="shared" si="79"/>
        <v>723002</v>
      </c>
      <c r="N822" s="237">
        <f t="shared" si="80"/>
        <v>5.4569682106375694E-12</v>
      </c>
      <c r="O822" s="361"/>
      <c r="P822" s="361"/>
      <c r="Q822" s="361" t="s">
        <v>698</v>
      </c>
      <c r="R822" s="362">
        <v>35</v>
      </c>
      <c r="S822" s="236"/>
      <c r="T822" s="364">
        <f t="shared" si="77"/>
        <v>723002</v>
      </c>
      <c r="U822" s="365">
        <f t="shared" si="82"/>
        <v>5.4569682106375694E-12</v>
      </c>
      <c r="V822" s="365">
        <f>IF($Q822="ekrk",IF($R822="data",IFERROR(INDEX(data!$A:$ALL,MATCH($M822,data!$A:$A,0),MATCH(V$2,data!$1:$1,0)),"#data"),IFERROR(U822*INDEX(indexy_SDcast!$A:$ALI,MATCH($R822,indexy_SDcast!$K:$K,0),MATCH(V$2,indexy_SDcast!$2:$2,0)),"#ekrk")),"#popis")</f>
        <v>6.9861861082660711E-12</v>
      </c>
      <c r="W822" s="365">
        <f>IF($Q822="ekrk",IF($R822="data",IFERROR(INDEX(data!$A:$ALL,MATCH($M822,data!$A:$A,0),MATCH(W$2,data!$1:$1,0)),"#data"),IFERROR(V822*INDEX(indexy_SDcast!$A:$ALI,MATCH($R822,indexy_SDcast!$K:$K,0),MATCH(W$2,indexy_SDcast!$2:$2,0)),"#ekrk")),"#popis")</f>
        <v>7.0647199618343496E-12</v>
      </c>
      <c r="X822" s="365">
        <f>IF($Q822="ekrk",IF($R822="data",IFERROR(INDEX(data!$A:$ALL,MATCH($M822,data!$A:$A,0),MATCH(X$2,data!$1:$1,0)),"#data"),IFERROR(W822*INDEX(indexy_SDcast!$A:$ALI,MATCH($R822,indexy_SDcast!$K:$K,0),MATCH(X$2,indexy_SDcast!$2:$2,0)),"#ekrk")),"#popis")</f>
        <v>4.5378532405280424E-12</v>
      </c>
      <c r="Y822" s="362">
        <f>IF($Q822="ekrk",IF($R822="data",IFERROR(INDEX(data!$A:$ALL,MATCH($M822,data!$A:$A,0),MATCH(Y$2,data!$1:$1,0)),"#data"),IFERROR(X822*INDEX(indexy_SDcast!$A:$ALI,MATCH($R822,indexy_SDcast!$K:$K,0),MATCH(Y$2,indexy_SDcast!$2:$2,0)),"#ekrk")),"#popis")</f>
        <v>6.1390255198370324E-12</v>
      </c>
    </row>
    <row r="823" spans="1:44" x14ac:dyDescent="0.25">
      <c r="A823" s="330">
        <v>723003</v>
      </c>
      <c r="B823" s="329">
        <v>2.2737367544323206E-13</v>
      </c>
      <c r="C823" s="157"/>
      <c r="D823" s="330">
        <v>723003</v>
      </c>
      <c r="E823" s="329">
        <v>2.2737367544323206E-13</v>
      </c>
      <c r="F823" s="157"/>
      <c r="G823" s="330">
        <v>723003</v>
      </c>
      <c r="H823" s="329">
        <v>2.2737367544323206E-13</v>
      </c>
      <c r="I823" s="157"/>
      <c r="J823" s="330">
        <v>723003</v>
      </c>
      <c r="K823" s="329">
        <v>2.2737367544323206E-13</v>
      </c>
      <c r="L823" s="157"/>
      <c r="M823" s="360">
        <f t="shared" si="79"/>
        <v>723003</v>
      </c>
      <c r="N823" s="237">
        <f t="shared" si="80"/>
        <v>2.2737367544323206E-13</v>
      </c>
      <c r="O823" s="361"/>
      <c r="P823" s="361"/>
      <c r="Q823" s="361" t="s">
        <v>698</v>
      </c>
      <c r="R823" s="362">
        <v>35</v>
      </c>
      <c r="S823" s="236"/>
      <c r="T823" s="364">
        <f t="shared" si="77"/>
        <v>723003</v>
      </c>
      <c r="U823" s="365">
        <f t="shared" si="82"/>
        <v>2.2737367544323206E-13</v>
      </c>
      <c r="V823" s="365">
        <f>IF($Q823="ekrk",IF($R823="data",IFERROR(INDEX(data!$A:$ALL,MATCH($M823,data!$A:$A,0),MATCH(V$2,data!$1:$1,0)),"#data"),IFERROR(U823*INDEX(indexy_SDcast!$A:$ALI,MATCH($R823,indexy_SDcast!$K:$K,0),MATCH(V$2,indexy_SDcast!$2:$2,0)),"#ekrk")),"#popis")</f>
        <v>2.9109108784441965E-13</v>
      </c>
      <c r="W823" s="365">
        <f>IF($Q823="ekrk",IF($R823="data",IFERROR(INDEX(data!$A:$ALL,MATCH($M823,data!$A:$A,0),MATCH(W$2,data!$1:$1,0)),"#data"),IFERROR(V823*INDEX(indexy_SDcast!$A:$ALI,MATCH($R823,indexy_SDcast!$K:$K,0),MATCH(W$2,indexy_SDcast!$2:$2,0)),"#ekrk")),"#popis")</f>
        <v>2.9436333174309792E-13</v>
      </c>
      <c r="X823" s="365">
        <f>IF($Q823="ekrk",IF($R823="data",IFERROR(INDEX(data!$A:$ALL,MATCH($M823,data!$A:$A,0),MATCH(X$2,data!$1:$1,0)),"#data"),IFERROR(W823*INDEX(indexy_SDcast!$A:$ALI,MATCH($R823,indexy_SDcast!$K:$K,0),MATCH(X$2,indexy_SDcast!$2:$2,0)),"#ekrk")),"#popis")</f>
        <v>1.8907721835533511E-13</v>
      </c>
      <c r="Y823" s="362">
        <f>IF($Q823="ekrk",IF($R823="data",IFERROR(INDEX(data!$A:$ALL,MATCH($M823,data!$A:$A,0),MATCH(Y$2,data!$1:$1,0)),"#data"),IFERROR(X823*INDEX(indexy_SDcast!$A:$ALI,MATCH($R823,indexy_SDcast!$K:$K,0),MATCH(Y$2,indexy_SDcast!$2:$2,0)),"#ekrk")),"#popis")</f>
        <v>2.557927299932097E-13</v>
      </c>
    </row>
    <row r="824" spans="1:44" x14ac:dyDescent="0.25">
      <c r="A824" s="330">
        <v>723005</v>
      </c>
      <c r="B824" s="329">
        <v>0</v>
      </c>
      <c r="C824" s="157"/>
      <c r="D824" s="330">
        <v>723005</v>
      </c>
      <c r="E824" s="329">
        <v>0</v>
      </c>
      <c r="F824" s="157"/>
      <c r="G824" s="330">
        <v>723005</v>
      </c>
      <c r="H824" s="329">
        <v>0</v>
      </c>
      <c r="I824" s="157"/>
      <c r="J824" s="330">
        <v>723005</v>
      </c>
      <c r="K824" s="329">
        <v>0</v>
      </c>
      <c r="L824" s="157"/>
      <c r="M824" s="360">
        <f t="shared" si="79"/>
        <v>723005</v>
      </c>
      <c r="N824" s="237">
        <f t="shared" si="80"/>
        <v>0</v>
      </c>
      <c r="O824" s="361"/>
      <c r="P824" s="361"/>
      <c r="Q824" s="361" t="s">
        <v>698</v>
      </c>
      <c r="R824" s="362">
        <v>35</v>
      </c>
      <c r="S824" s="236"/>
      <c r="T824" s="364">
        <f t="shared" si="77"/>
        <v>723005</v>
      </c>
      <c r="U824" s="365">
        <f t="shared" si="82"/>
        <v>0</v>
      </c>
      <c r="V824" s="365">
        <f>IF($Q824="ekrk",IF($R824="data",IFERROR(INDEX(data!$A:$ALL,MATCH($M824,data!$A:$A,0),MATCH(V$2,data!$1:$1,0)),"#data"),IFERROR(U824*INDEX(indexy_SDcast!$A:$ALI,MATCH($R824,indexy_SDcast!$K:$K,0),MATCH(V$2,indexy_SDcast!$2:$2,0)),"#ekrk")),"#popis")</f>
        <v>0</v>
      </c>
      <c r="W824" s="365">
        <f>IF($Q824="ekrk",IF($R824="data",IFERROR(INDEX(data!$A:$ALL,MATCH($M824,data!$A:$A,0),MATCH(W$2,data!$1:$1,0)),"#data"),IFERROR(V824*INDEX(indexy_SDcast!$A:$ALI,MATCH($R824,indexy_SDcast!$K:$K,0),MATCH(W$2,indexy_SDcast!$2:$2,0)),"#ekrk")),"#popis")</f>
        <v>0</v>
      </c>
      <c r="X824" s="365">
        <f>IF($Q824="ekrk",IF($R824="data",IFERROR(INDEX(data!$A:$ALL,MATCH($M824,data!$A:$A,0),MATCH(X$2,data!$1:$1,0)),"#data"),IFERROR(W824*INDEX(indexy_SDcast!$A:$ALI,MATCH($R824,indexy_SDcast!$K:$K,0),MATCH(X$2,indexy_SDcast!$2:$2,0)),"#ekrk")),"#popis")</f>
        <v>0</v>
      </c>
      <c r="Y824" s="362">
        <f>IF($Q824="ekrk",IF($R824="data",IFERROR(INDEX(data!$A:$ALL,MATCH($M824,data!$A:$A,0),MATCH(Y$2,data!$1:$1,0)),"#data"),IFERROR(X824*INDEX(indexy_SDcast!$A:$ALI,MATCH($R824,indexy_SDcast!$K:$K,0),MATCH(Y$2,indexy_SDcast!$2:$2,0)),"#ekrk")),"#popis")</f>
        <v>0</v>
      </c>
    </row>
    <row r="825" spans="1:44" x14ac:dyDescent="0.25">
      <c r="A825" s="330">
        <v>725001</v>
      </c>
      <c r="B825" s="329">
        <v>-687.14865999999995</v>
      </c>
      <c r="C825" s="157"/>
      <c r="D825" s="330">
        <v>725001</v>
      </c>
      <c r="E825" s="329">
        <v>-687.14865999999995</v>
      </c>
      <c r="F825" s="157"/>
      <c r="G825" s="330">
        <v>725001</v>
      </c>
      <c r="H825" s="329">
        <v>-687.14865999999995</v>
      </c>
      <c r="I825" s="157"/>
      <c r="J825" s="330">
        <v>725001</v>
      </c>
      <c r="K825" s="329">
        <v>-687.14865999999995</v>
      </c>
      <c r="L825" s="157"/>
      <c r="M825" s="360">
        <f t="shared" si="79"/>
        <v>725001</v>
      </c>
      <c r="N825" s="237">
        <f t="shared" si="80"/>
        <v>-687.14865999999995</v>
      </c>
      <c r="O825" s="361"/>
      <c r="P825" s="361"/>
      <c r="Q825" s="361" t="s">
        <v>698</v>
      </c>
      <c r="R825" s="362">
        <v>35</v>
      </c>
      <c r="S825" s="236"/>
      <c r="T825" s="364">
        <f t="shared" ref="T825:T888" si="83">M825</f>
        <v>725001</v>
      </c>
      <c r="U825" s="365">
        <f t="shared" si="82"/>
        <v>-687.14865999999995</v>
      </c>
      <c r="V825" s="365">
        <f>IF($Q825="ekrk",IF($R825="data",IFERROR(INDEX(data!$A:$ALL,MATCH($M825,data!$A:$A,0),MATCH(V$2,data!$1:$1,0)),"#data"),IFERROR(U825*INDEX(indexy_SDcast!$A:$ALI,MATCH($R825,indexy_SDcast!$K:$K,0),MATCH(V$2,indexy_SDcast!$2:$2,0)),"#ekrk")),"#popis")</f>
        <v>-879.70980176275748</v>
      </c>
      <c r="W825" s="365">
        <f>IF($Q825="ekrk",IF($R825="data",IFERROR(INDEX(data!$A:$ALL,MATCH($M825,data!$A:$A,0),MATCH(W$2,data!$1:$1,0)),"#data"),IFERROR(V825*INDEX(indexy_SDcast!$A:$ALI,MATCH($R825,indexy_SDcast!$K:$K,0),MATCH(W$2,indexy_SDcast!$2:$2,0)),"#ekrk")),"#popis")</f>
        <v>-889.59888855253985</v>
      </c>
      <c r="X825" s="365">
        <f>IF($Q825="ekrk",IF($R825="data",IFERROR(INDEX(data!$A:$ALL,MATCH($M825,data!$A:$A,0),MATCH(X$2,data!$1:$1,0)),"#data"),IFERROR(W825*INDEX(indexy_SDcast!$A:$ALI,MATCH($R825,indexy_SDcast!$K:$K,0),MATCH(X$2,indexy_SDcast!$2:$2,0)),"#ekrk")),"#popis")</f>
        <v>-571.41248641087225</v>
      </c>
      <c r="Y825" s="362">
        <f>IF($Q825="ekrk",IF($R825="data",IFERROR(INDEX(data!$A:$ALL,MATCH($M825,data!$A:$A,0),MATCH(Y$2,data!$1:$1,0)),"#data"),IFERROR(X825*INDEX(indexy_SDcast!$A:$ALI,MATCH($R825,indexy_SDcast!$K:$K,0),MATCH(Y$2,indexy_SDcast!$2:$2,0)),"#ekrk")),"#popis")</f>
        <v>-773.03421915462411</v>
      </c>
    </row>
    <row r="826" spans="1:44" x14ac:dyDescent="0.25">
      <c r="A826" s="330">
        <v>725002</v>
      </c>
      <c r="B826" s="329">
        <v>-92.826139999999995</v>
      </c>
      <c r="C826" s="157"/>
      <c r="D826" s="330">
        <v>725002</v>
      </c>
      <c r="E826" s="329">
        <v>-92.826139999999995</v>
      </c>
      <c r="F826" s="157"/>
      <c r="G826" s="330">
        <v>725002</v>
      </c>
      <c r="H826" s="329">
        <v>-92.826139999999995</v>
      </c>
      <c r="I826" s="157"/>
      <c r="J826" s="330">
        <v>725002</v>
      </c>
      <c r="K826" s="329">
        <v>-92.826139999999995</v>
      </c>
      <c r="L826" s="157"/>
      <c r="M826" s="360">
        <f t="shared" si="79"/>
        <v>725002</v>
      </c>
      <c r="N826" s="237">
        <f t="shared" si="80"/>
        <v>-92.826139999999995</v>
      </c>
      <c r="O826" s="361"/>
      <c r="P826" s="361"/>
      <c r="Q826" s="361" t="s">
        <v>698</v>
      </c>
      <c r="R826" s="362">
        <v>35</v>
      </c>
      <c r="S826" s="236"/>
      <c r="T826" s="364">
        <f t="shared" si="83"/>
        <v>725002</v>
      </c>
      <c r="U826" s="365">
        <f t="shared" si="82"/>
        <v>-92.826139999999995</v>
      </c>
      <c r="V826" s="365">
        <f>IF($Q826="ekrk",IF($R826="data",IFERROR(INDEX(data!$A:$ALL,MATCH($M826,data!$A:$A,0),MATCH(V$2,data!$1:$1,0)),"#data"),IFERROR(U826*INDEX(indexy_SDcast!$A:$ALI,MATCH($R826,indexy_SDcast!$K:$K,0),MATCH(V$2,indexy_SDcast!$2:$2,0)),"#ekrk")),"#popis")</f>
        <v>-118.83900816717299</v>
      </c>
      <c r="W826" s="365">
        <f>IF($Q826="ekrk",IF($R826="data",IFERROR(INDEX(data!$A:$ALL,MATCH($M826,data!$A:$A,0),MATCH(W$2,data!$1:$1,0)),"#data"),IFERROR(V826*INDEX(indexy_SDcast!$A:$ALI,MATCH($R826,indexy_SDcast!$K:$K,0),MATCH(W$2,indexy_SDcast!$2:$2,0)),"#ekrk")),"#popis")</f>
        <v>-120.1749137844822</v>
      </c>
      <c r="X826" s="365">
        <f>IF($Q826="ekrk",IF($R826="data",IFERROR(INDEX(data!$A:$ALL,MATCH($M826,data!$A:$A,0),MATCH(X$2,data!$1:$1,0)),"#data"),IFERROR(W826*INDEX(indexy_SDcast!$A:$ALI,MATCH($R826,indexy_SDcast!$K:$K,0),MATCH(X$2,indexy_SDcast!$2:$2,0)),"#ekrk")),"#popis")</f>
        <v>-77.191470418240684</v>
      </c>
      <c r="Y826" s="362">
        <f>IF($Q826="ekrk",IF($R826="data",IFERROR(INDEX(data!$A:$ALL,MATCH($M826,data!$A:$A,0),MATCH(Y$2,data!$1:$1,0)),"#data"),IFERROR(X826*INDEX(indexy_SDcast!$A:$ALI,MATCH($R826,indexy_SDcast!$K:$K,0),MATCH(Y$2,indexy_SDcast!$2:$2,0)),"#ekrk")),"#popis")</f>
        <v>-104.42832363529287</v>
      </c>
    </row>
    <row r="827" spans="1:44" x14ac:dyDescent="0.25">
      <c r="A827" s="330" t="s">
        <v>991</v>
      </c>
      <c r="B827" s="329">
        <v>-37504.461049999998</v>
      </c>
      <c r="C827" s="157"/>
      <c r="D827" s="348">
        <v>723001</v>
      </c>
      <c r="E827" s="329">
        <v>-37504.461049999998</v>
      </c>
      <c r="F827" s="157"/>
      <c r="G827" s="330"/>
      <c r="H827" s="329"/>
      <c r="I827" s="157"/>
      <c r="J827" s="330"/>
      <c r="K827" s="329"/>
      <c r="L827" s="157"/>
      <c r="M827" s="360">
        <f t="shared" si="79"/>
        <v>0</v>
      </c>
      <c r="N827" s="237">
        <f t="shared" si="80"/>
        <v>0</v>
      </c>
      <c r="O827" s="361"/>
      <c r="P827" s="361"/>
      <c r="Q827" s="361"/>
      <c r="R827" s="362"/>
      <c r="S827" s="236"/>
      <c r="T827" s="364">
        <f t="shared" si="83"/>
        <v>0</v>
      </c>
      <c r="U827" s="365"/>
      <c r="V827" s="365"/>
      <c r="W827" s="365"/>
      <c r="X827" s="365"/>
      <c r="Y827" s="362"/>
    </row>
    <row r="828" spans="1:44" s="18" customFormat="1" x14ac:dyDescent="0.25">
      <c r="A828" s="333" t="s">
        <v>742</v>
      </c>
      <c r="B828" s="334">
        <v>-446864.16932000103</v>
      </c>
      <c r="C828" s="164"/>
      <c r="D828" s="333" t="s">
        <v>742</v>
      </c>
      <c r="E828" s="334">
        <v>-446864.16932000103</v>
      </c>
      <c r="F828" s="164"/>
      <c r="G828" s="333" t="s">
        <v>742</v>
      </c>
      <c r="H828" s="334">
        <v>-446864.16932000103</v>
      </c>
      <c r="I828" s="164"/>
      <c r="J828" s="333" t="s">
        <v>742</v>
      </c>
      <c r="K828" s="334">
        <v>-446864.16932000103</v>
      </c>
      <c r="L828" s="164"/>
      <c r="M828" s="358" t="str">
        <f t="shared" si="79"/>
        <v>D92REC</v>
      </c>
      <c r="N828" s="239">
        <f t="shared" si="80"/>
        <v>-446864.16932000103</v>
      </c>
      <c r="O828" s="243"/>
      <c r="P828" s="243">
        <f>MATCH(Q828,Q829:Q$1550,0)</f>
        <v>2</v>
      </c>
      <c r="Q828" s="243" t="s">
        <v>697</v>
      </c>
      <c r="R828" s="359"/>
      <c r="S828" s="240"/>
      <c r="T828" s="363" t="str">
        <f t="shared" si="83"/>
        <v>D92REC</v>
      </c>
      <c r="U828" s="244">
        <f>SUM(U829:U829)</f>
        <v>-446864.16932000103</v>
      </c>
      <c r="V828" s="244">
        <f>SUM(V829:V829)</f>
        <v>-572089.87325592316</v>
      </c>
      <c r="W828" s="244">
        <f>SUM(W829:W829)</f>
        <v>-578520.91039663379</v>
      </c>
      <c r="X828" s="244">
        <f>SUM(X829:X829)</f>
        <v>-371599.01625809883</v>
      </c>
      <c r="Y828" s="359">
        <f>SUM(Y829:Y829)</f>
        <v>-502716.97277044354</v>
      </c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8"/>
      <c r="AN828" s="58"/>
      <c r="AO828" s="58"/>
      <c r="AP828" s="58"/>
      <c r="AQ828" s="58"/>
      <c r="AR828" s="58"/>
    </row>
    <row r="829" spans="1:44" x14ac:dyDescent="0.25">
      <c r="A829" s="330" t="s">
        <v>991</v>
      </c>
      <c r="B829" s="329">
        <v>-446864.16932000103</v>
      </c>
      <c r="C829" s="157"/>
      <c r="D829" s="348">
        <v>311000</v>
      </c>
      <c r="E829" s="329">
        <v>-446864.16932000103</v>
      </c>
      <c r="F829" s="157"/>
      <c r="G829" s="330">
        <v>311000</v>
      </c>
      <c r="H829" s="329">
        <v>-446864.16932000103</v>
      </c>
      <c r="I829" s="157"/>
      <c r="J829" s="330">
        <v>311000</v>
      </c>
      <c r="K829" s="329">
        <v>-446864.16932000103</v>
      </c>
      <c r="L829" s="157"/>
      <c r="M829" s="360">
        <f t="shared" si="79"/>
        <v>311000</v>
      </c>
      <c r="N829" s="237">
        <f t="shared" si="80"/>
        <v>-446864.16932000103</v>
      </c>
      <c r="O829" s="361"/>
      <c r="P829" s="361"/>
      <c r="Q829" s="361" t="s">
        <v>698</v>
      </c>
      <c r="R829" s="362">
        <v>35</v>
      </c>
      <c r="S829" s="236"/>
      <c r="T829" s="364">
        <f t="shared" si="83"/>
        <v>311000</v>
      </c>
      <c r="U829" s="365">
        <f>N829</f>
        <v>-446864.16932000103</v>
      </c>
      <c r="V829" s="365">
        <f>IF($Q829="ekrk",IF($R829="data",IFERROR(INDEX(data!$A:$ALL,MATCH($M829,data!$A:$A,0),MATCH(V$2,data!$1:$1,0)),"#data"),IFERROR(U829*INDEX(indexy_SDcast!$A:$ALI,MATCH($R829,indexy_SDcast!$K:$K,0),MATCH(V$2,indexy_SDcast!$2:$2,0)),"#ekrk")),"#popis")</f>
        <v>-572089.87325592316</v>
      </c>
      <c r="W829" s="365">
        <f>IF($Q829="ekrk",IF($R829="data",IFERROR(INDEX(data!$A:$ALL,MATCH($M829,data!$A:$A,0),MATCH(W$2,data!$1:$1,0)),"#data"),IFERROR(V829*INDEX(indexy_SDcast!$A:$ALI,MATCH($R829,indexy_SDcast!$K:$K,0),MATCH(W$2,indexy_SDcast!$2:$2,0)),"#ekrk")),"#popis")</f>
        <v>-578520.91039663379</v>
      </c>
      <c r="X829" s="365">
        <f>IF($Q829="ekrk",IF($R829="data",IFERROR(INDEX(data!$A:$ALL,MATCH($M829,data!$A:$A,0),MATCH(X$2,data!$1:$1,0)),"#data"),IFERROR(W829*INDEX(indexy_SDcast!$A:$ALI,MATCH($R829,indexy_SDcast!$K:$K,0),MATCH(X$2,indexy_SDcast!$2:$2,0)),"#ekrk")),"#popis")</f>
        <v>-371599.01625809883</v>
      </c>
      <c r="Y829" s="362">
        <f>IF($Q829="ekrk",IF($R829="data",IFERROR(INDEX(data!$A:$ALL,MATCH($M829,data!$A:$A,0),MATCH(Y$2,data!$1:$1,0)),"#data"),IFERROR(X829*INDEX(indexy_SDcast!$A:$ALI,MATCH($R829,indexy_SDcast!$K:$K,0),MATCH(Y$2,indexy_SDcast!$2:$2,0)),"#ekrk")),"#popis")</f>
        <v>-502716.97277044354</v>
      </c>
    </row>
    <row r="830" spans="1:44" s="18" customFormat="1" x14ac:dyDescent="0.25">
      <c r="A830" s="333" t="s">
        <v>743</v>
      </c>
      <c r="B830" s="334">
        <v>-64.013319999999993</v>
      </c>
      <c r="C830" s="164"/>
      <c r="D830" s="333" t="s">
        <v>743</v>
      </c>
      <c r="E830" s="334">
        <v>-64.013319999999993</v>
      </c>
      <c r="F830" s="164"/>
      <c r="G830" s="333" t="s">
        <v>743</v>
      </c>
      <c r="H830" s="334">
        <v>-64.013319999999993</v>
      </c>
      <c r="I830" s="164"/>
      <c r="J830" s="333" t="s">
        <v>743</v>
      </c>
      <c r="K830" s="334">
        <v>-64.013319999999993</v>
      </c>
      <c r="L830" s="164"/>
      <c r="M830" s="358" t="str">
        <f t="shared" si="79"/>
        <v>D99PAY</v>
      </c>
      <c r="N830" s="239">
        <f t="shared" si="80"/>
        <v>-64.013319999999993</v>
      </c>
      <c r="O830" s="243"/>
      <c r="P830" s="243">
        <f>MATCH(Q830,Q831:Q$1550,0)</f>
        <v>2</v>
      </c>
      <c r="Q830" s="243" t="s">
        <v>697</v>
      </c>
      <c r="R830" s="359"/>
      <c r="S830" s="240"/>
      <c r="T830" s="363" t="str">
        <f t="shared" si="83"/>
        <v>D99PAY</v>
      </c>
      <c r="U830" s="244">
        <f>SUM(U831:U831)</f>
        <v>-64.013319999999993</v>
      </c>
      <c r="V830" s="244">
        <f>SUM(V831:V831)</f>
        <v>-81.951909863836391</v>
      </c>
      <c r="W830" s="244">
        <f>SUM(W831:W831)</f>
        <v>-82.87315633353353</v>
      </c>
      <c r="X830" s="244">
        <f>SUM(X831:X831)</f>
        <v>-53.231582150818454</v>
      </c>
      <c r="Y830" s="359">
        <f>SUM(Y831:Y831)</f>
        <v>-72.014237562065659</v>
      </c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8"/>
      <c r="AN830" s="58"/>
      <c r="AO830" s="58"/>
      <c r="AP830" s="58"/>
      <c r="AQ830" s="58"/>
      <c r="AR830" s="58"/>
    </row>
    <row r="831" spans="1:44" x14ac:dyDescent="0.25">
      <c r="A831" s="330">
        <v>723002</v>
      </c>
      <c r="B831" s="329">
        <v>-64.013319999999993</v>
      </c>
      <c r="C831" s="157"/>
      <c r="D831" s="330">
        <v>723002</v>
      </c>
      <c r="E831" s="329">
        <v>-64.013319999999993</v>
      </c>
      <c r="F831" s="157"/>
      <c r="G831" s="330">
        <v>723002</v>
      </c>
      <c r="H831" s="329">
        <v>-64.013319999999993</v>
      </c>
      <c r="I831" s="157"/>
      <c r="J831" s="330">
        <v>723002</v>
      </c>
      <c r="K831" s="329">
        <v>-64.013319999999993</v>
      </c>
      <c r="L831" s="157"/>
      <c r="M831" s="360">
        <f t="shared" si="79"/>
        <v>723002</v>
      </c>
      <c r="N831" s="237">
        <f t="shared" si="80"/>
        <v>-64.013319999999993</v>
      </c>
      <c r="O831" s="361"/>
      <c r="P831" s="361"/>
      <c r="Q831" s="361" t="s">
        <v>698</v>
      </c>
      <c r="R831" s="362">
        <v>35</v>
      </c>
      <c r="S831" s="236"/>
      <c r="T831" s="364">
        <f t="shared" si="83"/>
        <v>723002</v>
      </c>
      <c r="U831" s="365">
        <f>N831</f>
        <v>-64.013319999999993</v>
      </c>
      <c r="V831" s="365">
        <f>IF($Q831="ekrk",IF($R831="data",IFERROR(INDEX(data!$A:$ALL,MATCH($M831,data!$A:$A,0),MATCH(V$2,data!$1:$1,0)),"#data"),IFERROR(U831*INDEX(indexy_SDcast!$A:$ALI,MATCH($R831,indexy_SDcast!$K:$K,0),MATCH(V$2,indexy_SDcast!$2:$2,0)),"#ekrk")),"#popis")</f>
        <v>-81.951909863836391</v>
      </c>
      <c r="W831" s="365">
        <f>IF($Q831="ekrk",IF($R831="data",IFERROR(INDEX(data!$A:$ALL,MATCH($M831,data!$A:$A,0),MATCH(W$2,data!$1:$1,0)),"#data"),IFERROR(V831*INDEX(indexy_SDcast!$A:$ALI,MATCH($R831,indexy_SDcast!$K:$K,0),MATCH(W$2,indexy_SDcast!$2:$2,0)),"#ekrk")),"#popis")</f>
        <v>-82.87315633353353</v>
      </c>
      <c r="X831" s="365">
        <f>IF($Q831="ekrk",IF($R831="data",IFERROR(INDEX(data!$A:$ALL,MATCH($M831,data!$A:$A,0),MATCH(X$2,data!$1:$1,0)),"#data"),IFERROR(W831*INDEX(indexy_SDcast!$A:$ALI,MATCH($R831,indexy_SDcast!$K:$K,0),MATCH(X$2,indexy_SDcast!$2:$2,0)),"#ekrk")),"#popis")</f>
        <v>-53.231582150818454</v>
      </c>
      <c r="Y831" s="362">
        <f>IF($Q831="ekrk",IF($R831="data",IFERROR(INDEX(data!$A:$ALL,MATCH($M831,data!$A:$A,0),MATCH(Y$2,data!$1:$1,0)),"#data"),IFERROR(X831*INDEX(indexy_SDcast!$A:$ALI,MATCH($R831,indexy_SDcast!$K:$K,0),MATCH(Y$2,indexy_SDcast!$2:$2,0)),"#ekrk")),"#popis")</f>
        <v>-72.014237562065659</v>
      </c>
    </row>
    <row r="832" spans="1:44" s="18" customFormat="1" x14ac:dyDescent="0.25">
      <c r="A832" s="333" t="s">
        <v>744</v>
      </c>
      <c r="B832" s="334">
        <v>5570.996530000024</v>
      </c>
      <c r="C832" s="164"/>
      <c r="D832" s="333" t="s">
        <v>744</v>
      </c>
      <c r="E832" s="334">
        <v>5570.996530000024</v>
      </c>
      <c r="F832" s="164"/>
      <c r="G832" s="333" t="s">
        <v>744</v>
      </c>
      <c r="H832" s="334">
        <v>5570.996530000024</v>
      </c>
      <c r="I832" s="164"/>
      <c r="J832" s="333" t="s">
        <v>744</v>
      </c>
      <c r="K832" s="334">
        <v>5570.996530000024</v>
      </c>
      <c r="L832" s="164"/>
      <c r="M832" s="358" t="str">
        <f t="shared" si="79"/>
        <v>D99REC</v>
      </c>
      <c r="N832" s="239">
        <f t="shared" si="80"/>
        <v>5570.996530000024</v>
      </c>
      <c r="O832" s="243"/>
      <c r="P832" s="243">
        <f>MATCH(Q832,Q833:Q$1550,0)</f>
        <v>9</v>
      </c>
      <c r="Q832" s="243" t="s">
        <v>697</v>
      </c>
      <c r="R832" s="359"/>
      <c r="S832" s="240"/>
      <c r="T832" s="363" t="str">
        <f t="shared" si="83"/>
        <v>D99REC</v>
      </c>
      <c r="U832" s="244">
        <f>SUM(U833:U840)</f>
        <v>5570.996530000024</v>
      </c>
      <c r="V832" s="244">
        <f>SUM(V833:V840)</f>
        <v>7132.1688279612335</v>
      </c>
      <c r="W832" s="244">
        <f>SUM(W833:W840)</f>
        <v>7212.343717905349</v>
      </c>
      <c r="X832" s="244">
        <f>SUM(X833:X840)</f>
        <v>4632.6758157305521</v>
      </c>
      <c r="Y832" s="359">
        <f>SUM(Y833:Y840)</f>
        <v>6267.3060476923438</v>
      </c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8"/>
      <c r="AN832" s="58"/>
      <c r="AO832" s="58"/>
      <c r="AP832" s="58"/>
      <c r="AQ832" s="58"/>
      <c r="AR832" s="58"/>
    </row>
    <row r="833" spans="1:44" x14ac:dyDescent="0.25">
      <c r="A833" s="330">
        <v>321000</v>
      </c>
      <c r="B833" s="329">
        <v>1.7053025658242404E-12</v>
      </c>
      <c r="C833" s="157"/>
      <c r="D833" s="330">
        <v>321000</v>
      </c>
      <c r="E833" s="329">
        <v>1.7053025658242404E-12</v>
      </c>
      <c r="F833" s="157"/>
      <c r="G833" s="330">
        <v>321000</v>
      </c>
      <c r="H833" s="329">
        <v>1.7053025658242404E-12</v>
      </c>
      <c r="I833" s="157"/>
      <c r="J833" s="330">
        <v>321000</v>
      </c>
      <c r="K833" s="329">
        <v>1.7053025658242404E-12</v>
      </c>
      <c r="L833" s="157"/>
      <c r="M833" s="360">
        <f t="shared" si="79"/>
        <v>321000</v>
      </c>
      <c r="N833" s="237">
        <f t="shared" si="80"/>
        <v>1.7053025658242404E-12</v>
      </c>
      <c r="O833" s="361"/>
      <c r="P833" s="361"/>
      <c r="Q833" s="361" t="s">
        <v>698</v>
      </c>
      <c r="R833" s="362">
        <v>35</v>
      </c>
      <c r="S833" s="236"/>
      <c r="T833" s="364">
        <f t="shared" si="83"/>
        <v>321000</v>
      </c>
      <c r="U833" s="365">
        <f t="shared" ref="U833:U840" si="84">N833</f>
        <v>1.7053025658242404E-12</v>
      </c>
      <c r="V833" s="365">
        <f>IF($Q833="ekrk",IF($R833="data",IFERROR(INDEX(data!$A:$ALL,MATCH($M833,data!$A:$A,0),MATCH(V$2,data!$1:$1,0)),"#data"),IFERROR(U833*INDEX(indexy_SDcast!$A:$ALI,MATCH($R833,indexy_SDcast!$K:$K,0),MATCH(V$2,indexy_SDcast!$2:$2,0)),"#ekrk")),"#popis")</f>
        <v>2.1831831588331473E-12</v>
      </c>
      <c r="W833" s="365">
        <f>IF($Q833="ekrk",IF($R833="data",IFERROR(INDEX(data!$A:$ALL,MATCH($M833,data!$A:$A,0),MATCH(W$2,data!$1:$1,0)),"#data"),IFERROR(V833*INDEX(indexy_SDcast!$A:$ALI,MATCH($R833,indexy_SDcast!$K:$K,0),MATCH(W$2,indexy_SDcast!$2:$2,0)),"#ekrk")),"#popis")</f>
        <v>2.2077249880732344E-12</v>
      </c>
      <c r="X833" s="365">
        <f>IF($Q833="ekrk",IF($R833="data",IFERROR(INDEX(data!$A:$ALL,MATCH($M833,data!$A:$A,0),MATCH(X$2,data!$1:$1,0)),"#data"),IFERROR(W833*INDEX(indexy_SDcast!$A:$ALI,MATCH($R833,indexy_SDcast!$K:$K,0),MATCH(X$2,indexy_SDcast!$2:$2,0)),"#ekrk")),"#popis")</f>
        <v>1.4180791376650133E-12</v>
      </c>
      <c r="Y833" s="362">
        <f>IF($Q833="ekrk",IF($R833="data",IFERROR(INDEX(data!$A:$ALL,MATCH($M833,data!$A:$A,0),MATCH(Y$2,data!$1:$1,0)),"#data"),IFERROR(X833*INDEX(indexy_SDcast!$A:$ALI,MATCH($R833,indexy_SDcast!$K:$K,0),MATCH(Y$2,indexy_SDcast!$2:$2,0)),"#ekrk")),"#popis")</f>
        <v>1.9184454749490726E-12</v>
      </c>
    </row>
    <row r="834" spans="1:44" x14ac:dyDescent="0.25">
      <c r="A834" s="330">
        <v>322001</v>
      </c>
      <c r="B834" s="329">
        <v>2.1145751816220582E-11</v>
      </c>
      <c r="C834" s="157"/>
      <c r="D834" s="330">
        <v>322001</v>
      </c>
      <c r="E834" s="329">
        <v>2.1145751816220582E-11</v>
      </c>
      <c r="F834" s="157"/>
      <c r="G834" s="330">
        <v>322001</v>
      </c>
      <c r="H834" s="329">
        <v>2.1145751816220582E-11</v>
      </c>
      <c r="I834" s="157"/>
      <c r="J834" s="330">
        <v>322001</v>
      </c>
      <c r="K834" s="329">
        <v>2.1145751816220582E-11</v>
      </c>
      <c r="L834" s="157"/>
      <c r="M834" s="360">
        <f t="shared" si="79"/>
        <v>322001</v>
      </c>
      <c r="N834" s="237">
        <f t="shared" si="80"/>
        <v>2.1145751816220582E-11</v>
      </c>
      <c r="O834" s="361"/>
      <c r="P834" s="361"/>
      <c r="Q834" s="361" t="s">
        <v>698</v>
      </c>
      <c r="R834" s="362">
        <v>35</v>
      </c>
      <c r="S834" s="236"/>
      <c r="T834" s="364">
        <f t="shared" si="83"/>
        <v>322001</v>
      </c>
      <c r="U834" s="365">
        <f t="shared" si="84"/>
        <v>2.1145751816220582E-11</v>
      </c>
      <c r="V834" s="365">
        <f>IF($Q834="ekrk",IF($R834="data",IFERROR(INDEX(data!$A:$ALL,MATCH($M834,data!$A:$A,0),MATCH(V$2,data!$1:$1,0)),"#data"),IFERROR(U834*INDEX(indexy_SDcast!$A:$ALI,MATCH($R834,indexy_SDcast!$K:$K,0),MATCH(V$2,indexy_SDcast!$2:$2,0)),"#ekrk")),"#popis")</f>
        <v>2.7071471169531028E-11</v>
      </c>
      <c r="W834" s="365">
        <f>IF($Q834="ekrk",IF($R834="data",IFERROR(INDEX(data!$A:$ALL,MATCH($M834,data!$A:$A,0),MATCH(W$2,data!$1:$1,0)),"#data"),IFERROR(V834*INDEX(indexy_SDcast!$A:$ALI,MATCH($R834,indexy_SDcast!$K:$K,0),MATCH(W$2,indexy_SDcast!$2:$2,0)),"#ekrk")),"#popis")</f>
        <v>2.7375789852108106E-11</v>
      </c>
      <c r="X834" s="365">
        <f>IF($Q834="ekrk",IF($R834="data",IFERROR(INDEX(data!$A:$ALL,MATCH($M834,data!$A:$A,0),MATCH(X$2,data!$1:$1,0)),"#data"),IFERROR(W834*INDEX(indexy_SDcast!$A:$ALI,MATCH($R834,indexy_SDcast!$K:$K,0),MATCH(X$2,indexy_SDcast!$2:$2,0)),"#ekrk")),"#popis")</f>
        <v>1.7584181307046166E-11</v>
      </c>
      <c r="Y834" s="362">
        <f>IF($Q834="ekrk",IF($R834="data",IFERROR(INDEX(data!$A:$ALL,MATCH($M834,data!$A:$A,0),MATCH(Y$2,data!$1:$1,0)),"#data"),IFERROR(X834*INDEX(indexy_SDcast!$A:$ALI,MATCH($R834,indexy_SDcast!$K:$K,0),MATCH(Y$2,indexy_SDcast!$2:$2,0)),"#ekrk")),"#popis")</f>
        <v>2.3788723889368502E-11</v>
      </c>
    </row>
    <row r="835" spans="1:44" x14ac:dyDescent="0.25">
      <c r="A835" s="330">
        <v>322002</v>
      </c>
      <c r="B835" s="329">
        <v>1.0800249583553523E-12</v>
      </c>
      <c r="C835" s="157"/>
      <c r="D835" s="330">
        <v>322002</v>
      </c>
      <c r="E835" s="329">
        <v>1.0800249583553523E-12</v>
      </c>
      <c r="F835" s="157"/>
      <c r="G835" s="330">
        <v>322002</v>
      </c>
      <c r="H835" s="329">
        <v>1.0800249583553523E-12</v>
      </c>
      <c r="I835" s="157"/>
      <c r="J835" s="330">
        <v>322002</v>
      </c>
      <c r="K835" s="329">
        <v>1.0800249583553523E-12</v>
      </c>
      <c r="L835" s="157"/>
      <c r="M835" s="360">
        <f t="shared" si="79"/>
        <v>322002</v>
      </c>
      <c r="N835" s="237">
        <f t="shared" si="80"/>
        <v>1.0800249583553523E-12</v>
      </c>
      <c r="O835" s="361"/>
      <c r="P835" s="361"/>
      <c r="Q835" s="361" t="s">
        <v>698</v>
      </c>
      <c r="R835" s="362">
        <v>35</v>
      </c>
      <c r="S835" s="236"/>
      <c r="T835" s="364">
        <f t="shared" si="83"/>
        <v>322002</v>
      </c>
      <c r="U835" s="365">
        <f t="shared" si="84"/>
        <v>1.0800249583553523E-12</v>
      </c>
      <c r="V835" s="365">
        <f>IF($Q835="ekrk",IF($R835="data",IFERROR(INDEX(data!$A:$ALL,MATCH($M835,data!$A:$A,0),MATCH(V$2,data!$1:$1,0)),"#data"),IFERROR(U835*INDEX(indexy_SDcast!$A:$ALI,MATCH($R835,indexy_SDcast!$K:$K,0),MATCH(V$2,indexy_SDcast!$2:$2,0)),"#ekrk")),"#popis")</f>
        <v>1.3826826672609934E-12</v>
      </c>
      <c r="W835" s="365">
        <f>IF($Q835="ekrk",IF($R835="data",IFERROR(INDEX(data!$A:$ALL,MATCH($M835,data!$A:$A,0),MATCH(W$2,data!$1:$1,0)),"#data"),IFERROR(V835*INDEX(indexy_SDcast!$A:$ALI,MATCH($R835,indexy_SDcast!$K:$K,0),MATCH(W$2,indexy_SDcast!$2:$2,0)),"#ekrk")),"#popis")</f>
        <v>1.3982258257797151E-12</v>
      </c>
      <c r="X835" s="365">
        <f>IF($Q835="ekrk",IF($R835="data",IFERROR(INDEX(data!$A:$ALL,MATCH($M835,data!$A:$A,0),MATCH(X$2,data!$1:$1,0)),"#data"),IFERROR(W835*INDEX(indexy_SDcast!$A:$ALI,MATCH($R835,indexy_SDcast!$K:$K,0),MATCH(X$2,indexy_SDcast!$2:$2,0)),"#ekrk")),"#popis")</f>
        <v>8.9811678718784178E-13</v>
      </c>
      <c r="Y835" s="362">
        <f>IF($Q835="ekrk",IF($R835="data",IFERROR(INDEX(data!$A:$ALL,MATCH($M835,data!$A:$A,0),MATCH(Y$2,data!$1:$1,0)),"#data"),IFERROR(X835*INDEX(indexy_SDcast!$A:$ALI,MATCH($R835,indexy_SDcast!$K:$K,0),MATCH(Y$2,indexy_SDcast!$2:$2,0)),"#ekrk")),"#popis")</f>
        <v>1.2150154674677461E-12</v>
      </c>
    </row>
    <row r="836" spans="1:44" x14ac:dyDescent="0.25">
      <c r="A836" s="330">
        <v>322006</v>
      </c>
      <c r="B836" s="329">
        <v>-1.7763568394002505E-15</v>
      </c>
      <c r="C836" s="157"/>
      <c r="D836" s="330">
        <v>322006</v>
      </c>
      <c r="E836" s="329">
        <v>-1.7763568394002505E-15</v>
      </c>
      <c r="F836" s="157"/>
      <c r="G836" s="330">
        <v>322006</v>
      </c>
      <c r="H836" s="329">
        <v>-1.7763568394002505E-15</v>
      </c>
      <c r="I836" s="157"/>
      <c r="J836" s="330">
        <v>322006</v>
      </c>
      <c r="K836" s="329">
        <v>-1.7763568394002505E-15</v>
      </c>
      <c r="L836" s="157"/>
      <c r="M836" s="360">
        <f t="shared" si="79"/>
        <v>322006</v>
      </c>
      <c r="N836" s="237">
        <f t="shared" si="80"/>
        <v>-1.7763568394002505E-15</v>
      </c>
      <c r="O836" s="361"/>
      <c r="P836" s="361"/>
      <c r="Q836" s="361" t="s">
        <v>698</v>
      </c>
      <c r="R836" s="362">
        <v>35</v>
      </c>
      <c r="S836" s="236"/>
      <c r="T836" s="364">
        <f t="shared" si="83"/>
        <v>322006</v>
      </c>
      <c r="U836" s="365">
        <f t="shared" si="84"/>
        <v>-1.7763568394002505E-15</v>
      </c>
      <c r="V836" s="365">
        <f>IF($Q836="ekrk",IF($R836="data",IFERROR(INDEX(data!$A:$ALL,MATCH($M836,data!$A:$A,0),MATCH(V$2,data!$1:$1,0)),"#data"),IFERROR(U836*INDEX(indexy_SDcast!$A:$ALI,MATCH($R836,indexy_SDcast!$K:$K,0),MATCH(V$2,indexy_SDcast!$2:$2,0)),"#ekrk")),"#popis")</f>
        <v>-2.2741491237845285E-15</v>
      </c>
      <c r="W836" s="365">
        <f>IF($Q836="ekrk",IF($R836="data",IFERROR(INDEX(data!$A:$ALL,MATCH($M836,data!$A:$A,0),MATCH(W$2,data!$1:$1,0)),"#data"),IFERROR(V836*INDEX(indexy_SDcast!$A:$ALI,MATCH($R836,indexy_SDcast!$K:$K,0),MATCH(W$2,indexy_SDcast!$2:$2,0)),"#ekrk")),"#popis")</f>
        <v>-2.2997135292429525E-15</v>
      </c>
      <c r="X836" s="365">
        <f>IF($Q836="ekrk",IF($R836="data",IFERROR(INDEX(data!$A:$ALL,MATCH($M836,data!$A:$A,0),MATCH(X$2,data!$1:$1,0)),"#data"),IFERROR(W836*INDEX(indexy_SDcast!$A:$ALI,MATCH($R836,indexy_SDcast!$K:$K,0),MATCH(X$2,indexy_SDcast!$2:$2,0)),"#ekrk")),"#popis")</f>
        <v>-1.4771657684010555E-15</v>
      </c>
      <c r="Y836" s="362">
        <f>IF($Q836="ekrk",IF($R836="data",IFERROR(INDEX(data!$A:$ALL,MATCH($M836,data!$A:$A,0),MATCH(Y$2,data!$1:$1,0)),"#data"),IFERROR(X836*INDEX(indexy_SDcast!$A:$ALI,MATCH($R836,indexy_SDcast!$K:$K,0),MATCH(Y$2,indexy_SDcast!$2:$2,0)),"#ekrk")),"#popis")</f>
        <v>-1.9983807030719508E-15</v>
      </c>
    </row>
    <row r="837" spans="1:44" x14ac:dyDescent="0.25">
      <c r="A837" s="330">
        <v>322008</v>
      </c>
      <c r="B837" s="329">
        <v>-2.8421709430404007E-14</v>
      </c>
      <c r="C837" s="157"/>
      <c r="D837" s="330">
        <v>322008</v>
      </c>
      <c r="E837" s="329">
        <v>-2.8421709430404007E-14</v>
      </c>
      <c r="F837" s="157"/>
      <c r="G837" s="330">
        <v>322008</v>
      </c>
      <c r="H837" s="329">
        <v>-2.8421709430404007E-14</v>
      </c>
      <c r="I837" s="157"/>
      <c r="J837" s="330">
        <v>322008</v>
      </c>
      <c r="K837" s="329">
        <v>-2.8421709430404007E-14</v>
      </c>
      <c r="L837" s="157"/>
      <c r="M837" s="360">
        <f t="shared" si="79"/>
        <v>322008</v>
      </c>
      <c r="N837" s="237">
        <f t="shared" si="80"/>
        <v>-2.8421709430404007E-14</v>
      </c>
      <c r="O837" s="361"/>
      <c r="P837" s="361"/>
      <c r="Q837" s="361" t="s">
        <v>698</v>
      </c>
      <c r="R837" s="362">
        <v>35</v>
      </c>
      <c r="S837" s="236"/>
      <c r="T837" s="364">
        <f t="shared" si="83"/>
        <v>322008</v>
      </c>
      <c r="U837" s="365">
        <f t="shared" si="84"/>
        <v>-2.8421709430404007E-14</v>
      </c>
      <c r="V837" s="365">
        <f>IF($Q837="ekrk",IF($R837="data",IFERROR(INDEX(data!$A:$ALL,MATCH($M837,data!$A:$A,0),MATCH(V$2,data!$1:$1,0)),"#data"),IFERROR(U837*INDEX(indexy_SDcast!$A:$ALI,MATCH($R837,indexy_SDcast!$K:$K,0),MATCH(V$2,indexy_SDcast!$2:$2,0)),"#ekrk")),"#popis")</f>
        <v>-3.6386385980552456E-14</v>
      </c>
      <c r="W837" s="365">
        <f>IF($Q837="ekrk",IF($R837="data",IFERROR(INDEX(data!$A:$ALL,MATCH($M837,data!$A:$A,0),MATCH(W$2,data!$1:$1,0)),"#data"),IFERROR(V837*INDEX(indexy_SDcast!$A:$ALI,MATCH($R837,indexy_SDcast!$K:$K,0),MATCH(W$2,indexy_SDcast!$2:$2,0)),"#ekrk")),"#popis")</f>
        <v>-3.679541646788724E-14</v>
      </c>
      <c r="X837" s="365">
        <f>IF($Q837="ekrk",IF($R837="data",IFERROR(INDEX(data!$A:$ALL,MATCH($M837,data!$A:$A,0),MATCH(X$2,data!$1:$1,0)),"#data"),IFERROR(W837*INDEX(indexy_SDcast!$A:$ALI,MATCH($R837,indexy_SDcast!$K:$K,0),MATCH(X$2,indexy_SDcast!$2:$2,0)),"#ekrk")),"#popis")</f>
        <v>-2.3634652294416889E-14</v>
      </c>
      <c r="Y837" s="362">
        <f>IF($Q837="ekrk",IF($R837="data",IFERROR(INDEX(data!$A:$ALL,MATCH($M837,data!$A:$A,0),MATCH(Y$2,data!$1:$1,0)),"#data"),IFERROR(X837*INDEX(indexy_SDcast!$A:$ALI,MATCH($R837,indexy_SDcast!$K:$K,0),MATCH(Y$2,indexy_SDcast!$2:$2,0)),"#ekrk")),"#popis")</f>
        <v>-3.1974091249151213E-14</v>
      </c>
    </row>
    <row r="838" spans="1:44" x14ac:dyDescent="0.25">
      <c r="A838" s="330">
        <v>324000</v>
      </c>
      <c r="B838" s="329">
        <v>0</v>
      </c>
      <c r="C838" s="157"/>
      <c r="D838" s="330">
        <v>324000</v>
      </c>
      <c r="E838" s="329">
        <v>0</v>
      </c>
      <c r="F838" s="157"/>
      <c r="G838" s="330">
        <v>324000</v>
      </c>
      <c r="H838" s="329">
        <v>0</v>
      </c>
      <c r="I838" s="157"/>
      <c r="J838" s="330">
        <v>324000</v>
      </c>
      <c r="K838" s="329">
        <v>0</v>
      </c>
      <c r="L838" s="157"/>
      <c r="M838" s="360">
        <f t="shared" si="79"/>
        <v>324000</v>
      </c>
      <c r="N838" s="237">
        <f t="shared" si="80"/>
        <v>0</v>
      </c>
      <c r="O838" s="361"/>
      <c r="P838" s="361"/>
      <c r="Q838" s="361" t="s">
        <v>698</v>
      </c>
      <c r="R838" s="362">
        <v>35</v>
      </c>
      <c r="S838" s="236"/>
      <c r="T838" s="364">
        <f t="shared" si="83"/>
        <v>324000</v>
      </c>
      <c r="U838" s="365">
        <f t="shared" si="84"/>
        <v>0</v>
      </c>
      <c r="V838" s="365">
        <f>IF($Q838="ekrk",IF($R838="data",IFERROR(INDEX(data!$A:$ALL,MATCH($M838,data!$A:$A,0),MATCH(V$2,data!$1:$1,0)),"#data"),IFERROR(U838*INDEX(indexy_SDcast!$A:$ALI,MATCH($R838,indexy_SDcast!$K:$K,0),MATCH(V$2,indexy_SDcast!$2:$2,0)),"#ekrk")),"#popis")</f>
        <v>0</v>
      </c>
      <c r="W838" s="365">
        <f>IF($Q838="ekrk",IF($R838="data",IFERROR(INDEX(data!$A:$ALL,MATCH($M838,data!$A:$A,0),MATCH(W$2,data!$1:$1,0)),"#data"),IFERROR(V838*INDEX(indexy_SDcast!$A:$ALI,MATCH($R838,indexy_SDcast!$K:$K,0),MATCH(W$2,indexy_SDcast!$2:$2,0)),"#ekrk")),"#popis")</f>
        <v>0</v>
      </c>
      <c r="X838" s="365">
        <f>IF($Q838="ekrk",IF($R838="data",IFERROR(INDEX(data!$A:$ALL,MATCH($M838,data!$A:$A,0),MATCH(X$2,data!$1:$1,0)),"#data"),IFERROR(W838*INDEX(indexy_SDcast!$A:$ALI,MATCH($R838,indexy_SDcast!$K:$K,0),MATCH(X$2,indexy_SDcast!$2:$2,0)),"#ekrk")),"#popis")</f>
        <v>0</v>
      </c>
      <c r="Y838" s="362">
        <f>IF($Q838="ekrk",IF($R838="data",IFERROR(INDEX(data!$A:$ALL,MATCH($M838,data!$A:$A,0),MATCH(Y$2,data!$1:$1,0)),"#data"),IFERROR(X838*INDEX(indexy_SDcast!$A:$ALI,MATCH($R838,indexy_SDcast!$K:$K,0),MATCH(Y$2,indexy_SDcast!$2:$2,0)),"#ekrk")),"#popis")</f>
        <v>0</v>
      </c>
    </row>
    <row r="839" spans="1:44" x14ac:dyDescent="0.25">
      <c r="A839" s="330">
        <v>332001</v>
      </c>
      <c r="B839" s="329">
        <v>4908.5081500000006</v>
      </c>
      <c r="C839" s="157"/>
      <c r="D839" s="330">
        <v>332001</v>
      </c>
      <c r="E839" s="329">
        <v>4908.5081500000006</v>
      </c>
      <c r="F839" s="157"/>
      <c r="G839" s="330">
        <v>332001</v>
      </c>
      <c r="H839" s="329">
        <v>4908.5081500000006</v>
      </c>
      <c r="I839" s="157"/>
      <c r="J839" s="330">
        <v>332001</v>
      </c>
      <c r="K839" s="329">
        <v>4908.5081500000006</v>
      </c>
      <c r="L839" s="157"/>
      <c r="M839" s="360">
        <f t="shared" si="79"/>
        <v>332001</v>
      </c>
      <c r="N839" s="237">
        <f t="shared" si="80"/>
        <v>4908.5081500000006</v>
      </c>
      <c r="O839" s="361"/>
      <c r="P839" s="361"/>
      <c r="Q839" s="361" t="s">
        <v>698</v>
      </c>
      <c r="R839" s="362">
        <v>35</v>
      </c>
      <c r="S839" s="236"/>
      <c r="T839" s="364">
        <f t="shared" si="83"/>
        <v>332001</v>
      </c>
      <c r="U839" s="365">
        <f t="shared" si="84"/>
        <v>4908.5081500000006</v>
      </c>
      <c r="V839" s="365">
        <f>IF($Q839="ekrk",IF($R839="data",IFERROR(INDEX(data!$A:$ALL,MATCH($M839,data!$A:$A,0),MATCH(V$2,data!$1:$1,0)),"#data"),IFERROR(U839*INDEX(indexy_SDcast!$A:$ALI,MATCH($R839,indexy_SDcast!$K:$K,0),MATCH(V$2,indexy_SDcast!$2:$2,0)),"#ekrk")),"#popis")</f>
        <v>6284.0299093174108</v>
      </c>
      <c r="W839" s="365">
        <f>IF($Q839="ekrk",IF($R839="data",IFERROR(INDEX(data!$A:$ALL,MATCH($M839,data!$A:$A,0),MATCH(W$2,data!$1:$1,0)),"#data"),IFERROR(V839*INDEX(indexy_SDcast!$A:$ALI,MATCH($R839,indexy_SDcast!$K:$K,0),MATCH(W$2,indexy_SDcast!$2:$2,0)),"#ekrk")),"#popis")</f>
        <v>6354.6706104194172</v>
      </c>
      <c r="X839" s="365">
        <f>IF($Q839="ekrk",IF($R839="data",IFERROR(INDEX(data!$A:$ALL,MATCH($M839,data!$A:$A,0),MATCH(X$2,data!$1:$1,0)),"#data"),IFERROR(W839*INDEX(indexy_SDcast!$A:$ALI,MATCH($R839,indexy_SDcast!$K:$K,0),MATCH(X$2,indexy_SDcast!$2:$2,0)),"#ekrk")),"#popis")</f>
        <v>4081.7700882361191</v>
      </c>
      <c r="Y839" s="362">
        <f>IF($Q839="ekrk",IF($R839="data",IFERROR(INDEX(data!$A:$ALL,MATCH($M839,data!$A:$A,0),MATCH(Y$2,data!$1:$1,0)),"#data"),IFERROR(X839*INDEX(indexy_SDcast!$A:$ALI,MATCH($R839,indexy_SDcast!$K:$K,0),MATCH(Y$2,indexy_SDcast!$2:$2,0)),"#ekrk")),"#popis")</f>
        <v>5522.0143555971708</v>
      </c>
    </row>
    <row r="840" spans="1:44" x14ac:dyDescent="0.25">
      <c r="A840" s="330">
        <v>332002</v>
      </c>
      <c r="B840" s="329">
        <v>662.48838000000001</v>
      </c>
      <c r="C840" s="157"/>
      <c r="D840" s="330">
        <v>332002</v>
      </c>
      <c r="E840" s="329">
        <v>662.48838000000001</v>
      </c>
      <c r="F840" s="157"/>
      <c r="G840" s="330">
        <v>332002</v>
      </c>
      <c r="H840" s="329">
        <v>662.48838000000001</v>
      </c>
      <c r="I840" s="157"/>
      <c r="J840" s="330">
        <v>332002</v>
      </c>
      <c r="K840" s="329">
        <v>662.48838000000001</v>
      </c>
      <c r="L840" s="157"/>
      <c r="M840" s="360">
        <f t="shared" si="79"/>
        <v>332002</v>
      </c>
      <c r="N840" s="237">
        <f t="shared" si="80"/>
        <v>662.48838000000001</v>
      </c>
      <c r="O840" s="361"/>
      <c r="P840" s="361"/>
      <c r="Q840" s="361" t="s">
        <v>698</v>
      </c>
      <c r="R840" s="362">
        <v>35</v>
      </c>
      <c r="S840" s="236"/>
      <c r="T840" s="364">
        <f t="shared" si="83"/>
        <v>332002</v>
      </c>
      <c r="U840" s="365">
        <f t="shared" si="84"/>
        <v>662.48838000000001</v>
      </c>
      <c r="V840" s="365">
        <f>IF($Q840="ekrk",IF($R840="data",IFERROR(INDEX(data!$A:$ALL,MATCH($M840,data!$A:$A,0),MATCH(V$2,data!$1:$1,0)),"#data"),IFERROR(U840*INDEX(indexy_SDcast!$A:$ALI,MATCH($R840,indexy_SDcast!$K:$K,0),MATCH(V$2,indexy_SDcast!$2:$2,0)),"#ekrk")),"#popis")</f>
        <v>848.13891864379161</v>
      </c>
      <c r="W840" s="365">
        <f>IF($Q840="ekrk",IF($R840="data",IFERROR(INDEX(data!$A:$ALL,MATCH($M840,data!$A:$A,0),MATCH(W$2,data!$1:$1,0)),"#data"),IFERROR(V840*INDEX(indexy_SDcast!$A:$ALI,MATCH($R840,indexy_SDcast!$K:$K,0),MATCH(W$2,indexy_SDcast!$2:$2,0)),"#ekrk")),"#popis")</f>
        <v>857.67310748590091</v>
      </c>
      <c r="X840" s="365">
        <f>IF($Q840="ekrk",IF($R840="data",IFERROR(INDEX(data!$A:$ALL,MATCH($M840,data!$A:$A,0),MATCH(X$2,data!$1:$1,0)),"#data"),IFERROR(W840*INDEX(indexy_SDcast!$A:$ALI,MATCH($R840,indexy_SDcast!$K:$K,0),MATCH(X$2,indexy_SDcast!$2:$2,0)),"#ekrk")),"#popis")</f>
        <v>550.90572749441264</v>
      </c>
      <c r="Y840" s="362">
        <f>IF($Q840="ekrk",IF($R840="data",IFERROR(INDEX(data!$A:$ALL,MATCH($M840,data!$A:$A,0),MATCH(Y$2,data!$1:$1,0)),"#data"),IFERROR(X840*INDEX(indexy_SDcast!$A:$ALI,MATCH($R840,indexy_SDcast!$K:$K,0),MATCH(Y$2,indexy_SDcast!$2:$2,0)),"#ekrk")),"#popis")</f>
        <v>745.29169209514578</v>
      </c>
    </row>
    <row r="841" spans="1:44" s="18" customFormat="1" x14ac:dyDescent="0.25">
      <c r="A841" s="333" t="s">
        <v>745</v>
      </c>
      <c r="B841" s="334">
        <v>-3425.8580900000002</v>
      </c>
      <c r="C841" s="164"/>
      <c r="D841" s="333" t="s">
        <v>745</v>
      </c>
      <c r="E841" s="334">
        <v>-3425.8580900000002</v>
      </c>
      <c r="F841" s="164"/>
      <c r="G841" s="333" t="s">
        <v>745</v>
      </c>
      <c r="H841" s="334">
        <v>-3425.8580900000002</v>
      </c>
      <c r="I841" s="164"/>
      <c r="J841" s="333" t="s">
        <v>745</v>
      </c>
      <c r="K841" s="334">
        <v>-3425.8580900000002</v>
      </c>
      <c r="L841" s="164"/>
      <c r="M841" s="358" t="str">
        <f t="shared" si="79"/>
        <v>K21A</v>
      </c>
      <c r="N841" s="239">
        <f t="shared" si="80"/>
        <v>-3425.8580900000002</v>
      </c>
      <c r="O841" s="243"/>
      <c r="P841" s="243">
        <f>MATCH(Q841,Q842:Q$1550,0)</f>
        <v>2</v>
      </c>
      <c r="Q841" s="243" t="s">
        <v>697</v>
      </c>
      <c r="R841" s="359"/>
      <c r="S841" s="240"/>
      <c r="T841" s="363" t="str">
        <f t="shared" si="83"/>
        <v>K21A</v>
      </c>
      <c r="U841" s="244">
        <f>SUM(U842:U842)</f>
        <v>-3425.8580900000002</v>
      </c>
      <c r="V841" s="244">
        <f>SUM(V842:V842)</f>
        <v>-4385.8936452284424</v>
      </c>
      <c r="W841" s="244">
        <f>SUM(W842:W842)</f>
        <v>-4435.1968163668216</v>
      </c>
      <c r="X841" s="244">
        <f>SUM(X842:X842)</f>
        <v>-2848.8421840154674</v>
      </c>
      <c r="Y841" s="359">
        <f>SUM(Y842:Y842)</f>
        <v>-3854.0503499456759</v>
      </c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58"/>
      <c r="AR841" s="58"/>
    </row>
    <row r="842" spans="1:44" x14ac:dyDescent="0.25">
      <c r="A842" s="330">
        <v>711001</v>
      </c>
      <c r="B842" s="329">
        <v>-3425.8580900000002</v>
      </c>
      <c r="C842" s="157"/>
      <c r="D842" s="330">
        <v>711001</v>
      </c>
      <c r="E842" s="329">
        <v>-3425.8580900000002</v>
      </c>
      <c r="F842" s="157"/>
      <c r="G842" s="330">
        <v>711001</v>
      </c>
      <c r="H842" s="329">
        <v>-3425.8580900000002</v>
      </c>
      <c r="I842" s="157"/>
      <c r="J842" s="330">
        <v>711001</v>
      </c>
      <c r="K842" s="329">
        <v>-3425.8580900000002</v>
      </c>
      <c r="L842" s="157"/>
      <c r="M842" s="360">
        <f t="shared" si="79"/>
        <v>711001</v>
      </c>
      <c r="N842" s="237">
        <f t="shared" si="80"/>
        <v>-3425.8580900000002</v>
      </c>
      <c r="O842" s="361"/>
      <c r="P842" s="361"/>
      <c r="Q842" s="361" t="s">
        <v>698</v>
      </c>
      <c r="R842" s="362">
        <v>35</v>
      </c>
      <c r="S842" s="236"/>
      <c r="T842" s="364">
        <f t="shared" si="83"/>
        <v>711001</v>
      </c>
      <c r="U842" s="365">
        <f>N842</f>
        <v>-3425.8580900000002</v>
      </c>
      <c r="V842" s="365">
        <f>IF($Q842="ekrk",IF($R842="data",IFERROR(INDEX(data!$A:$ALL,MATCH($M842,data!$A:$A,0),MATCH(V$2,data!$1:$1,0)),"#data"),IFERROR(U842*INDEX(indexy_SDcast!$A:$ALI,MATCH($R842,indexy_SDcast!$K:$K,0),MATCH(V$2,indexy_SDcast!$2:$2,0)),"#ekrk")),"#popis")</f>
        <v>-4385.8936452284424</v>
      </c>
      <c r="W842" s="365">
        <f>IF($Q842="ekrk",IF($R842="data",IFERROR(INDEX(data!$A:$ALL,MATCH($M842,data!$A:$A,0),MATCH(W$2,data!$1:$1,0)),"#data"),IFERROR(V842*INDEX(indexy_SDcast!$A:$ALI,MATCH($R842,indexy_SDcast!$K:$K,0),MATCH(W$2,indexy_SDcast!$2:$2,0)),"#ekrk")),"#popis")</f>
        <v>-4435.1968163668216</v>
      </c>
      <c r="X842" s="365">
        <f>IF($Q842="ekrk",IF($R842="data",IFERROR(INDEX(data!$A:$ALL,MATCH($M842,data!$A:$A,0),MATCH(X$2,data!$1:$1,0)),"#data"),IFERROR(W842*INDEX(indexy_SDcast!$A:$ALI,MATCH($R842,indexy_SDcast!$K:$K,0),MATCH(X$2,indexy_SDcast!$2:$2,0)),"#ekrk")),"#popis")</f>
        <v>-2848.8421840154674</v>
      </c>
      <c r="Y842" s="362">
        <f>IF($Q842="ekrk",IF($R842="data",IFERROR(INDEX(data!$A:$ALL,MATCH($M842,data!$A:$A,0),MATCH(Y$2,data!$1:$1,0)),"#data"),IFERROR(X842*INDEX(indexy_SDcast!$A:$ALI,MATCH($R842,indexy_SDcast!$K:$K,0),MATCH(Y$2,indexy_SDcast!$2:$2,0)),"#ekrk")),"#popis")</f>
        <v>-3854.0503499456759</v>
      </c>
    </row>
    <row r="843" spans="1:44" s="18" customFormat="1" x14ac:dyDescent="0.25">
      <c r="A843" s="333" t="s">
        <v>746</v>
      </c>
      <c r="B843" s="334">
        <v>19.58521</v>
      </c>
      <c r="C843" s="164"/>
      <c r="D843" s="333" t="s">
        <v>746</v>
      </c>
      <c r="E843" s="334">
        <v>19.58521</v>
      </c>
      <c r="F843" s="164"/>
      <c r="G843" s="333" t="s">
        <v>746</v>
      </c>
      <c r="H843" s="334">
        <v>19.58521</v>
      </c>
      <c r="I843" s="164"/>
      <c r="J843" s="333" t="s">
        <v>746</v>
      </c>
      <c r="K843" s="334">
        <v>19.58521</v>
      </c>
      <c r="L843" s="164"/>
      <c r="M843" s="358" t="str">
        <f t="shared" si="79"/>
        <v>K21D</v>
      </c>
      <c r="N843" s="239">
        <f t="shared" si="80"/>
        <v>19.58521</v>
      </c>
      <c r="O843" s="243"/>
      <c r="P843" s="243">
        <f>MATCH(Q843,Q844:Q$1550,0)</f>
        <v>2</v>
      </c>
      <c r="Q843" s="243" t="s">
        <v>697</v>
      </c>
      <c r="R843" s="359"/>
      <c r="S843" s="240"/>
      <c r="T843" s="363" t="str">
        <f t="shared" si="83"/>
        <v>K21D</v>
      </c>
      <c r="U843" s="244">
        <f>SUM(U844:U844)</f>
        <v>19.58521</v>
      </c>
      <c r="V843" s="244">
        <f>SUM(V844:V844)</f>
        <v>25.073615375429789</v>
      </c>
      <c r="W843" s="244">
        <f>SUM(W844:W844)</f>
        <v>25.355475550324279</v>
      </c>
      <c r="X843" s="244">
        <f>SUM(X844:X844)</f>
        <v>16.286480923908197</v>
      </c>
      <c r="Y843" s="359">
        <f>SUM(Y844:Y844)</f>
        <v>22.0331325674554</v>
      </c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8"/>
      <c r="AN843" s="58"/>
      <c r="AO843" s="58"/>
      <c r="AP843" s="58"/>
      <c r="AQ843" s="58"/>
      <c r="AR843" s="58"/>
    </row>
    <row r="844" spans="1:44" x14ac:dyDescent="0.25">
      <c r="A844" s="330">
        <v>233001</v>
      </c>
      <c r="B844" s="329">
        <v>19.58521</v>
      </c>
      <c r="C844" s="157"/>
      <c r="D844" s="330">
        <v>233001</v>
      </c>
      <c r="E844" s="329">
        <v>19.58521</v>
      </c>
      <c r="F844" s="157"/>
      <c r="G844" s="330">
        <v>233001</v>
      </c>
      <c r="H844" s="329">
        <v>19.58521</v>
      </c>
      <c r="I844" s="157"/>
      <c r="J844" s="330">
        <v>233001</v>
      </c>
      <c r="K844" s="329">
        <v>19.58521</v>
      </c>
      <c r="L844" s="157"/>
      <c r="M844" s="360">
        <f t="shared" si="79"/>
        <v>233001</v>
      </c>
      <c r="N844" s="237">
        <f t="shared" si="80"/>
        <v>19.58521</v>
      </c>
      <c r="O844" s="361"/>
      <c r="P844" s="361"/>
      <c r="Q844" s="361" t="s">
        <v>698</v>
      </c>
      <c r="R844" s="362">
        <v>35</v>
      </c>
      <c r="S844" s="236"/>
      <c r="T844" s="364">
        <f t="shared" si="83"/>
        <v>233001</v>
      </c>
      <c r="U844" s="365">
        <f>N844</f>
        <v>19.58521</v>
      </c>
      <c r="V844" s="365">
        <f>IF($Q844="ekrk",IF($R844="data",IFERROR(INDEX(data!$A:$ALL,MATCH($M844,data!$A:$A,0),MATCH(V$2,data!$1:$1,0)),"#data"),IFERROR(U844*INDEX(indexy_SDcast!$A:$ALI,MATCH($R844,indexy_SDcast!$K:$K,0),MATCH(V$2,indexy_SDcast!$2:$2,0)),"#ekrk")),"#popis")</f>
        <v>25.073615375429789</v>
      </c>
      <c r="W844" s="365">
        <f>IF($Q844="ekrk",IF($R844="data",IFERROR(INDEX(data!$A:$ALL,MATCH($M844,data!$A:$A,0),MATCH(W$2,data!$1:$1,0)),"#data"),IFERROR(V844*INDEX(indexy_SDcast!$A:$ALI,MATCH($R844,indexy_SDcast!$K:$K,0),MATCH(W$2,indexy_SDcast!$2:$2,0)),"#ekrk")),"#popis")</f>
        <v>25.355475550324279</v>
      </c>
      <c r="X844" s="365">
        <f>IF($Q844="ekrk",IF($R844="data",IFERROR(INDEX(data!$A:$ALL,MATCH($M844,data!$A:$A,0),MATCH(X$2,data!$1:$1,0)),"#data"),IFERROR(W844*INDEX(indexy_SDcast!$A:$ALI,MATCH($R844,indexy_SDcast!$K:$K,0),MATCH(X$2,indexy_SDcast!$2:$2,0)),"#ekrk")),"#popis")</f>
        <v>16.286480923908197</v>
      </c>
      <c r="Y844" s="362">
        <f>IF($Q844="ekrk",IF($R844="data",IFERROR(INDEX(data!$A:$ALL,MATCH($M844,data!$A:$A,0),MATCH(Y$2,data!$1:$1,0)),"#data"),IFERROR(X844*INDEX(indexy_SDcast!$A:$ALI,MATCH($R844,indexy_SDcast!$K:$K,0),MATCH(Y$2,indexy_SDcast!$2:$2,0)),"#ekrk")),"#popis")</f>
        <v>22.0331325674554</v>
      </c>
    </row>
    <row r="845" spans="1:44" s="18" customFormat="1" x14ac:dyDescent="0.25">
      <c r="A845" s="333" t="s">
        <v>747</v>
      </c>
      <c r="B845" s="334">
        <v>-3261.1331</v>
      </c>
      <c r="C845" s="164"/>
      <c r="D845" s="333" t="s">
        <v>747</v>
      </c>
      <c r="E845" s="334">
        <v>-3261.1331</v>
      </c>
      <c r="F845" s="164"/>
      <c r="G845" s="333" t="s">
        <v>747</v>
      </c>
      <c r="H845" s="334">
        <v>-3261.1331</v>
      </c>
      <c r="I845" s="164"/>
      <c r="J845" s="333" t="s">
        <v>747</v>
      </c>
      <c r="K845" s="334">
        <v>-3261.1331</v>
      </c>
      <c r="L845" s="164"/>
      <c r="M845" s="358" t="str">
        <f t="shared" si="79"/>
        <v>K22A</v>
      </c>
      <c r="N845" s="239">
        <f t="shared" si="80"/>
        <v>-3261.1331</v>
      </c>
      <c r="O845" s="243"/>
      <c r="P845" s="243">
        <f>MATCH(Q845,Q846:Q$1550,0)</f>
        <v>2</v>
      </c>
      <c r="Q845" s="243" t="s">
        <v>697</v>
      </c>
      <c r="R845" s="359"/>
      <c r="S845" s="240"/>
      <c r="T845" s="363" t="str">
        <f t="shared" si="83"/>
        <v>K22A</v>
      </c>
      <c r="U845" s="244">
        <f>SUM(U846:U846)</f>
        <v>-3261.1331</v>
      </c>
      <c r="V845" s="244">
        <f>SUM(V846:V846)</f>
        <v>-4175.0074182244161</v>
      </c>
      <c r="W845" s="244">
        <f>SUM(W846:W846)</f>
        <v>-4221.9399528217073</v>
      </c>
      <c r="X845" s="244">
        <f>SUM(X846:X846)</f>
        <v>-2711.8617581060203</v>
      </c>
      <c r="Y845" s="359">
        <f>SUM(Y846:Y846)</f>
        <v>-3668.7366595720337</v>
      </c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8"/>
      <c r="AN845" s="58"/>
      <c r="AO845" s="58"/>
      <c r="AP845" s="58"/>
      <c r="AQ845" s="58"/>
      <c r="AR845" s="58"/>
    </row>
    <row r="846" spans="1:44" x14ac:dyDescent="0.25">
      <c r="A846" s="330">
        <v>711004</v>
      </c>
      <c r="B846" s="329">
        <v>-3261.1331</v>
      </c>
      <c r="C846" s="157"/>
      <c r="D846" s="330">
        <v>711004</v>
      </c>
      <c r="E846" s="329">
        <v>-3261.1331</v>
      </c>
      <c r="F846" s="157"/>
      <c r="G846" s="330">
        <v>711004</v>
      </c>
      <c r="H846" s="329">
        <v>-3261.1331</v>
      </c>
      <c r="I846" s="157"/>
      <c r="J846" s="330">
        <v>711004</v>
      </c>
      <c r="K846" s="329">
        <v>-3261.1331</v>
      </c>
      <c r="L846" s="157"/>
      <c r="M846" s="360">
        <f t="shared" si="79"/>
        <v>711004</v>
      </c>
      <c r="N846" s="237">
        <f t="shared" si="80"/>
        <v>-3261.1331</v>
      </c>
      <c r="O846" s="361"/>
      <c r="P846" s="361"/>
      <c r="Q846" s="361" t="s">
        <v>698</v>
      </c>
      <c r="R846" s="362">
        <v>35</v>
      </c>
      <c r="S846" s="236"/>
      <c r="T846" s="364">
        <f t="shared" si="83"/>
        <v>711004</v>
      </c>
      <c r="U846" s="365">
        <f>N846</f>
        <v>-3261.1331</v>
      </c>
      <c r="V846" s="365">
        <f>IF($Q846="ekrk",IF($R846="data",IFERROR(INDEX(data!$A:$ALL,MATCH($M846,data!$A:$A,0),MATCH(V$2,data!$1:$1,0)),"#data"),IFERROR(U846*INDEX(indexy_SDcast!$A:$ALI,MATCH($R846,indexy_SDcast!$K:$K,0),MATCH(V$2,indexy_SDcast!$2:$2,0)),"#ekrk")),"#popis")</f>
        <v>-4175.0074182244161</v>
      </c>
      <c r="W846" s="365">
        <f>IF($Q846="ekrk",IF($R846="data",IFERROR(INDEX(data!$A:$ALL,MATCH($M846,data!$A:$A,0),MATCH(W$2,data!$1:$1,0)),"#data"),IFERROR(V846*INDEX(indexy_SDcast!$A:$ALI,MATCH($R846,indexy_SDcast!$K:$K,0),MATCH(W$2,indexy_SDcast!$2:$2,0)),"#ekrk")),"#popis")</f>
        <v>-4221.9399528217073</v>
      </c>
      <c r="X846" s="365">
        <f>IF($Q846="ekrk",IF($R846="data",IFERROR(INDEX(data!$A:$ALL,MATCH($M846,data!$A:$A,0),MATCH(X$2,data!$1:$1,0)),"#data"),IFERROR(W846*INDEX(indexy_SDcast!$A:$ALI,MATCH($R846,indexy_SDcast!$K:$K,0),MATCH(X$2,indexy_SDcast!$2:$2,0)),"#ekrk")),"#popis")</f>
        <v>-2711.8617581060203</v>
      </c>
      <c r="Y846" s="362">
        <f>IF($Q846="ekrk",IF($R846="data",IFERROR(INDEX(data!$A:$ALL,MATCH($M846,data!$A:$A,0),MATCH(Y$2,data!$1:$1,0)),"#data"),IFERROR(X846*INDEX(indexy_SDcast!$A:$ALI,MATCH($R846,indexy_SDcast!$K:$K,0),MATCH(Y$2,indexy_SDcast!$2:$2,0)),"#ekrk")),"#popis")</f>
        <v>-3668.7366595720337</v>
      </c>
    </row>
    <row r="847" spans="1:44" s="18" customFormat="1" x14ac:dyDescent="0.25">
      <c r="A847" s="333" t="s">
        <v>749</v>
      </c>
      <c r="B847" s="334">
        <v>96.191909999999993</v>
      </c>
      <c r="C847" s="164"/>
      <c r="D847" s="333" t="s">
        <v>749</v>
      </c>
      <c r="E847" s="334">
        <v>96.191909999999993</v>
      </c>
      <c r="F847" s="164"/>
      <c r="G847" s="333" t="s">
        <v>749</v>
      </c>
      <c r="H847" s="334">
        <v>96.191909999999993</v>
      </c>
      <c r="I847" s="164"/>
      <c r="J847" s="333" t="s">
        <v>749</v>
      </c>
      <c r="K847" s="334">
        <v>96.191909999999993</v>
      </c>
      <c r="L847" s="164"/>
      <c r="M847" s="358" t="str">
        <f t="shared" si="79"/>
        <v>P11</v>
      </c>
      <c r="N847" s="239">
        <f t="shared" si="80"/>
        <v>96.191909999999993</v>
      </c>
      <c r="O847" s="243"/>
      <c r="P847" s="243">
        <f>MATCH(Q847,Q848:Q$1550,0)</f>
        <v>3</v>
      </c>
      <c r="Q847" s="243" t="s">
        <v>697</v>
      </c>
      <c r="R847" s="359"/>
      <c r="S847" s="240"/>
      <c r="T847" s="363" t="str">
        <f t="shared" si="83"/>
        <v>P11</v>
      </c>
      <c r="U847" s="244">
        <f>SUM(U848:U849)</f>
        <v>96.191909999999993</v>
      </c>
      <c r="V847" s="244">
        <f>SUM(V848:V849)</f>
        <v>123.14797510815347</v>
      </c>
      <c r="W847" s="244">
        <f>SUM(W848:W849)</f>
        <v>124.53231914000379</v>
      </c>
      <c r="X847" s="244">
        <f>SUM(X848:X849)</f>
        <v>79.990345125188554</v>
      </c>
      <c r="Y847" s="359">
        <f>SUM(Y848:Y849)</f>
        <v>108.21477558559437</v>
      </c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8"/>
      <c r="AN847" s="58"/>
      <c r="AO847" s="58"/>
      <c r="AP847" s="58"/>
      <c r="AQ847" s="58"/>
      <c r="AR847" s="58"/>
    </row>
    <row r="848" spans="1:44" x14ac:dyDescent="0.25">
      <c r="A848" s="330">
        <v>212003</v>
      </c>
      <c r="B848" s="329">
        <v>8.7549999999999989E-2</v>
      </c>
      <c r="C848" s="157"/>
      <c r="D848" s="330">
        <v>212003</v>
      </c>
      <c r="E848" s="329">
        <v>8.7549999999999989E-2</v>
      </c>
      <c r="F848" s="157"/>
      <c r="G848" s="330">
        <v>212003</v>
      </c>
      <c r="H848" s="329">
        <v>8.7549999999999989E-2</v>
      </c>
      <c r="I848" s="157"/>
      <c r="J848" s="330">
        <v>212003</v>
      </c>
      <c r="K848" s="329">
        <v>8.7549999999999989E-2</v>
      </c>
      <c r="L848" s="157"/>
      <c r="M848" s="360">
        <f t="shared" si="79"/>
        <v>212003</v>
      </c>
      <c r="N848" s="237">
        <f t="shared" si="80"/>
        <v>8.7549999999999989E-2</v>
      </c>
      <c r="O848" s="361"/>
      <c r="P848" s="361"/>
      <c r="Q848" s="361" t="s">
        <v>698</v>
      </c>
      <c r="R848" s="362">
        <v>35</v>
      </c>
      <c r="S848" s="236"/>
      <c r="T848" s="364">
        <f t="shared" si="83"/>
        <v>212003</v>
      </c>
      <c r="U848" s="365">
        <f>N848</f>
        <v>8.7549999999999989E-2</v>
      </c>
      <c r="V848" s="365">
        <f>IF($Q848="ekrk",IF($R848="data",IFERROR(INDEX(data!$A:$ALL,MATCH($M848,data!$A:$A,0),MATCH(V$2,data!$1:$1,0)),"#data"),IFERROR(U848*INDEX(indexy_SDcast!$A:$ALI,MATCH($R848,indexy_SDcast!$K:$K,0),MATCH(V$2,indexy_SDcast!$2:$2,0)),"#ekrk")),"#popis")</f>
        <v>0.11208432414658193</v>
      </c>
      <c r="W848" s="365">
        <f>IF($Q848="ekrk",IF($R848="data",IFERROR(INDEX(data!$A:$ALL,MATCH($M848,data!$A:$A,0),MATCH(W$2,data!$1:$1,0)),"#data"),IFERROR(V848*INDEX(indexy_SDcast!$A:$ALI,MATCH($R848,indexy_SDcast!$K:$K,0),MATCH(W$2,indexy_SDcast!$2:$2,0)),"#ekrk")),"#popis")</f>
        <v>0.11334429829605557</v>
      </c>
      <c r="X848" s="365">
        <f>IF($Q848="ekrk",IF($R848="data",IFERROR(INDEX(data!$A:$ALL,MATCH($M848,data!$A:$A,0),MATCH(X$2,data!$1:$1,0)),"#data"),IFERROR(W848*INDEX(indexy_SDcast!$A:$ALI,MATCH($R848,indexy_SDcast!$K:$K,0),MATCH(X$2,indexy_SDcast!$2:$2,0)),"#ekrk")),"#popis")</f>
        <v>7.2803988565257285E-2</v>
      </c>
      <c r="Y848" s="362">
        <f>IF($Q848="ekrk",IF($R848="data",IFERROR(INDEX(data!$A:$ALL,MATCH($M848,data!$A:$A,0),MATCH(Y$2,data!$1:$1,0)),"#data"),IFERROR(X848*INDEX(indexy_SDcast!$A:$ALI,MATCH($R848,indexy_SDcast!$K:$K,0),MATCH(Y$2,indexy_SDcast!$2:$2,0)),"#ekrk")),"#popis")</f>
        <v>9.8492727741020913E-2</v>
      </c>
    </row>
    <row r="849" spans="1:44" x14ac:dyDescent="0.25">
      <c r="A849" s="330">
        <v>223001</v>
      </c>
      <c r="B849" s="329">
        <v>96.10436</v>
      </c>
      <c r="C849" s="157"/>
      <c r="D849" s="330">
        <v>223001</v>
      </c>
      <c r="E849" s="329">
        <v>96.10436</v>
      </c>
      <c r="F849" s="157"/>
      <c r="G849" s="330">
        <v>223001</v>
      </c>
      <c r="H849" s="329">
        <v>96.10436</v>
      </c>
      <c r="I849" s="157"/>
      <c r="J849" s="330">
        <v>223001</v>
      </c>
      <c r="K849" s="329">
        <v>96.10436</v>
      </c>
      <c r="L849" s="157"/>
      <c r="M849" s="360">
        <f t="shared" si="79"/>
        <v>223001</v>
      </c>
      <c r="N849" s="237">
        <f t="shared" si="80"/>
        <v>96.10436</v>
      </c>
      <c r="O849" s="361"/>
      <c r="P849" s="361"/>
      <c r="Q849" s="361" t="s">
        <v>698</v>
      </c>
      <c r="R849" s="362">
        <v>35</v>
      </c>
      <c r="S849" s="236"/>
      <c r="T849" s="364">
        <f t="shared" si="83"/>
        <v>223001</v>
      </c>
      <c r="U849" s="365">
        <f>N849</f>
        <v>96.10436</v>
      </c>
      <c r="V849" s="365">
        <f>IF($Q849="ekrk",IF($R849="data",IFERROR(INDEX(data!$A:$ALL,MATCH($M849,data!$A:$A,0),MATCH(V$2,data!$1:$1,0)),"#data"),IFERROR(U849*INDEX(indexy_SDcast!$A:$ALI,MATCH($R849,indexy_SDcast!$K:$K,0),MATCH(V$2,indexy_SDcast!$2:$2,0)),"#ekrk")),"#popis")</f>
        <v>123.0358907840069</v>
      </c>
      <c r="W849" s="365">
        <f>IF($Q849="ekrk",IF($R849="data",IFERROR(INDEX(data!$A:$ALL,MATCH($M849,data!$A:$A,0),MATCH(W$2,data!$1:$1,0)),"#data"),IFERROR(V849*INDEX(indexy_SDcast!$A:$ALI,MATCH($R849,indexy_SDcast!$K:$K,0),MATCH(W$2,indexy_SDcast!$2:$2,0)),"#ekrk")),"#popis")</f>
        <v>124.41897484170774</v>
      </c>
      <c r="X849" s="365">
        <f>IF($Q849="ekrk",IF($R849="data",IFERROR(INDEX(data!$A:$ALL,MATCH($M849,data!$A:$A,0),MATCH(X$2,data!$1:$1,0)),"#data"),IFERROR(W849*INDEX(indexy_SDcast!$A:$ALI,MATCH($R849,indexy_SDcast!$K:$K,0),MATCH(X$2,indexy_SDcast!$2:$2,0)),"#ekrk")),"#popis")</f>
        <v>79.917541136623299</v>
      </c>
      <c r="Y849" s="362">
        <f>IF($Q849="ekrk",IF($R849="data",IFERROR(INDEX(data!$A:$ALL,MATCH($M849,data!$A:$A,0),MATCH(Y$2,data!$1:$1,0)),"#data"),IFERROR(X849*INDEX(indexy_SDcast!$A:$ALI,MATCH($R849,indexy_SDcast!$K:$K,0),MATCH(Y$2,indexy_SDcast!$2:$2,0)),"#ekrk")),"#popis")</f>
        <v>108.11628285785335</v>
      </c>
    </row>
    <row r="850" spans="1:44" s="18" customFormat="1" x14ac:dyDescent="0.25">
      <c r="A850" s="333" t="s">
        <v>753</v>
      </c>
      <c r="B850" s="334">
        <v>-78170.923989999996</v>
      </c>
      <c r="C850" s="164"/>
      <c r="D850" s="333" t="s">
        <v>753</v>
      </c>
      <c r="E850" s="334">
        <v>-78170.923989999996</v>
      </c>
      <c r="F850" s="164"/>
      <c r="G850" s="333" t="s">
        <v>753</v>
      </c>
      <c r="H850" s="334">
        <v>-78170.923989999996</v>
      </c>
      <c r="I850" s="164"/>
      <c r="J850" s="333" t="s">
        <v>753</v>
      </c>
      <c r="K850" s="334">
        <v>-78170.923989999996</v>
      </c>
      <c r="L850" s="164"/>
      <c r="M850" s="358" t="str">
        <f t="shared" si="79"/>
        <v>P2</v>
      </c>
      <c r="N850" s="239">
        <f t="shared" si="80"/>
        <v>-78170.923989999996</v>
      </c>
      <c r="O850" s="243"/>
      <c r="P850" s="243">
        <f>MATCH(Q850,Q851:Q$1550,0)</f>
        <v>58</v>
      </c>
      <c r="Q850" s="243" t="s">
        <v>697</v>
      </c>
      <c r="R850" s="359"/>
      <c r="S850" s="240"/>
      <c r="T850" s="363" t="str">
        <f t="shared" si="83"/>
        <v>P2</v>
      </c>
      <c r="U850" s="244">
        <f>SUM(U851:U907)</f>
        <v>-78170.923989999996</v>
      </c>
      <c r="V850" s="244">
        <f>SUM(V851:V907)</f>
        <v>-100076.92956405456</v>
      </c>
      <c r="W850" s="244">
        <f>SUM(W851:W907)</f>
        <v>-101201.92492062645</v>
      </c>
      <c r="X850" s="244">
        <f>SUM(X851:X907)</f>
        <v>-65004.626571142828</v>
      </c>
      <c r="Y850" s="359">
        <f>SUM(Y851:Y907)</f>
        <v>-87941.376742559791</v>
      </c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8"/>
      <c r="AN850" s="58"/>
      <c r="AO850" s="58"/>
      <c r="AP850" s="58"/>
      <c r="AQ850" s="58"/>
      <c r="AR850" s="58"/>
    </row>
    <row r="851" spans="1:44" x14ac:dyDescent="0.25">
      <c r="A851" s="330">
        <v>631001</v>
      </c>
      <c r="B851" s="329">
        <v>-143.07346000000001</v>
      </c>
      <c r="C851" s="157"/>
      <c r="D851" s="330">
        <v>631001</v>
      </c>
      <c r="E851" s="329">
        <v>-143.07346000000001</v>
      </c>
      <c r="F851" s="157"/>
      <c r="G851" s="330">
        <v>631001</v>
      </c>
      <c r="H851" s="329">
        <v>-143.07346000000001</v>
      </c>
      <c r="I851" s="157"/>
      <c r="J851" s="330">
        <v>631001</v>
      </c>
      <c r="K851" s="329">
        <v>-143.07346000000001</v>
      </c>
      <c r="L851" s="157"/>
      <c r="M851" s="360">
        <f t="shared" si="79"/>
        <v>631001</v>
      </c>
      <c r="N851" s="237">
        <f t="shared" si="80"/>
        <v>-143.07346000000001</v>
      </c>
      <c r="O851" s="361"/>
      <c r="P851" s="361"/>
      <c r="Q851" s="361" t="s">
        <v>698</v>
      </c>
      <c r="R851" s="362">
        <v>35</v>
      </c>
      <c r="S851" s="236"/>
      <c r="T851" s="364">
        <f t="shared" si="83"/>
        <v>631001</v>
      </c>
      <c r="U851" s="365">
        <f t="shared" ref="U851:U882" si="85">N851</f>
        <v>-143.07346000000001</v>
      </c>
      <c r="V851" s="365">
        <f>IF($Q851="ekrk",IF($R851="data",IFERROR(INDEX(data!$A:$ALL,MATCH($M851,data!$A:$A,0),MATCH(V$2,data!$1:$1,0)),"#data"),IFERROR(U851*INDEX(indexy_SDcast!$A:$ALI,MATCH($R851,indexy_SDcast!$K:$K,0),MATCH(V$2,indexy_SDcast!$2:$2,0)),"#ekrk")),"#popis")</f>
        <v>-183.16724234623675</v>
      </c>
      <c r="W851" s="365">
        <f>IF($Q851="ekrk",IF($R851="data",IFERROR(INDEX(data!$A:$ALL,MATCH($M851,data!$A:$A,0),MATCH(W$2,data!$1:$1,0)),"#data"),IFERROR(V851*INDEX(indexy_SDcast!$A:$ALI,MATCH($R851,indexy_SDcast!$K:$K,0),MATCH(W$2,indexy_SDcast!$2:$2,0)),"#ekrk")),"#popis")</f>
        <v>-185.22628130769593</v>
      </c>
      <c r="X851" s="365">
        <f>IF($Q851="ekrk",IF($R851="data",IFERROR(INDEX(data!$A:$ALL,MATCH($M851,data!$A:$A,0),MATCH(X$2,data!$1:$1,0)),"#data"),IFERROR(W851*INDEX(indexy_SDcast!$A:$ALI,MATCH($R851,indexy_SDcast!$K:$K,0),MATCH(X$2,indexy_SDcast!$2:$2,0)),"#ekrk")),"#popis")</f>
        <v>-118.97565443554309</v>
      </c>
      <c r="Y851" s="362">
        <f>IF($Q851="ekrk",IF($R851="data",IFERROR(INDEX(data!$A:$ALL,MATCH($M851,data!$A:$A,0),MATCH(Y$2,data!$1:$1,0)),"#data"),IFERROR(X851*INDEX(indexy_SDcast!$A:$ALI,MATCH($R851,indexy_SDcast!$K:$K,0),MATCH(Y$2,indexy_SDcast!$2:$2,0)),"#ekrk")),"#popis")</f>
        <v>-160.95597193313361</v>
      </c>
    </row>
    <row r="852" spans="1:44" x14ac:dyDescent="0.25">
      <c r="A852" s="330">
        <v>631002</v>
      </c>
      <c r="B852" s="329">
        <v>-521.8933900000003</v>
      </c>
      <c r="C852" s="157"/>
      <c r="D852" s="330">
        <v>631002</v>
      </c>
      <c r="E852" s="329">
        <v>-521.8933900000003</v>
      </c>
      <c r="F852" s="157"/>
      <c r="G852" s="330">
        <v>631002</v>
      </c>
      <c r="H852" s="329">
        <v>-521.8933900000003</v>
      </c>
      <c r="I852" s="157"/>
      <c r="J852" s="330">
        <v>631002</v>
      </c>
      <c r="K852" s="329">
        <v>-521.8933900000003</v>
      </c>
      <c r="L852" s="157"/>
      <c r="M852" s="360">
        <f t="shared" si="79"/>
        <v>631002</v>
      </c>
      <c r="N852" s="237">
        <f t="shared" si="80"/>
        <v>-521.8933900000003</v>
      </c>
      <c r="O852" s="361"/>
      <c r="P852" s="361"/>
      <c r="Q852" s="361" t="s">
        <v>698</v>
      </c>
      <c r="R852" s="362">
        <v>35</v>
      </c>
      <c r="S852" s="236"/>
      <c r="T852" s="364">
        <f t="shared" si="83"/>
        <v>631002</v>
      </c>
      <c r="U852" s="365">
        <f t="shared" si="85"/>
        <v>-521.8933900000003</v>
      </c>
      <c r="V852" s="365">
        <f>IF($Q852="ekrk",IF($R852="data",IFERROR(INDEX(data!$A:$ALL,MATCH($M852,data!$A:$A,0),MATCH(V$2,data!$1:$1,0)),"#data"),IFERROR(U852*INDEX(indexy_SDcast!$A:$ALI,MATCH($R852,indexy_SDcast!$K:$K,0),MATCH(V$2,indexy_SDcast!$2:$2,0)),"#ekrk")),"#popis")</f>
        <v>-668.14469325777884</v>
      </c>
      <c r="W852" s="365">
        <f>IF($Q852="ekrk",IF($R852="data",IFERROR(INDEX(data!$A:$ALL,MATCH($M852,data!$A:$A,0),MATCH(W$2,data!$1:$1,0)),"#data"),IFERROR(V852*INDEX(indexy_SDcast!$A:$ALI,MATCH($R852,indexy_SDcast!$K:$K,0),MATCH(W$2,indexy_SDcast!$2:$2,0)),"#ekrk")),"#popis")</f>
        <v>-675.65551199200115</v>
      </c>
      <c r="X852" s="365">
        <f>IF($Q852="ekrk",IF($R852="data",IFERROR(INDEX(data!$A:$ALL,MATCH($M852,data!$A:$A,0),MATCH(X$2,data!$1:$1,0)),"#data"),IFERROR(W852*INDEX(indexy_SDcast!$A:$ALI,MATCH($R852,indexy_SDcast!$K:$K,0),MATCH(X$2,indexy_SDcast!$2:$2,0)),"#ekrk")),"#popis")</f>
        <v>-433.99109534943898</v>
      </c>
      <c r="Y852" s="362">
        <f>IF($Q852="ekrk",IF($R852="data",IFERROR(INDEX(data!$A:$ALL,MATCH($M852,data!$A:$A,0),MATCH(Y$2,data!$1:$1,0)),"#data"),IFERROR(X852*INDEX(indexy_SDcast!$A:$ALI,MATCH($R852,indexy_SDcast!$K:$K,0),MATCH(Y$2,indexy_SDcast!$2:$2,0)),"#ekrk")),"#popis")</f>
        <v>-587.12396997268388</v>
      </c>
    </row>
    <row r="853" spans="1:44" x14ac:dyDescent="0.25">
      <c r="A853" s="330">
        <v>632001</v>
      </c>
      <c r="B853" s="329">
        <v>-787.94125000000042</v>
      </c>
      <c r="C853" s="157"/>
      <c r="D853" s="330">
        <v>632001</v>
      </c>
      <c r="E853" s="329">
        <v>-787.94125000000042</v>
      </c>
      <c r="F853" s="157"/>
      <c r="G853" s="330">
        <v>632001</v>
      </c>
      <c r="H853" s="329">
        <v>-787.94125000000042</v>
      </c>
      <c r="I853" s="157"/>
      <c r="J853" s="330">
        <v>632001</v>
      </c>
      <c r="K853" s="329">
        <v>-787.94125000000042</v>
      </c>
      <c r="L853" s="157"/>
      <c r="M853" s="360">
        <f t="shared" si="79"/>
        <v>632001</v>
      </c>
      <c r="N853" s="237">
        <f t="shared" si="80"/>
        <v>-787.94125000000042</v>
      </c>
      <c r="O853" s="361"/>
      <c r="P853" s="361"/>
      <c r="Q853" s="361" t="s">
        <v>698</v>
      </c>
      <c r="R853" s="362">
        <v>35</v>
      </c>
      <c r="S853" s="236"/>
      <c r="T853" s="364">
        <f t="shared" si="83"/>
        <v>632001</v>
      </c>
      <c r="U853" s="365">
        <f t="shared" si="85"/>
        <v>-787.94125000000042</v>
      </c>
      <c r="V853" s="365">
        <f>IF($Q853="ekrk",IF($R853="data",IFERROR(INDEX(data!$A:$ALL,MATCH($M853,data!$A:$A,0),MATCH(V$2,data!$1:$1,0)),"#data"),IFERROR(U853*INDEX(indexy_SDcast!$A:$ALI,MATCH($R853,indexy_SDcast!$K:$K,0),MATCH(V$2,indexy_SDcast!$2:$2,0)),"#ekrk")),"#popis")</f>
        <v>-1008.7477152879841</v>
      </c>
      <c r="W853" s="365">
        <f>IF($Q853="ekrk",IF($R853="data",IFERROR(INDEX(data!$A:$ALL,MATCH($M853,data!$A:$A,0),MATCH(W$2,data!$1:$1,0)),"#data"),IFERROR(V853*INDEX(indexy_SDcast!$A:$ALI,MATCH($R853,indexy_SDcast!$K:$K,0),MATCH(W$2,indexy_SDcast!$2:$2,0)),"#ekrk")),"#popis")</f>
        <v>-1020.0873567077892</v>
      </c>
      <c r="X853" s="365">
        <f>IF($Q853="ekrk",IF($R853="data",IFERROR(INDEX(data!$A:$ALL,MATCH($M853,data!$A:$A,0),MATCH(X$2,data!$1:$1,0)),"#data"),IFERROR(W853*INDEX(indexy_SDcast!$A:$ALI,MATCH($R853,indexy_SDcast!$K:$K,0),MATCH(X$2,indexy_SDcast!$2:$2,0)),"#ekrk")),"#popis")</f>
        <v>-655.2286208463114</v>
      </c>
      <c r="Y853" s="362">
        <f>IF($Q853="ekrk",IF($R853="data",IFERROR(INDEX(data!$A:$ALL,MATCH($M853,data!$A:$A,0),MATCH(Y$2,data!$1:$1,0)),"#data"),IFERROR(X853*INDEX(indexy_SDcast!$A:$ALI,MATCH($R853,indexy_SDcast!$K:$K,0),MATCH(Y$2,indexy_SDcast!$2:$2,0)),"#ekrk")),"#popis")</f>
        <v>-886.4247060213562</v>
      </c>
    </row>
    <row r="854" spans="1:44" x14ac:dyDescent="0.25">
      <c r="A854" s="330">
        <v>632002</v>
      </c>
      <c r="B854" s="329">
        <v>-56.353030000000004</v>
      </c>
      <c r="C854" s="157"/>
      <c r="D854" s="330">
        <v>632002</v>
      </c>
      <c r="E854" s="329">
        <v>-56.353030000000004</v>
      </c>
      <c r="F854" s="157"/>
      <c r="G854" s="330">
        <v>632002</v>
      </c>
      <c r="H854" s="329">
        <v>-56.353030000000004</v>
      </c>
      <c r="I854" s="157"/>
      <c r="J854" s="330">
        <v>632002</v>
      </c>
      <c r="K854" s="329">
        <v>-56.353030000000004</v>
      </c>
      <c r="L854" s="157"/>
      <c r="M854" s="360">
        <f t="shared" si="79"/>
        <v>632002</v>
      </c>
      <c r="N854" s="237">
        <f t="shared" si="80"/>
        <v>-56.353030000000004</v>
      </c>
      <c r="O854" s="361"/>
      <c r="P854" s="361"/>
      <c r="Q854" s="361" t="s">
        <v>698</v>
      </c>
      <c r="R854" s="362">
        <v>35</v>
      </c>
      <c r="S854" s="236"/>
      <c r="T854" s="364">
        <f t="shared" si="83"/>
        <v>632002</v>
      </c>
      <c r="U854" s="365">
        <f t="shared" si="85"/>
        <v>-56.353030000000004</v>
      </c>
      <c r="V854" s="365">
        <f>IF($Q854="ekrk",IF($R854="data",IFERROR(INDEX(data!$A:$ALL,MATCH($M854,data!$A:$A,0),MATCH(V$2,data!$1:$1,0)),"#data"),IFERROR(U854*INDEX(indexy_SDcast!$A:$ALI,MATCH($R854,indexy_SDcast!$K:$K,0),MATCH(V$2,indexy_SDcast!$2:$2,0)),"#ekrk")),"#popis")</f>
        <v>-72.144960378778492</v>
      </c>
      <c r="W854" s="365">
        <f>IF($Q854="ekrk",IF($R854="data",IFERROR(INDEX(data!$A:$ALL,MATCH($M854,data!$A:$A,0),MATCH(W$2,data!$1:$1,0)),"#data"),IFERROR(V854*INDEX(indexy_SDcast!$A:$ALI,MATCH($R854,indexy_SDcast!$K:$K,0),MATCH(W$2,indexy_SDcast!$2:$2,0)),"#ekrk")),"#popis")</f>
        <v>-72.955963931542769</v>
      </c>
      <c r="X854" s="365">
        <f>IF($Q854="ekrk",IF($R854="data",IFERROR(INDEX(data!$A:$ALL,MATCH($M854,data!$A:$A,0),MATCH(X$2,data!$1:$1,0)),"#data"),IFERROR(W854*INDEX(indexy_SDcast!$A:$ALI,MATCH($R854,indexy_SDcast!$K:$K,0),MATCH(X$2,indexy_SDcast!$2:$2,0)),"#ekrk")),"#popis")</f>
        <v>-46.861511727442618</v>
      </c>
      <c r="Y854" s="362">
        <f>IF($Q854="ekrk",IF($R854="data",IFERROR(INDEX(data!$A:$ALL,MATCH($M854,data!$A:$A,0),MATCH(Y$2,data!$1:$1,0)),"#data"),IFERROR(X854*INDEX(indexy_SDcast!$A:$ALI,MATCH($R854,indexy_SDcast!$K:$K,0),MATCH(Y$2,indexy_SDcast!$2:$2,0)),"#ekrk")),"#popis")</f>
        <v>-63.396500755814785</v>
      </c>
    </row>
    <row r="855" spans="1:44" x14ac:dyDescent="0.25">
      <c r="A855" s="330">
        <v>632003</v>
      </c>
      <c r="B855" s="329">
        <v>-79.749719999999982</v>
      </c>
      <c r="C855" s="157"/>
      <c r="D855" s="330">
        <v>632003</v>
      </c>
      <c r="E855" s="329">
        <v>-79.749719999999982</v>
      </c>
      <c r="F855" s="157"/>
      <c r="G855" s="330">
        <v>632003</v>
      </c>
      <c r="H855" s="329">
        <v>-79.749719999999982</v>
      </c>
      <c r="I855" s="157"/>
      <c r="J855" s="330">
        <v>632003</v>
      </c>
      <c r="K855" s="329">
        <v>-79.749719999999982</v>
      </c>
      <c r="L855" s="157"/>
      <c r="M855" s="360">
        <f t="shared" si="79"/>
        <v>632003</v>
      </c>
      <c r="N855" s="237">
        <f t="shared" si="80"/>
        <v>-79.749719999999982</v>
      </c>
      <c r="O855" s="361"/>
      <c r="P855" s="361"/>
      <c r="Q855" s="361" t="s">
        <v>698</v>
      </c>
      <c r="R855" s="362">
        <v>35</v>
      </c>
      <c r="S855" s="236"/>
      <c r="T855" s="364">
        <f t="shared" si="83"/>
        <v>632003</v>
      </c>
      <c r="U855" s="365">
        <f t="shared" si="85"/>
        <v>-79.749719999999982</v>
      </c>
      <c r="V855" s="365">
        <f>IF($Q855="ekrk",IF($R855="data",IFERROR(INDEX(data!$A:$ALL,MATCH($M855,data!$A:$A,0),MATCH(V$2,data!$1:$1,0)),"#data"),IFERROR(U855*INDEX(indexy_SDcast!$A:$ALI,MATCH($R855,indexy_SDcast!$K:$K,0),MATCH(V$2,indexy_SDcast!$2:$2,0)),"#ekrk")),"#popis")</f>
        <v>-102.09815496378238</v>
      </c>
      <c r="W855" s="365">
        <f>IF($Q855="ekrk",IF($R855="data",IFERROR(INDEX(data!$A:$ALL,MATCH($M855,data!$A:$A,0),MATCH(W$2,data!$1:$1,0)),"#data"),IFERROR(V855*INDEX(indexy_SDcast!$A:$ALI,MATCH($R855,indexy_SDcast!$K:$K,0),MATCH(W$2,indexy_SDcast!$2:$2,0)),"#ekrk")),"#popis")</f>
        <v>-103.24587153291728</v>
      </c>
      <c r="X855" s="365">
        <f>IF($Q855="ekrk",IF($R855="data",IFERROR(INDEX(data!$A:$ALL,MATCH($M855,data!$A:$A,0),MATCH(X$2,data!$1:$1,0)),"#data"),IFERROR(W855*INDEX(indexy_SDcast!$A:$ALI,MATCH($R855,indexy_SDcast!$K:$K,0),MATCH(X$2,indexy_SDcast!$2:$2,0)),"#ekrk")),"#popis")</f>
        <v>-66.317506601513074</v>
      </c>
      <c r="Y855" s="362">
        <f>IF($Q855="ekrk",IF($R855="data",IFERROR(INDEX(data!$A:$ALL,MATCH($M855,data!$A:$A,0),MATCH(Y$2,data!$1:$1,0)),"#data"),IFERROR(X855*INDEX(indexy_SDcast!$A:$ALI,MATCH($R855,indexy_SDcast!$K:$K,0),MATCH(Y$2,indexy_SDcast!$2:$2,0)),"#ekrk")),"#popis")</f>
        <v>-89.717503819333515</v>
      </c>
    </row>
    <row r="856" spans="1:44" x14ac:dyDescent="0.25">
      <c r="A856" s="330">
        <v>632004</v>
      </c>
      <c r="B856" s="329">
        <v>-194.16126</v>
      </c>
      <c r="C856" s="157"/>
      <c r="D856" s="330">
        <v>632004</v>
      </c>
      <c r="E856" s="329">
        <v>-194.16126</v>
      </c>
      <c r="F856" s="157"/>
      <c r="G856" s="330">
        <v>632004</v>
      </c>
      <c r="H856" s="329">
        <v>-194.16126</v>
      </c>
      <c r="I856" s="157"/>
      <c r="J856" s="330">
        <v>632004</v>
      </c>
      <c r="K856" s="329">
        <v>-194.16126</v>
      </c>
      <c r="L856" s="157"/>
      <c r="M856" s="360">
        <f t="shared" si="79"/>
        <v>632004</v>
      </c>
      <c r="N856" s="237">
        <f t="shared" si="80"/>
        <v>-194.16126</v>
      </c>
      <c r="O856" s="361"/>
      <c r="P856" s="361"/>
      <c r="Q856" s="361" t="s">
        <v>698</v>
      </c>
      <c r="R856" s="362">
        <v>35</v>
      </c>
      <c r="S856" s="236"/>
      <c r="T856" s="364">
        <f t="shared" si="83"/>
        <v>632004</v>
      </c>
      <c r="U856" s="365">
        <f t="shared" si="85"/>
        <v>-194.16126</v>
      </c>
      <c r="V856" s="365">
        <f>IF($Q856="ekrk",IF($R856="data",IFERROR(INDEX(data!$A:$ALL,MATCH($M856,data!$A:$A,0),MATCH(V$2,data!$1:$1,0)),"#data"),IFERROR(U856*INDEX(indexy_SDcast!$A:$ALI,MATCH($R856,indexy_SDcast!$K:$K,0),MATCH(V$2,indexy_SDcast!$2:$2,0)),"#ekrk")),"#popis")</f>
        <v>-248.57148603710763</v>
      </c>
      <c r="W856" s="365">
        <f>IF($Q856="ekrk",IF($R856="data",IFERROR(INDEX(data!$A:$ALL,MATCH($M856,data!$A:$A,0),MATCH(W$2,data!$1:$1,0)),"#data"),IFERROR(V856*INDEX(indexy_SDcast!$A:$ALI,MATCH($R856,indexy_SDcast!$K:$K,0),MATCH(W$2,indexy_SDcast!$2:$2,0)),"#ekrk")),"#popis")</f>
        <v>-251.36575409455173</v>
      </c>
      <c r="X856" s="365">
        <f>IF($Q856="ekrk",IF($R856="data",IFERROR(INDEX(data!$A:$ALL,MATCH($M856,data!$A:$A,0),MATCH(X$2,data!$1:$1,0)),"#data"),IFERROR(W856*INDEX(indexy_SDcast!$A:$ALI,MATCH($R856,indexy_SDcast!$K:$K,0),MATCH(X$2,indexy_SDcast!$2:$2,0)),"#ekrk")),"#popis")</f>
        <v>-161.45875674307192</v>
      </c>
      <c r="Y856" s="362">
        <f>IF($Q856="ekrk",IF($R856="data",IFERROR(INDEX(data!$A:$ALL,MATCH($M856,data!$A:$A,0),MATCH(Y$2,data!$1:$1,0)),"#data"),IFERROR(X856*INDEX(indexy_SDcast!$A:$ALI,MATCH($R856,indexy_SDcast!$K:$K,0),MATCH(Y$2,indexy_SDcast!$2:$2,0)),"#ekrk")),"#popis")</f>
        <v>-218.4291504172881</v>
      </c>
    </row>
    <row r="857" spans="1:44" x14ac:dyDescent="0.25">
      <c r="A857" s="330">
        <v>633001</v>
      </c>
      <c r="B857" s="329">
        <v>-2518.1232099999988</v>
      </c>
      <c r="C857" s="157"/>
      <c r="D857" s="330">
        <v>633001</v>
      </c>
      <c r="E857" s="329">
        <v>-2518.1232099999988</v>
      </c>
      <c r="F857" s="157"/>
      <c r="G857" s="330">
        <v>633001</v>
      </c>
      <c r="H857" s="329">
        <v>-2518.1232099999988</v>
      </c>
      <c r="I857" s="157"/>
      <c r="J857" s="330">
        <v>633001</v>
      </c>
      <c r="K857" s="329">
        <v>-2518.1232099999988</v>
      </c>
      <c r="L857" s="157"/>
      <c r="M857" s="360">
        <f t="shared" si="79"/>
        <v>633001</v>
      </c>
      <c r="N857" s="237">
        <f t="shared" si="80"/>
        <v>-2518.1232099999988</v>
      </c>
      <c r="O857" s="361"/>
      <c r="P857" s="361"/>
      <c r="Q857" s="361" t="s">
        <v>698</v>
      </c>
      <c r="R857" s="362">
        <v>35</v>
      </c>
      <c r="S857" s="236"/>
      <c r="T857" s="364">
        <f t="shared" si="83"/>
        <v>633001</v>
      </c>
      <c r="U857" s="365">
        <f t="shared" si="85"/>
        <v>-2518.1232099999988</v>
      </c>
      <c r="V857" s="365">
        <f>IF($Q857="ekrk",IF($R857="data",IFERROR(INDEX(data!$A:$ALL,MATCH($M857,data!$A:$A,0),MATCH(V$2,data!$1:$1,0)),"#data"),IFERROR(U857*INDEX(indexy_SDcast!$A:$ALI,MATCH($R857,indexy_SDcast!$K:$K,0),MATCH(V$2,indexy_SDcast!$2:$2,0)),"#ekrk")),"#popis")</f>
        <v>-3223.782274250957</v>
      </c>
      <c r="W857" s="365">
        <f>IF($Q857="ekrk",IF($R857="data",IFERROR(INDEX(data!$A:$ALL,MATCH($M857,data!$A:$A,0),MATCH(W$2,data!$1:$1,0)),"#data"),IFERROR(V857*INDEX(indexy_SDcast!$A:$ALI,MATCH($R857,indexy_SDcast!$K:$K,0),MATCH(W$2,indexy_SDcast!$2:$2,0)),"#ekrk")),"#popis")</f>
        <v>-3260.0217962359893</v>
      </c>
      <c r="X857" s="365">
        <f>IF($Q857="ekrk",IF($R857="data",IFERROR(INDEX(data!$A:$ALL,MATCH($M857,data!$A:$A,0),MATCH(X$2,data!$1:$1,0)),"#data"),IFERROR(W857*INDEX(indexy_SDcast!$A:$ALI,MATCH($R857,indexy_SDcast!$K:$K,0),MATCH(X$2,indexy_SDcast!$2:$2,0)),"#ekrk")),"#popis")</f>
        <v>-2093.9967262906785</v>
      </c>
      <c r="Y857" s="362">
        <f>IF($Q857="ekrk",IF($R857="data",IFERROR(INDEX(data!$A:$ALL,MATCH($M857,data!$A:$A,0),MATCH(Y$2,data!$1:$1,0)),"#data"),IFERROR(X857*INDEX(indexy_SDcast!$A:$ALI,MATCH($R857,indexy_SDcast!$K:$K,0),MATCH(Y$2,indexy_SDcast!$2:$2,0)),"#ekrk")),"#popis")</f>
        <v>-2832.8592089191952</v>
      </c>
    </row>
    <row r="858" spans="1:44" x14ac:dyDescent="0.25">
      <c r="A858" s="330">
        <v>633002</v>
      </c>
      <c r="B858" s="329">
        <v>-1145.8935800000002</v>
      </c>
      <c r="C858" s="157"/>
      <c r="D858" s="330">
        <v>633002</v>
      </c>
      <c r="E858" s="329">
        <v>-1145.8935800000002</v>
      </c>
      <c r="F858" s="157"/>
      <c r="G858" s="330">
        <v>633002</v>
      </c>
      <c r="H858" s="329">
        <v>-1145.8935800000002</v>
      </c>
      <c r="I858" s="157"/>
      <c r="J858" s="330">
        <v>633002</v>
      </c>
      <c r="K858" s="329">
        <v>-1145.8935800000002</v>
      </c>
      <c r="L858" s="157"/>
      <c r="M858" s="360">
        <f t="shared" si="79"/>
        <v>633002</v>
      </c>
      <c r="N858" s="237">
        <f t="shared" si="80"/>
        <v>-1145.8935800000002</v>
      </c>
      <c r="O858" s="361"/>
      <c r="P858" s="361"/>
      <c r="Q858" s="361" t="s">
        <v>698</v>
      </c>
      <c r="R858" s="362">
        <v>35</v>
      </c>
      <c r="S858" s="236"/>
      <c r="T858" s="364">
        <f t="shared" si="83"/>
        <v>633002</v>
      </c>
      <c r="U858" s="365">
        <f t="shared" si="85"/>
        <v>-1145.8935800000002</v>
      </c>
      <c r="V858" s="365">
        <f>IF($Q858="ekrk",IF($R858="data",IFERROR(INDEX(data!$A:$ALL,MATCH($M858,data!$A:$A,0),MATCH(V$2,data!$1:$1,0)),"#data"),IFERROR(U858*INDEX(indexy_SDcast!$A:$ALI,MATCH($R858,indexy_SDcast!$K:$K,0),MATCH(V$2,indexy_SDcast!$2:$2,0)),"#ekrk")),"#popis")</f>
        <v>-1467.0097939258394</v>
      </c>
      <c r="W858" s="365">
        <f>IF($Q858="ekrk",IF($R858="data",IFERROR(INDEX(data!$A:$ALL,MATCH($M858,data!$A:$A,0),MATCH(W$2,data!$1:$1,0)),"#data"),IFERROR(V858*INDEX(indexy_SDcast!$A:$ALI,MATCH($R858,indexy_SDcast!$K:$K,0),MATCH(W$2,indexy_SDcast!$2:$2,0)),"#ekrk")),"#popis")</f>
        <v>-1483.5008994523705</v>
      </c>
      <c r="X858" s="365">
        <f>IF($Q858="ekrk",IF($R858="data",IFERROR(INDEX(data!$A:$ALL,MATCH($M858,data!$A:$A,0),MATCH(X$2,data!$1:$1,0)),"#data"),IFERROR(W858*INDEX(indexy_SDcast!$A:$ALI,MATCH($R858,indexy_SDcast!$K:$K,0),MATCH(X$2,indexy_SDcast!$2:$2,0)),"#ekrk")),"#popis")</f>
        <v>-952.89118327037977</v>
      </c>
      <c r="Y858" s="362">
        <f>IF($Q858="ekrk",IF($R858="data",IFERROR(INDEX(data!$A:$ALL,MATCH($M858,data!$A:$A,0),MATCH(Y$2,data!$1:$1,0)),"#data"),IFERROR(X858*INDEX(indexy_SDcast!$A:$ALI,MATCH($R858,indexy_SDcast!$K:$K,0),MATCH(Y$2,indexy_SDcast!$2:$2,0)),"#ekrk")),"#popis")</f>
        <v>-1289.116897717005</v>
      </c>
    </row>
    <row r="859" spans="1:44" x14ac:dyDescent="0.25">
      <c r="A859" s="330">
        <v>633003</v>
      </c>
      <c r="B859" s="329">
        <v>-221.28621000000001</v>
      </c>
      <c r="C859" s="157"/>
      <c r="D859" s="330">
        <v>633003</v>
      </c>
      <c r="E859" s="329">
        <v>-221.28621000000001</v>
      </c>
      <c r="F859" s="157"/>
      <c r="G859" s="330">
        <v>633003</v>
      </c>
      <c r="H859" s="329">
        <v>-221.28621000000001</v>
      </c>
      <c r="I859" s="157"/>
      <c r="J859" s="330">
        <v>633003</v>
      </c>
      <c r="K859" s="329">
        <v>-221.28621000000001</v>
      </c>
      <c r="L859" s="157"/>
      <c r="M859" s="360">
        <f t="shared" ref="M859:M922" si="86">J859</f>
        <v>633003</v>
      </c>
      <c r="N859" s="237">
        <f t="shared" ref="N859:N922" si="87">K859</f>
        <v>-221.28621000000001</v>
      </c>
      <c r="O859" s="361"/>
      <c r="P859" s="361"/>
      <c r="Q859" s="361" t="s">
        <v>698</v>
      </c>
      <c r="R859" s="362">
        <v>35</v>
      </c>
      <c r="S859" s="236"/>
      <c r="T859" s="364">
        <f t="shared" si="83"/>
        <v>633003</v>
      </c>
      <c r="U859" s="365">
        <f t="shared" si="85"/>
        <v>-221.28621000000001</v>
      </c>
      <c r="V859" s="365">
        <f>IF($Q859="ekrk",IF($R859="data",IFERROR(INDEX(data!$A:$ALL,MATCH($M859,data!$A:$A,0),MATCH(V$2,data!$1:$1,0)),"#data"),IFERROR(U859*INDEX(indexy_SDcast!$A:$ALI,MATCH($R859,indexy_SDcast!$K:$K,0),MATCH(V$2,indexy_SDcast!$2:$2,0)),"#ekrk")),"#popis")</f>
        <v>-283.29771891271963</v>
      </c>
      <c r="W859" s="365">
        <f>IF($Q859="ekrk",IF($R859="data",IFERROR(INDEX(data!$A:$ALL,MATCH($M859,data!$A:$A,0),MATCH(W$2,data!$1:$1,0)),"#data"),IFERROR(V859*INDEX(indexy_SDcast!$A:$ALI,MATCH($R859,indexy_SDcast!$K:$K,0),MATCH(W$2,indexy_SDcast!$2:$2,0)),"#ekrk")),"#popis")</f>
        <v>-286.48235516897313</v>
      </c>
      <c r="X859" s="365">
        <f>IF($Q859="ekrk",IF($R859="data",IFERROR(INDEX(data!$A:$ALL,MATCH($M859,data!$A:$A,0),MATCH(X$2,data!$1:$1,0)),"#data"),IFERROR(W859*INDEX(indexy_SDcast!$A:$ALI,MATCH($R859,indexy_SDcast!$K:$K,0),MATCH(X$2,indexy_SDcast!$2:$2,0)),"#ekrk")),"#popis")</f>
        <v>-184.01506227857365</v>
      </c>
      <c r="Y859" s="362">
        <f>IF($Q859="ekrk",IF($R859="data",IFERROR(INDEX(data!$A:$ALL,MATCH($M859,data!$A:$A,0),MATCH(Y$2,data!$1:$1,0)),"#data"),IFERROR(X859*INDEX(indexy_SDcast!$A:$ALI,MATCH($R859,indexy_SDcast!$K:$K,0),MATCH(Y$2,indexy_SDcast!$2:$2,0)),"#ekrk")),"#popis")</f>
        <v>-248.94440244857088</v>
      </c>
    </row>
    <row r="860" spans="1:44" x14ac:dyDescent="0.25">
      <c r="A860" s="330">
        <v>633004</v>
      </c>
      <c r="B860" s="329">
        <v>-1583.4256100000016</v>
      </c>
      <c r="C860" s="157"/>
      <c r="D860" s="330">
        <v>633004</v>
      </c>
      <c r="E860" s="329">
        <v>-1583.4256100000016</v>
      </c>
      <c r="F860" s="157"/>
      <c r="G860" s="330">
        <v>633004</v>
      </c>
      <c r="H860" s="329">
        <v>-1583.4256100000016</v>
      </c>
      <c r="I860" s="157"/>
      <c r="J860" s="330">
        <v>633004</v>
      </c>
      <c r="K860" s="329">
        <v>-1583.4256100000016</v>
      </c>
      <c r="L860" s="157"/>
      <c r="M860" s="360">
        <f t="shared" si="86"/>
        <v>633004</v>
      </c>
      <c r="N860" s="237">
        <f t="shared" si="87"/>
        <v>-1583.4256100000016</v>
      </c>
      <c r="O860" s="361"/>
      <c r="P860" s="361"/>
      <c r="Q860" s="361" t="s">
        <v>698</v>
      </c>
      <c r="R860" s="362">
        <v>35</v>
      </c>
      <c r="S860" s="236"/>
      <c r="T860" s="364">
        <f t="shared" si="83"/>
        <v>633004</v>
      </c>
      <c r="U860" s="365">
        <f t="shared" si="85"/>
        <v>-1583.4256100000016</v>
      </c>
      <c r="V860" s="365">
        <f>IF($Q860="ekrk",IF($R860="data",IFERROR(INDEX(data!$A:$ALL,MATCH($M860,data!$A:$A,0),MATCH(V$2,data!$1:$1,0)),"#data"),IFERROR(U860*INDEX(indexy_SDcast!$A:$ALI,MATCH($R860,indexy_SDcast!$K:$K,0),MATCH(V$2,indexy_SDcast!$2:$2,0)),"#ekrk")),"#popis")</f>
        <v>-2027.1523624584743</v>
      </c>
      <c r="W860" s="365">
        <f>IF($Q860="ekrk",IF($R860="data",IFERROR(INDEX(data!$A:$ALL,MATCH($M860,data!$A:$A,0),MATCH(W$2,data!$1:$1,0)),"#data"),IFERROR(V860*INDEX(indexy_SDcast!$A:$ALI,MATCH($R860,indexy_SDcast!$K:$K,0),MATCH(W$2,indexy_SDcast!$2:$2,0)),"#ekrk")),"#popis")</f>
        <v>-2049.94020182129</v>
      </c>
      <c r="X860" s="365">
        <f>IF($Q860="ekrk",IF($R860="data",IFERROR(INDEX(data!$A:$ALL,MATCH($M860,data!$A:$A,0),MATCH(X$2,data!$1:$1,0)),"#data"),IFERROR(W860*INDEX(indexy_SDcast!$A:$ALI,MATCH($R860,indexy_SDcast!$K:$K,0),MATCH(X$2,indexy_SDcast!$2:$2,0)),"#ekrk")),"#popis")</f>
        <v>-1316.7298686964666</v>
      </c>
      <c r="Y860" s="362">
        <f>IF($Q860="ekrk",IF($R860="data",IFERROR(INDEX(data!$A:$ALL,MATCH($M860,data!$A:$A,0),MATCH(Y$2,data!$1:$1,0)),"#data"),IFERROR(X860*INDEX(indexy_SDcast!$A:$ALI,MATCH($R860,indexy_SDcast!$K:$K,0),MATCH(Y$2,indexy_SDcast!$2:$2,0)),"#ekrk")),"#popis")</f>
        <v>-1781.3353227171915</v>
      </c>
    </row>
    <row r="861" spans="1:44" x14ac:dyDescent="0.25">
      <c r="A861" s="330">
        <v>633005</v>
      </c>
      <c r="B861" s="329">
        <v>-193.10292999999999</v>
      </c>
      <c r="C861" s="157"/>
      <c r="D861" s="330">
        <v>633005</v>
      </c>
      <c r="E861" s="329">
        <v>-193.10292999999999</v>
      </c>
      <c r="F861" s="157"/>
      <c r="G861" s="330">
        <v>633005</v>
      </c>
      <c r="H861" s="329">
        <v>-193.10292999999999</v>
      </c>
      <c r="I861" s="157"/>
      <c r="J861" s="330">
        <v>633005</v>
      </c>
      <c r="K861" s="329">
        <v>-193.10292999999999</v>
      </c>
      <c r="L861" s="157"/>
      <c r="M861" s="360">
        <f t="shared" si="86"/>
        <v>633005</v>
      </c>
      <c r="N861" s="237">
        <f t="shared" si="87"/>
        <v>-193.10292999999999</v>
      </c>
      <c r="O861" s="361"/>
      <c r="P861" s="361"/>
      <c r="Q861" s="361" t="s">
        <v>698</v>
      </c>
      <c r="R861" s="362">
        <v>35</v>
      </c>
      <c r="S861" s="236"/>
      <c r="T861" s="364">
        <f t="shared" si="83"/>
        <v>633005</v>
      </c>
      <c r="U861" s="365">
        <f t="shared" si="85"/>
        <v>-193.10292999999999</v>
      </c>
      <c r="V861" s="365">
        <f>IF($Q861="ekrk",IF($R861="data",IFERROR(INDEX(data!$A:$ALL,MATCH($M861,data!$A:$A,0),MATCH(V$2,data!$1:$1,0)),"#data"),IFERROR(U861*INDEX(indexy_SDcast!$A:$ALI,MATCH($R861,indexy_SDcast!$K:$K,0),MATCH(V$2,indexy_SDcast!$2:$2,0)),"#ekrk")),"#popis")</f>
        <v>-247.21657795288087</v>
      </c>
      <c r="W861" s="365">
        <f>IF($Q861="ekrk",IF($R861="data",IFERROR(INDEX(data!$A:$ALL,MATCH($M861,data!$A:$A,0),MATCH(W$2,data!$1:$1,0)),"#data"),IFERROR(V861*INDEX(indexy_SDcast!$A:$ALI,MATCH($R861,indexy_SDcast!$K:$K,0),MATCH(W$2,indexy_SDcast!$2:$2,0)),"#ekrk")),"#popis")</f>
        <v>-249.9956150743842</v>
      </c>
      <c r="X861" s="365">
        <f>IF($Q861="ekrk",IF($R861="data",IFERROR(INDEX(data!$A:$ALL,MATCH($M861,data!$A:$A,0),MATCH(X$2,data!$1:$1,0)),"#data"),IFERROR(W861*INDEX(indexy_SDcast!$A:$ALI,MATCH($R861,indexy_SDcast!$K:$K,0),MATCH(X$2,indexy_SDcast!$2:$2,0)),"#ekrk")),"#popis")</f>
        <v>-160.57868084109282</v>
      </c>
      <c r="Y861" s="362">
        <f>IF($Q861="ekrk",IF($R861="data",IFERROR(INDEX(data!$A:$ALL,MATCH($M861,data!$A:$A,0),MATCH(Y$2,data!$1:$1,0)),"#data"),IFERROR(X861*INDEX(indexy_SDcast!$A:$ALI,MATCH($R861,indexy_SDcast!$K:$K,0),MATCH(Y$2,indexy_SDcast!$2:$2,0)),"#ekrk")),"#popis")</f>
        <v>-217.23854152465353</v>
      </c>
    </row>
    <row r="862" spans="1:44" x14ac:dyDescent="0.25">
      <c r="A862" s="330">
        <v>633006</v>
      </c>
      <c r="B862" s="329">
        <v>-4193.1575299999977</v>
      </c>
      <c r="C862" s="157"/>
      <c r="D862" s="330">
        <v>633006</v>
      </c>
      <c r="E862" s="329">
        <v>-4193.1575299999977</v>
      </c>
      <c r="F862" s="157"/>
      <c r="G862" s="330">
        <v>633006</v>
      </c>
      <c r="H862" s="329">
        <v>-4193.1575299999977</v>
      </c>
      <c r="I862" s="157"/>
      <c r="J862" s="330">
        <v>633006</v>
      </c>
      <c r="K862" s="329">
        <v>-4193.1575299999977</v>
      </c>
      <c r="L862" s="157"/>
      <c r="M862" s="360">
        <f t="shared" si="86"/>
        <v>633006</v>
      </c>
      <c r="N862" s="237">
        <f t="shared" si="87"/>
        <v>-4193.1575299999977</v>
      </c>
      <c r="O862" s="361"/>
      <c r="P862" s="361"/>
      <c r="Q862" s="361" t="s">
        <v>698</v>
      </c>
      <c r="R862" s="362">
        <v>35</v>
      </c>
      <c r="S862" s="236"/>
      <c r="T862" s="364">
        <f t="shared" si="83"/>
        <v>633006</v>
      </c>
      <c r="U862" s="365">
        <f t="shared" si="85"/>
        <v>-4193.1575299999977</v>
      </c>
      <c r="V862" s="365">
        <f>IF($Q862="ekrk",IF($R862="data",IFERROR(INDEX(data!$A:$ALL,MATCH($M862,data!$A:$A,0),MATCH(V$2,data!$1:$1,0)),"#data"),IFERROR(U862*INDEX(indexy_SDcast!$A:$ALI,MATCH($R862,indexy_SDcast!$K:$K,0),MATCH(V$2,indexy_SDcast!$2:$2,0)),"#ekrk")),"#popis")</f>
        <v>-5368.215051858374</v>
      </c>
      <c r="W862" s="365">
        <f>IF($Q862="ekrk",IF($R862="data",IFERROR(INDEX(data!$A:$ALL,MATCH($M862,data!$A:$A,0),MATCH(W$2,data!$1:$1,0)),"#data"),IFERROR(V862*INDEX(indexy_SDcast!$A:$ALI,MATCH($R862,indexy_SDcast!$K:$K,0),MATCH(W$2,indexy_SDcast!$2:$2,0)),"#ekrk")),"#popis")</f>
        <v>-5428.5607982029851</v>
      </c>
      <c r="X862" s="365">
        <f>IF($Q862="ekrk",IF($R862="data",IFERROR(INDEX(data!$A:$ALL,MATCH($M862,data!$A:$A,0),MATCH(X$2,data!$1:$1,0)),"#data"),IFERROR(W862*INDEX(indexy_SDcast!$A:$ALI,MATCH($R862,indexy_SDcast!$K:$K,0),MATCH(X$2,indexy_SDcast!$2:$2,0)),"#ekrk")),"#popis")</f>
        <v>-3486.9056866526821</v>
      </c>
      <c r="Y862" s="362">
        <f>IF($Q862="ekrk",IF($R862="data",IFERROR(INDEX(data!$A:$ALL,MATCH($M862,data!$A:$A,0),MATCH(Y$2,data!$1:$1,0)),"#data"),IFERROR(X862*INDEX(indexy_SDcast!$A:$ALI,MATCH($R862,indexy_SDcast!$K:$K,0),MATCH(Y$2,indexy_SDcast!$2:$2,0)),"#ekrk")),"#popis")</f>
        <v>-4717.2532607367393</v>
      </c>
    </row>
    <row r="863" spans="1:44" x14ac:dyDescent="0.25">
      <c r="A863" s="330">
        <v>633007</v>
      </c>
      <c r="B863" s="329">
        <v>-40.433510000000005</v>
      </c>
      <c r="C863" s="157"/>
      <c r="D863" s="330">
        <v>633007</v>
      </c>
      <c r="E863" s="329">
        <v>-40.433510000000005</v>
      </c>
      <c r="F863" s="157"/>
      <c r="G863" s="330">
        <v>633007</v>
      </c>
      <c r="H863" s="329">
        <v>-40.433510000000005</v>
      </c>
      <c r="I863" s="157"/>
      <c r="J863" s="330">
        <v>633007</v>
      </c>
      <c r="K863" s="329">
        <v>-40.433510000000005</v>
      </c>
      <c r="L863" s="157"/>
      <c r="M863" s="360">
        <f t="shared" si="86"/>
        <v>633007</v>
      </c>
      <c r="N863" s="237">
        <f t="shared" si="87"/>
        <v>-40.433510000000005</v>
      </c>
      <c r="O863" s="361"/>
      <c r="P863" s="361"/>
      <c r="Q863" s="361" t="s">
        <v>698</v>
      </c>
      <c r="R863" s="362">
        <v>35</v>
      </c>
      <c r="S863" s="236"/>
      <c r="T863" s="364">
        <f t="shared" si="83"/>
        <v>633007</v>
      </c>
      <c r="U863" s="365">
        <f t="shared" si="85"/>
        <v>-40.433510000000005</v>
      </c>
      <c r="V863" s="365">
        <f>IF($Q863="ekrk",IF($R863="data",IFERROR(INDEX(data!$A:$ALL,MATCH($M863,data!$A:$A,0),MATCH(V$2,data!$1:$1,0)),"#data"),IFERROR(U863*INDEX(indexy_SDcast!$A:$ALI,MATCH($R863,indexy_SDcast!$K:$K,0),MATCH(V$2,indexy_SDcast!$2:$2,0)),"#ekrk")),"#popis")</f>
        <v>-51.764279168750008</v>
      </c>
      <c r="W863" s="365">
        <f>IF($Q863="ekrk",IF($R863="data",IFERROR(INDEX(data!$A:$ALL,MATCH($M863,data!$A:$A,0),MATCH(W$2,data!$1:$1,0)),"#data"),IFERROR(V863*INDEX(indexy_SDcast!$A:$ALI,MATCH($R863,indexy_SDcast!$K:$K,0),MATCH(W$2,indexy_SDcast!$2:$2,0)),"#ekrk")),"#popis")</f>
        <v>-52.34617725410105</v>
      </c>
      <c r="X863" s="365">
        <f>IF($Q863="ekrk",IF($R863="data",IFERROR(INDEX(data!$A:$ALL,MATCH($M863,data!$A:$A,0),MATCH(X$2,data!$1:$1,0)),"#data"),IFERROR(W863*INDEX(indexy_SDcast!$A:$ALI,MATCH($R863,indexy_SDcast!$K:$K,0),MATCH(X$2,indexy_SDcast!$2:$2,0)),"#ekrk")),"#popis")</f>
        <v>-33.623310105005331</v>
      </c>
      <c r="Y863" s="362">
        <f>IF($Q863="ekrk",IF($R863="data",IFERROR(INDEX(data!$A:$ALL,MATCH($M863,data!$A:$A,0),MATCH(Y$2,data!$1:$1,0)),"#data"),IFERROR(X863*INDEX(indexy_SDcast!$A:$ALI,MATCH($R863,indexy_SDcast!$K:$K,0),MATCH(Y$2,indexy_SDcast!$2:$2,0)),"#ekrk")),"#popis")</f>
        <v>-45.487226636708705</v>
      </c>
    </row>
    <row r="864" spans="1:44" x14ac:dyDescent="0.25">
      <c r="A864" s="330">
        <v>633009</v>
      </c>
      <c r="B864" s="329">
        <v>-182.70430000000002</v>
      </c>
      <c r="C864" s="157"/>
      <c r="D864" s="330">
        <v>633009</v>
      </c>
      <c r="E864" s="329">
        <v>-182.70430000000002</v>
      </c>
      <c r="F864" s="157"/>
      <c r="G864" s="330">
        <v>633009</v>
      </c>
      <c r="H864" s="329">
        <v>-182.70430000000002</v>
      </c>
      <c r="I864" s="157"/>
      <c r="J864" s="330">
        <v>633009</v>
      </c>
      <c r="K864" s="329">
        <v>-182.70430000000002</v>
      </c>
      <c r="L864" s="157"/>
      <c r="M864" s="360">
        <f t="shared" si="86"/>
        <v>633009</v>
      </c>
      <c r="N864" s="237">
        <f t="shared" si="87"/>
        <v>-182.70430000000002</v>
      </c>
      <c r="O864" s="361"/>
      <c r="P864" s="361"/>
      <c r="Q864" s="361" t="s">
        <v>698</v>
      </c>
      <c r="R864" s="362">
        <v>35</v>
      </c>
      <c r="S864" s="236"/>
      <c r="T864" s="364">
        <f t="shared" si="83"/>
        <v>633009</v>
      </c>
      <c r="U864" s="365">
        <f t="shared" si="85"/>
        <v>-182.70430000000002</v>
      </c>
      <c r="V864" s="365">
        <f>IF($Q864="ekrk",IF($R864="data",IFERROR(INDEX(data!$A:$ALL,MATCH($M864,data!$A:$A,0),MATCH(V$2,data!$1:$1,0)),"#data"),IFERROR(U864*INDEX(indexy_SDcast!$A:$ALI,MATCH($R864,indexy_SDcast!$K:$K,0),MATCH(V$2,indexy_SDcast!$2:$2,0)),"#ekrk")),"#popis")</f>
        <v>-233.90391758051803</v>
      </c>
      <c r="W864" s="365">
        <f>IF($Q864="ekrk",IF($R864="data",IFERROR(INDEX(data!$A:$ALL,MATCH($M864,data!$A:$A,0),MATCH(W$2,data!$1:$1,0)),"#data"),IFERROR(V864*INDEX(indexy_SDcast!$A:$ALI,MATCH($R864,indexy_SDcast!$K:$K,0),MATCH(W$2,indexy_SDcast!$2:$2,0)),"#ekrk")),"#popis")</f>
        <v>-236.5333030173847</v>
      </c>
      <c r="X864" s="365">
        <f>IF($Q864="ekrk",IF($R864="data",IFERROR(INDEX(data!$A:$ALL,MATCH($M864,data!$A:$A,0),MATCH(X$2,data!$1:$1,0)),"#data"),IFERROR(W864*INDEX(indexy_SDcast!$A:$ALI,MATCH($R864,indexy_SDcast!$K:$K,0),MATCH(X$2,indexy_SDcast!$2:$2,0)),"#ekrk")),"#popis")</f>
        <v>-151.93148792716551</v>
      </c>
      <c r="Y864" s="362">
        <f>IF($Q864="ekrk",IF($R864="data",IFERROR(INDEX(data!$A:$ALL,MATCH($M864,data!$A:$A,0),MATCH(Y$2,data!$1:$1,0)),"#data"),IFERROR(X864*INDEX(indexy_SDcast!$A:$ALI,MATCH($R864,indexy_SDcast!$K:$K,0),MATCH(Y$2,indexy_SDcast!$2:$2,0)),"#ekrk")),"#popis")</f>
        <v>-205.54020419204809</v>
      </c>
    </row>
    <row r="865" spans="1:25" x14ac:dyDescent="0.25">
      <c r="A865" s="330">
        <v>633010</v>
      </c>
      <c r="B865" s="329">
        <v>-211.4681699999999</v>
      </c>
      <c r="C865" s="157"/>
      <c r="D865" s="330">
        <v>633010</v>
      </c>
      <c r="E865" s="329">
        <v>-211.4681699999999</v>
      </c>
      <c r="F865" s="157"/>
      <c r="G865" s="330">
        <v>633010</v>
      </c>
      <c r="H865" s="329">
        <v>-211.4681699999999</v>
      </c>
      <c r="I865" s="157"/>
      <c r="J865" s="330">
        <v>633010</v>
      </c>
      <c r="K865" s="329">
        <v>-211.4681699999999</v>
      </c>
      <c r="L865" s="157"/>
      <c r="M865" s="360">
        <f t="shared" si="86"/>
        <v>633010</v>
      </c>
      <c r="N865" s="237">
        <f t="shared" si="87"/>
        <v>-211.4681699999999</v>
      </c>
      <c r="O865" s="361"/>
      <c r="P865" s="361"/>
      <c r="Q865" s="361" t="s">
        <v>698</v>
      </c>
      <c r="R865" s="362">
        <v>35</v>
      </c>
      <c r="S865" s="236"/>
      <c r="T865" s="364">
        <f t="shared" si="83"/>
        <v>633010</v>
      </c>
      <c r="U865" s="365">
        <f t="shared" si="85"/>
        <v>-211.4681699999999</v>
      </c>
      <c r="V865" s="365">
        <f>IF($Q865="ekrk",IF($R865="data",IFERROR(INDEX(data!$A:$ALL,MATCH($M865,data!$A:$A,0),MATCH(V$2,data!$1:$1,0)),"#data"),IFERROR(U865*INDEX(indexy_SDcast!$A:$ALI,MATCH($R865,indexy_SDcast!$K:$K,0),MATCH(V$2,indexy_SDcast!$2:$2,0)),"#ekrk")),"#popis")</f>
        <v>-270.72834852043957</v>
      </c>
      <c r="W865" s="365">
        <f>IF($Q865="ekrk",IF($R865="data",IFERROR(INDEX(data!$A:$ALL,MATCH($M865,data!$A:$A,0),MATCH(W$2,data!$1:$1,0)),"#data"),IFERROR(V865*INDEX(indexy_SDcast!$A:$ALI,MATCH($R865,indexy_SDcast!$K:$K,0),MATCH(W$2,indexy_SDcast!$2:$2,0)),"#ekrk")),"#popis")</f>
        <v>-273.7716886419301</v>
      </c>
      <c r="X865" s="365">
        <f>IF($Q865="ekrk",IF($R865="data",IFERROR(INDEX(data!$A:$ALL,MATCH($M865,data!$A:$A,0),MATCH(X$2,data!$1:$1,0)),"#data"),IFERROR(W865*INDEX(indexy_SDcast!$A:$ALI,MATCH($R865,indexy_SDcast!$K:$K,0),MATCH(X$2,indexy_SDcast!$2:$2,0)),"#ekrk")),"#popis")</f>
        <v>-175.85067082348232</v>
      </c>
      <c r="Y865" s="362">
        <f>IF($Q865="ekrk",IF($R865="data",IFERROR(INDEX(data!$A:$ALL,MATCH($M865,data!$A:$A,0),MATCH(Y$2,data!$1:$1,0)),"#data"),IFERROR(X865*INDEX(indexy_SDcast!$A:$ALI,MATCH($R865,indexy_SDcast!$K:$K,0),MATCH(Y$2,indexy_SDcast!$2:$2,0)),"#ekrk")),"#popis")</f>
        <v>-237.89922208682944</v>
      </c>
    </row>
    <row r="866" spans="1:25" x14ac:dyDescent="0.25">
      <c r="A866" s="330">
        <v>633011</v>
      </c>
      <c r="B866" s="329">
        <v>-3.6074000000000002</v>
      </c>
      <c r="C866" s="157"/>
      <c r="D866" s="330">
        <v>633011</v>
      </c>
      <c r="E866" s="329">
        <v>-3.6074000000000002</v>
      </c>
      <c r="F866" s="157"/>
      <c r="G866" s="330">
        <v>633011</v>
      </c>
      <c r="H866" s="329">
        <v>-3.6074000000000002</v>
      </c>
      <c r="I866" s="157"/>
      <c r="J866" s="330">
        <v>633011</v>
      </c>
      <c r="K866" s="329">
        <v>-3.6074000000000002</v>
      </c>
      <c r="L866" s="157"/>
      <c r="M866" s="360">
        <f t="shared" si="86"/>
        <v>633011</v>
      </c>
      <c r="N866" s="237">
        <f t="shared" si="87"/>
        <v>-3.6074000000000002</v>
      </c>
      <c r="O866" s="361"/>
      <c r="P866" s="361"/>
      <c r="Q866" s="361" t="s">
        <v>698</v>
      </c>
      <c r="R866" s="362">
        <v>35</v>
      </c>
      <c r="S866" s="236"/>
      <c r="T866" s="364">
        <f t="shared" si="83"/>
        <v>633011</v>
      </c>
      <c r="U866" s="365">
        <f t="shared" si="85"/>
        <v>-3.6074000000000002</v>
      </c>
      <c r="V866" s="365">
        <f>IF($Q866="ekrk",IF($R866="data",IFERROR(INDEX(data!$A:$ALL,MATCH($M866,data!$A:$A,0),MATCH(V$2,data!$1:$1,0)),"#data"),IFERROR(U866*INDEX(indexy_SDcast!$A:$ALI,MATCH($R866,indexy_SDcast!$K:$K,0),MATCH(V$2,indexy_SDcast!$2:$2,0)),"#ekrk")),"#popis")</f>
        <v>-4.6183094337679007</v>
      </c>
      <c r="W866" s="365">
        <f>IF($Q866="ekrk",IF($R866="data",IFERROR(INDEX(data!$A:$ALL,MATCH($M866,data!$A:$A,0),MATCH(W$2,data!$1:$1,0)),"#data"),IFERROR(V866*INDEX(indexy_SDcast!$A:$ALI,MATCH($R866,indexy_SDcast!$K:$K,0),MATCH(W$2,indexy_SDcast!$2:$2,0)),"#ekrk")),"#popis")</f>
        <v>-4.6702252618297075</v>
      </c>
      <c r="X866" s="365">
        <f>IF($Q866="ekrk",IF($R866="data",IFERROR(INDEX(data!$A:$ALL,MATCH($M866,data!$A:$A,0),MATCH(X$2,data!$1:$1,0)),"#data"),IFERROR(W866*INDEX(indexy_SDcast!$A:$ALI,MATCH($R866,indexy_SDcast!$K:$K,0),MATCH(X$2,indexy_SDcast!$2:$2,0)),"#ekrk")),"#popis")</f>
        <v>-2.9998070628247762</v>
      </c>
      <c r="Y866" s="362">
        <f>IF($Q866="ekrk",IF($R866="data",IFERROR(INDEX(data!$A:$ALL,MATCH($M866,data!$A:$A,0),MATCH(Y$2,data!$1:$1,0)),"#data"),IFERROR(X866*INDEX(indexy_SDcast!$A:$ALI,MATCH($R866,indexy_SDcast!$K:$K,0),MATCH(Y$2,indexy_SDcast!$2:$2,0)),"#ekrk")),"#popis")</f>
        <v>-4.0582828789601244</v>
      </c>
    </row>
    <row r="867" spans="1:25" x14ac:dyDescent="0.25">
      <c r="A867" s="330">
        <v>633013</v>
      </c>
      <c r="B867" s="329">
        <v>-297.38848000000002</v>
      </c>
      <c r="C867" s="157"/>
      <c r="D867" s="330">
        <v>633013</v>
      </c>
      <c r="E867" s="329">
        <v>-297.38848000000002</v>
      </c>
      <c r="F867" s="157"/>
      <c r="G867" s="330">
        <v>633013</v>
      </c>
      <c r="H867" s="329">
        <v>-297.38848000000002</v>
      </c>
      <c r="I867" s="157"/>
      <c r="J867" s="330">
        <v>633013</v>
      </c>
      <c r="K867" s="329">
        <v>-297.38848000000002</v>
      </c>
      <c r="L867" s="157"/>
      <c r="M867" s="360">
        <f t="shared" si="86"/>
        <v>633013</v>
      </c>
      <c r="N867" s="237">
        <f t="shared" si="87"/>
        <v>-297.38848000000002</v>
      </c>
      <c r="O867" s="361"/>
      <c r="P867" s="361"/>
      <c r="Q867" s="361" t="s">
        <v>698</v>
      </c>
      <c r="R867" s="362">
        <v>35</v>
      </c>
      <c r="S867" s="236"/>
      <c r="T867" s="364">
        <f t="shared" si="83"/>
        <v>633013</v>
      </c>
      <c r="U867" s="365">
        <f t="shared" si="85"/>
        <v>-297.38848000000002</v>
      </c>
      <c r="V867" s="365">
        <f>IF($Q867="ekrk",IF($R867="data",IFERROR(INDEX(data!$A:$ALL,MATCH($M867,data!$A:$A,0),MATCH(V$2,data!$1:$1,0)),"#data"),IFERROR(U867*INDEX(indexy_SDcast!$A:$ALI,MATCH($R867,indexy_SDcast!$K:$K,0),MATCH(V$2,indexy_SDcast!$2:$2,0)),"#ekrk")),"#popis")</f>
        <v>-380.72629114539467</v>
      </c>
      <c r="W867" s="365">
        <f>IF($Q867="ekrk",IF($R867="data",IFERROR(INDEX(data!$A:$ALL,MATCH($M867,data!$A:$A,0),MATCH(W$2,data!$1:$1,0)),"#data"),IFERROR(V867*INDEX(indexy_SDcast!$A:$ALI,MATCH($R867,indexy_SDcast!$K:$K,0),MATCH(W$2,indexy_SDcast!$2:$2,0)),"#ekrk")),"#popis")</f>
        <v>-385.00615176391273</v>
      </c>
      <c r="X867" s="365">
        <f>IF($Q867="ekrk",IF($R867="data",IFERROR(INDEX(data!$A:$ALL,MATCH($M867,data!$A:$A,0),MATCH(X$2,data!$1:$1,0)),"#data"),IFERROR(W867*INDEX(indexy_SDcast!$A:$ALI,MATCH($R867,indexy_SDcast!$K:$K,0),MATCH(X$2,indexy_SDcast!$2:$2,0)),"#ekrk")),"#popis")</f>
        <v>-247.29945742272125</v>
      </c>
      <c r="Y867" s="362">
        <f>IF($Q867="ekrk",IF($R867="data",IFERROR(INDEX(data!$A:$ALL,MATCH($M867,data!$A:$A,0),MATCH(Y$2,data!$1:$1,0)),"#data"),IFERROR(X867*INDEX(indexy_SDcast!$A:$ALI,MATCH($R867,indexy_SDcast!$K:$K,0),MATCH(Y$2,indexy_SDcast!$2:$2,0)),"#ekrk")),"#popis")</f>
        <v>-334.55856760657957</v>
      </c>
    </row>
    <row r="868" spans="1:25" x14ac:dyDescent="0.25">
      <c r="A868" s="330">
        <v>633015</v>
      </c>
      <c r="B868" s="329">
        <v>-3.1248600000000009</v>
      </c>
      <c r="C868" s="157"/>
      <c r="D868" s="330">
        <v>633015</v>
      </c>
      <c r="E868" s="329">
        <v>-3.1248600000000009</v>
      </c>
      <c r="F868" s="157"/>
      <c r="G868" s="330">
        <v>633015</v>
      </c>
      <c r="H868" s="329">
        <v>-3.1248600000000009</v>
      </c>
      <c r="I868" s="157"/>
      <c r="J868" s="330">
        <v>633015</v>
      </c>
      <c r="K868" s="329">
        <v>-3.1248600000000009</v>
      </c>
      <c r="L868" s="157"/>
      <c r="M868" s="360">
        <f t="shared" si="86"/>
        <v>633015</v>
      </c>
      <c r="N868" s="237">
        <f t="shared" si="87"/>
        <v>-3.1248600000000009</v>
      </c>
      <c r="O868" s="361"/>
      <c r="P868" s="361"/>
      <c r="Q868" s="361" t="s">
        <v>698</v>
      </c>
      <c r="R868" s="362">
        <v>35</v>
      </c>
      <c r="S868" s="236"/>
      <c r="T868" s="364">
        <f t="shared" si="83"/>
        <v>633015</v>
      </c>
      <c r="U868" s="365">
        <f t="shared" si="85"/>
        <v>-3.1248600000000009</v>
      </c>
      <c r="V868" s="365">
        <f>IF($Q868="ekrk",IF($R868="data",IFERROR(INDEX(data!$A:$ALL,MATCH($M868,data!$A:$A,0),MATCH(V$2,data!$1:$1,0)),"#data"),IFERROR(U868*INDEX(indexy_SDcast!$A:$ALI,MATCH($R868,indexy_SDcast!$K:$K,0),MATCH(V$2,indexy_SDcast!$2:$2,0)),"#ekrk")),"#popis")</f>
        <v>-4.0005462153362439</v>
      </c>
      <c r="W868" s="365">
        <f>IF($Q868="ekrk",IF($R868="data",IFERROR(INDEX(data!$A:$ALL,MATCH($M868,data!$A:$A,0),MATCH(W$2,data!$1:$1,0)),"#data"),IFERROR(V868*INDEX(indexy_SDcast!$A:$ALI,MATCH($R868,indexy_SDcast!$K:$K,0),MATCH(W$2,indexy_SDcast!$2:$2,0)),"#ekrk")),"#popis")</f>
        <v>-4.0455175782228707</v>
      </c>
      <c r="X868" s="365">
        <f>IF($Q868="ekrk",IF($R868="data",IFERROR(INDEX(data!$A:$ALL,MATCH($M868,data!$A:$A,0),MATCH(X$2,data!$1:$1,0)),"#data"),IFERROR(W868*INDEX(indexy_SDcast!$A:$ALI,MATCH($R868,indexy_SDcast!$K:$K,0),MATCH(X$2,indexy_SDcast!$2:$2,0)),"#ekrk")),"#popis")</f>
        <v>-2.5985410817593371</v>
      </c>
      <c r="Y868" s="362">
        <f>IF($Q868="ekrk",IF($R868="data",IFERROR(INDEX(data!$A:$ALL,MATCH($M868,data!$A:$A,0),MATCH(Y$2,data!$1:$1,0)),"#data"),IFERROR(X868*INDEX(indexy_SDcast!$A:$ALI,MATCH($R868,indexy_SDcast!$K:$K,0),MATCH(Y$2,indexy_SDcast!$2:$2,0)),"#ekrk")),"#popis")</f>
        <v>-3.5154310132359421</v>
      </c>
    </row>
    <row r="869" spans="1:25" x14ac:dyDescent="0.25">
      <c r="A869" s="330">
        <v>633016</v>
      </c>
      <c r="B869" s="329">
        <v>-50.629909999999995</v>
      </c>
      <c r="C869" s="157"/>
      <c r="D869" s="330">
        <v>633016</v>
      </c>
      <c r="E869" s="329">
        <v>-50.629909999999995</v>
      </c>
      <c r="F869" s="157"/>
      <c r="G869" s="330">
        <v>633016</v>
      </c>
      <c r="H869" s="329">
        <v>-50.629909999999995</v>
      </c>
      <c r="I869" s="157"/>
      <c r="J869" s="330">
        <v>633016</v>
      </c>
      <c r="K869" s="329">
        <v>-50.629909999999995</v>
      </c>
      <c r="L869" s="157"/>
      <c r="M869" s="360">
        <f t="shared" si="86"/>
        <v>633016</v>
      </c>
      <c r="N869" s="237">
        <f t="shared" si="87"/>
        <v>-50.629909999999995</v>
      </c>
      <c r="O869" s="361"/>
      <c r="P869" s="361"/>
      <c r="Q869" s="361" t="s">
        <v>698</v>
      </c>
      <c r="R869" s="362">
        <v>35</v>
      </c>
      <c r="S869" s="236"/>
      <c r="T869" s="364">
        <f t="shared" si="83"/>
        <v>633016</v>
      </c>
      <c r="U869" s="365">
        <f t="shared" si="85"/>
        <v>-50.629909999999995</v>
      </c>
      <c r="V869" s="365">
        <f>IF($Q869="ekrk",IF($R869="data",IFERROR(INDEX(data!$A:$ALL,MATCH($M869,data!$A:$A,0),MATCH(V$2,data!$1:$1,0)),"#data"),IFERROR(U869*INDEX(indexy_SDcast!$A:$ALI,MATCH($R869,indexy_SDcast!$K:$K,0),MATCH(V$2,indexy_SDcast!$2:$2,0)),"#ekrk")),"#popis")</f>
        <v>-64.818038194771788</v>
      </c>
      <c r="W869" s="365">
        <f>IF($Q869="ekrk",IF($R869="data",IFERROR(INDEX(data!$A:$ALL,MATCH($M869,data!$A:$A,0),MATCH(W$2,data!$1:$1,0)),"#data"),IFERROR(V869*INDEX(indexy_SDcast!$A:$ALI,MATCH($R869,indexy_SDcast!$K:$K,0),MATCH(W$2,indexy_SDcast!$2:$2,0)),"#ekrk")),"#popis")</f>
        <v>-65.546677575584766</v>
      </c>
      <c r="X869" s="365">
        <f>IF($Q869="ekrk",IF($R869="data",IFERROR(INDEX(data!$A:$ALL,MATCH($M869,data!$A:$A,0),MATCH(X$2,data!$1:$1,0)),"#data"),IFERROR(W869*INDEX(indexy_SDcast!$A:$ALI,MATCH($R869,indexy_SDcast!$K:$K,0),MATCH(X$2,indexy_SDcast!$2:$2,0)),"#ekrk")),"#popis")</f>
        <v>-42.102334536836153</v>
      </c>
      <c r="Y869" s="362">
        <f>IF($Q869="ekrk",IF($R869="data",IFERROR(INDEX(data!$A:$ALL,MATCH($M869,data!$A:$A,0),MATCH(Y$2,data!$1:$1,0)),"#data"),IFERROR(X869*INDEX(indexy_SDcast!$A:$ALI,MATCH($R869,indexy_SDcast!$K:$K,0),MATCH(Y$2,indexy_SDcast!$2:$2,0)),"#ekrk")),"#popis")</f>
        <v>-56.958057580609839</v>
      </c>
    </row>
    <row r="870" spans="1:25" x14ac:dyDescent="0.25">
      <c r="A870" s="330">
        <v>633018</v>
      </c>
      <c r="B870" s="329">
        <v>-0.31339999999999968</v>
      </c>
      <c r="C870" s="157"/>
      <c r="D870" s="330">
        <v>633018</v>
      </c>
      <c r="E870" s="329">
        <v>-0.31339999999999968</v>
      </c>
      <c r="F870" s="157"/>
      <c r="G870" s="330">
        <v>633018</v>
      </c>
      <c r="H870" s="329">
        <v>-0.31339999999999968</v>
      </c>
      <c r="I870" s="157"/>
      <c r="J870" s="330">
        <v>633018</v>
      </c>
      <c r="K870" s="329">
        <v>-0.31339999999999968</v>
      </c>
      <c r="L870" s="157"/>
      <c r="M870" s="360">
        <f t="shared" si="86"/>
        <v>633018</v>
      </c>
      <c r="N870" s="237">
        <f t="shared" si="87"/>
        <v>-0.31339999999999968</v>
      </c>
      <c r="O870" s="361"/>
      <c r="P870" s="361"/>
      <c r="Q870" s="361" t="s">
        <v>698</v>
      </c>
      <c r="R870" s="362">
        <v>35</v>
      </c>
      <c r="S870" s="236"/>
      <c r="T870" s="364">
        <f t="shared" si="83"/>
        <v>633018</v>
      </c>
      <c r="U870" s="365">
        <f t="shared" si="85"/>
        <v>-0.31339999999999968</v>
      </c>
      <c r="V870" s="365">
        <f>IF($Q870="ekrk",IF($R870="data",IFERROR(INDEX(data!$A:$ALL,MATCH($M870,data!$A:$A,0),MATCH(V$2,data!$1:$1,0)),"#data"),IFERROR(U870*INDEX(indexy_SDcast!$A:$ALI,MATCH($R870,indexy_SDcast!$K:$K,0),MATCH(V$2,indexy_SDcast!$2:$2,0)),"#ekrk")),"#popis")</f>
        <v>-0.40122475371260702</v>
      </c>
      <c r="W870" s="365">
        <f>IF($Q870="ekrk",IF($R870="data",IFERROR(INDEX(data!$A:$ALL,MATCH($M870,data!$A:$A,0),MATCH(W$2,data!$1:$1,0)),"#data"),IFERROR(V870*INDEX(indexy_SDcast!$A:$ALI,MATCH($R870,indexy_SDcast!$K:$K,0),MATCH(W$2,indexy_SDcast!$2:$2,0)),"#ekrk")),"#popis")</f>
        <v>-0.40573504381477765</v>
      </c>
      <c r="X870" s="365">
        <f>IF($Q870="ekrk",IF($R870="data",IFERROR(INDEX(data!$A:$ALL,MATCH($M870,data!$A:$A,0),MATCH(X$2,data!$1:$1,0)),"#data"),IFERROR(W870*INDEX(indexy_SDcast!$A:$ALI,MATCH($R870,indexy_SDcast!$K:$K,0),MATCH(X$2,indexy_SDcast!$2:$2,0)),"#ekrk")),"#popis")</f>
        <v>-0.26061416352200584</v>
      </c>
      <c r="Y870" s="362">
        <f>IF($Q870="ekrk",IF($R870="data",IFERROR(INDEX(data!$A:$ALL,MATCH($M870,data!$A:$A,0),MATCH(Y$2,data!$1:$1,0)),"#data"),IFERROR(X870*INDEX(indexy_SDcast!$A:$ALI,MATCH($R870,indexy_SDcast!$K:$K,0),MATCH(Y$2,indexy_SDcast!$2:$2,0)),"#ekrk")),"#popis")</f>
        <v>-0.35257134065146684</v>
      </c>
    </row>
    <row r="871" spans="1:25" x14ac:dyDescent="0.25">
      <c r="A871" s="330">
        <v>633019</v>
      </c>
      <c r="B871" s="329">
        <v>-0.31340000000000001</v>
      </c>
      <c r="C871" s="157"/>
      <c r="D871" s="330">
        <v>633019</v>
      </c>
      <c r="E871" s="329">
        <v>-0.31340000000000001</v>
      </c>
      <c r="F871" s="157"/>
      <c r="G871" s="330">
        <v>633019</v>
      </c>
      <c r="H871" s="329">
        <v>-0.31340000000000001</v>
      </c>
      <c r="I871" s="157"/>
      <c r="J871" s="330">
        <v>633019</v>
      </c>
      <c r="K871" s="329">
        <v>-0.31340000000000001</v>
      </c>
      <c r="L871" s="157"/>
      <c r="M871" s="360">
        <f t="shared" si="86"/>
        <v>633019</v>
      </c>
      <c r="N871" s="237">
        <f t="shared" si="87"/>
        <v>-0.31340000000000001</v>
      </c>
      <c r="O871" s="361"/>
      <c r="P871" s="361"/>
      <c r="Q871" s="361" t="s">
        <v>698</v>
      </c>
      <c r="R871" s="362">
        <v>35</v>
      </c>
      <c r="S871" s="236"/>
      <c r="T871" s="364">
        <f t="shared" si="83"/>
        <v>633019</v>
      </c>
      <c r="U871" s="365">
        <f t="shared" si="85"/>
        <v>-0.31340000000000001</v>
      </c>
      <c r="V871" s="365">
        <f>IF($Q871="ekrk",IF($R871="data",IFERROR(INDEX(data!$A:$ALL,MATCH($M871,data!$A:$A,0),MATCH(V$2,data!$1:$1,0)),"#data"),IFERROR(U871*INDEX(indexy_SDcast!$A:$ALI,MATCH($R871,indexy_SDcast!$K:$K,0),MATCH(V$2,indexy_SDcast!$2:$2,0)),"#ekrk")),"#popis")</f>
        <v>-0.40122475371260746</v>
      </c>
      <c r="W871" s="365">
        <f>IF($Q871="ekrk",IF($R871="data",IFERROR(INDEX(data!$A:$ALL,MATCH($M871,data!$A:$A,0),MATCH(W$2,data!$1:$1,0)),"#data"),IFERROR(V871*INDEX(indexy_SDcast!$A:$ALI,MATCH($R871,indexy_SDcast!$K:$K,0),MATCH(W$2,indexy_SDcast!$2:$2,0)),"#ekrk")),"#popis")</f>
        <v>-0.4057350438147781</v>
      </c>
      <c r="X871" s="365">
        <f>IF($Q871="ekrk",IF($R871="data",IFERROR(INDEX(data!$A:$ALL,MATCH($M871,data!$A:$A,0),MATCH(X$2,data!$1:$1,0)),"#data"),IFERROR(W871*INDEX(indexy_SDcast!$A:$ALI,MATCH($R871,indexy_SDcast!$K:$K,0),MATCH(X$2,indexy_SDcast!$2:$2,0)),"#ekrk")),"#popis")</f>
        <v>-0.26061416352200611</v>
      </c>
      <c r="Y871" s="362">
        <f>IF($Q871="ekrk",IF($R871="data",IFERROR(INDEX(data!$A:$ALL,MATCH($M871,data!$A:$A,0),MATCH(Y$2,data!$1:$1,0)),"#data"),IFERROR(X871*INDEX(indexy_SDcast!$A:$ALI,MATCH($R871,indexy_SDcast!$K:$K,0),MATCH(Y$2,indexy_SDcast!$2:$2,0)),"#ekrk")),"#popis")</f>
        <v>-0.35257134065146722</v>
      </c>
    </row>
    <row r="872" spans="1:25" x14ac:dyDescent="0.25">
      <c r="A872" s="330">
        <v>634001</v>
      </c>
      <c r="B872" s="329">
        <v>-69.820850000000007</v>
      </c>
      <c r="C872" s="157"/>
      <c r="D872" s="330">
        <v>634001</v>
      </c>
      <c r="E872" s="329">
        <v>-69.820850000000007</v>
      </c>
      <c r="F872" s="157"/>
      <c r="G872" s="330">
        <v>634001</v>
      </c>
      <c r="H872" s="329">
        <v>-69.820850000000007</v>
      </c>
      <c r="I872" s="157"/>
      <c r="J872" s="330">
        <v>634001</v>
      </c>
      <c r="K872" s="329">
        <v>-69.820850000000007</v>
      </c>
      <c r="L872" s="157"/>
      <c r="M872" s="360">
        <f t="shared" si="86"/>
        <v>634001</v>
      </c>
      <c r="N872" s="237">
        <f t="shared" si="87"/>
        <v>-69.820850000000007</v>
      </c>
      <c r="O872" s="361"/>
      <c r="P872" s="361"/>
      <c r="Q872" s="361" t="s">
        <v>698</v>
      </c>
      <c r="R872" s="362">
        <v>35</v>
      </c>
      <c r="S872" s="236"/>
      <c r="T872" s="364">
        <f t="shared" si="83"/>
        <v>634001</v>
      </c>
      <c r="U872" s="365">
        <f t="shared" si="85"/>
        <v>-69.820850000000007</v>
      </c>
      <c r="V872" s="365">
        <f>IF($Q872="ekrk",IF($R872="data",IFERROR(INDEX(data!$A:$ALL,MATCH($M872,data!$A:$A,0),MATCH(V$2,data!$1:$1,0)),"#data"),IFERROR(U872*INDEX(indexy_SDcast!$A:$ALI,MATCH($R872,indexy_SDcast!$K:$K,0),MATCH(V$2,indexy_SDcast!$2:$2,0)),"#ekrk")),"#popis")</f>
        <v>-89.386896443059698</v>
      </c>
      <c r="W872" s="365">
        <f>IF($Q872="ekrk",IF($R872="data",IFERROR(INDEX(data!$A:$ALL,MATCH($M872,data!$A:$A,0),MATCH(W$2,data!$1:$1,0)),"#data"),IFERROR(V872*INDEX(indexy_SDcast!$A:$ALI,MATCH($R872,indexy_SDcast!$K:$K,0),MATCH(W$2,indexy_SDcast!$2:$2,0)),"#ekrk")),"#popis")</f>
        <v>-90.391721869607693</v>
      </c>
      <c r="X872" s="365">
        <f>IF($Q872="ekrk",IF($R872="data",IFERROR(INDEX(data!$A:$ALL,MATCH($M872,data!$A:$A,0),MATCH(X$2,data!$1:$1,0)),"#data"),IFERROR(W872*INDEX(indexy_SDcast!$A:$ALI,MATCH($R872,indexy_SDcast!$K:$K,0),MATCH(X$2,indexy_SDcast!$2:$2,0)),"#ekrk")),"#popis")</f>
        <v>-58.060952198932554</v>
      </c>
      <c r="Y872" s="362">
        <f>IF($Q872="ekrk",IF($R872="data",IFERROR(INDEX(data!$A:$ALL,MATCH($M872,data!$A:$A,0),MATCH(Y$2,data!$1:$1,0)),"#data"),IFERROR(X872*INDEX(indexy_SDcast!$A:$ALI,MATCH($R872,indexy_SDcast!$K:$K,0),MATCH(Y$2,indexy_SDcast!$2:$2,0)),"#ekrk")),"#popis")</f>
        <v>-78.547641001675174</v>
      </c>
    </row>
    <row r="873" spans="1:25" x14ac:dyDescent="0.25">
      <c r="A873" s="330">
        <v>634002</v>
      </c>
      <c r="B873" s="329">
        <v>-14.16277</v>
      </c>
      <c r="C873" s="157"/>
      <c r="D873" s="330">
        <v>634002</v>
      </c>
      <c r="E873" s="329">
        <v>-14.16277</v>
      </c>
      <c r="F873" s="157"/>
      <c r="G873" s="330">
        <v>634002</v>
      </c>
      <c r="H873" s="329">
        <v>-14.16277</v>
      </c>
      <c r="I873" s="157"/>
      <c r="J873" s="330">
        <v>634002</v>
      </c>
      <c r="K873" s="329">
        <v>-14.16277</v>
      </c>
      <c r="L873" s="157"/>
      <c r="M873" s="360">
        <f t="shared" si="86"/>
        <v>634002</v>
      </c>
      <c r="N873" s="237">
        <f t="shared" si="87"/>
        <v>-14.16277</v>
      </c>
      <c r="O873" s="361"/>
      <c r="P873" s="361"/>
      <c r="Q873" s="361" t="s">
        <v>698</v>
      </c>
      <c r="R873" s="362">
        <v>35</v>
      </c>
      <c r="S873" s="236"/>
      <c r="T873" s="364">
        <f t="shared" si="83"/>
        <v>634002</v>
      </c>
      <c r="U873" s="365">
        <f t="shared" si="85"/>
        <v>-14.16277</v>
      </c>
      <c r="V873" s="365">
        <f>IF($Q873="ekrk",IF($R873="data",IFERROR(INDEX(data!$A:$ALL,MATCH($M873,data!$A:$A,0),MATCH(V$2,data!$1:$1,0)),"#data"),IFERROR(U873*INDEX(indexy_SDcast!$A:$ALI,MATCH($R873,indexy_SDcast!$K:$K,0),MATCH(V$2,indexy_SDcast!$2:$2,0)),"#ekrk")),"#popis")</f>
        <v>-18.131633392272832</v>
      </c>
      <c r="W873" s="365">
        <f>IF($Q873="ekrk",IF($R873="data",IFERROR(INDEX(data!$A:$ALL,MATCH($M873,data!$A:$A,0),MATCH(W$2,data!$1:$1,0)),"#data"),IFERROR(V873*INDEX(indexy_SDcast!$A:$ALI,MATCH($R873,indexy_SDcast!$K:$K,0),MATCH(W$2,indexy_SDcast!$2:$2,0)),"#ekrk")),"#popis")</f>
        <v>-18.335456625681637</v>
      </c>
      <c r="X873" s="365">
        <f>IF($Q873="ekrk",IF($R873="data",IFERROR(INDEX(data!$A:$ALL,MATCH($M873,data!$A:$A,0),MATCH(X$2,data!$1:$1,0)),"#data"),IFERROR(W873*INDEX(indexy_SDcast!$A:$ALI,MATCH($R873,indexy_SDcast!$K:$K,0),MATCH(X$2,indexy_SDcast!$2:$2,0)),"#ekrk")),"#popis")</f>
        <v>-11.777340321329174</v>
      </c>
      <c r="Y873" s="362">
        <f>IF($Q873="ekrk",IF($R873="data",IFERROR(INDEX(data!$A:$ALL,MATCH($M873,data!$A:$A,0),MATCH(Y$2,data!$1:$1,0)),"#data"),IFERROR(X873*INDEX(indexy_SDcast!$A:$ALI,MATCH($R873,indexy_SDcast!$K:$K,0),MATCH(Y$2,indexy_SDcast!$2:$2,0)),"#ekrk")),"#popis")</f>
        <v>-15.932950881424318</v>
      </c>
    </row>
    <row r="874" spans="1:25" x14ac:dyDescent="0.25">
      <c r="A874" s="330">
        <v>634004</v>
      </c>
      <c r="B874" s="329">
        <v>-12.778169999999999</v>
      </c>
      <c r="C874" s="157"/>
      <c r="D874" s="330">
        <v>634004</v>
      </c>
      <c r="E874" s="329">
        <v>-12.778169999999999</v>
      </c>
      <c r="F874" s="157"/>
      <c r="G874" s="330">
        <v>634004</v>
      </c>
      <c r="H874" s="329">
        <v>-12.778169999999999</v>
      </c>
      <c r="I874" s="157"/>
      <c r="J874" s="330">
        <v>634004</v>
      </c>
      <c r="K874" s="329">
        <v>-12.778169999999999</v>
      </c>
      <c r="L874" s="157"/>
      <c r="M874" s="360">
        <f t="shared" si="86"/>
        <v>634004</v>
      </c>
      <c r="N874" s="237">
        <f t="shared" si="87"/>
        <v>-12.778169999999999</v>
      </c>
      <c r="O874" s="361"/>
      <c r="P874" s="361"/>
      <c r="Q874" s="361" t="s">
        <v>698</v>
      </c>
      <c r="R874" s="362">
        <v>35</v>
      </c>
      <c r="S874" s="236"/>
      <c r="T874" s="364">
        <f t="shared" si="83"/>
        <v>634004</v>
      </c>
      <c r="U874" s="365">
        <f t="shared" si="85"/>
        <v>-12.778169999999999</v>
      </c>
      <c r="V874" s="365">
        <f>IF($Q874="ekrk",IF($R874="data",IFERROR(INDEX(data!$A:$ALL,MATCH($M874,data!$A:$A,0),MATCH(V$2,data!$1:$1,0)),"#data"),IFERROR(U874*INDEX(indexy_SDcast!$A:$ALI,MATCH($R874,indexy_SDcast!$K:$K,0),MATCH(V$2,indexy_SDcast!$2:$2,0)),"#ekrk")),"#popis")</f>
        <v>-16.359023966649101</v>
      </c>
      <c r="W874" s="365">
        <f>IF($Q874="ekrk",IF($R874="data",IFERROR(INDEX(data!$A:$ALL,MATCH($M874,data!$A:$A,0),MATCH(W$2,data!$1:$1,0)),"#data"),IFERROR(V874*INDEX(indexy_SDcast!$A:$ALI,MATCH($R874,indexy_SDcast!$K:$K,0),MATCH(W$2,indexy_SDcast!$2:$2,0)),"#ekrk")),"#popis")</f>
        <v>-16.54292075565629</v>
      </c>
      <c r="X874" s="365">
        <f>IF($Q874="ekrk",IF($R874="data",IFERROR(INDEX(data!$A:$ALL,MATCH($M874,data!$A:$A,0),MATCH(X$2,data!$1:$1,0)),"#data"),IFERROR(W874*INDEX(indexy_SDcast!$A:$ALI,MATCH($R874,indexy_SDcast!$K:$K,0),MATCH(X$2,indexy_SDcast!$2:$2,0)),"#ekrk")),"#popis")</f>
        <v>-10.625947944773428</v>
      </c>
      <c r="Y874" s="362">
        <f>IF($Q874="ekrk",IF($R874="data",IFERROR(INDEX(data!$A:$ALL,MATCH($M874,data!$A:$A,0),MATCH(Y$2,data!$1:$1,0)),"#data"),IFERROR(X874*INDEX(indexy_SDcast!$A:$ALI,MATCH($R874,indexy_SDcast!$K:$K,0),MATCH(Y$2,indexy_SDcast!$2:$2,0)),"#ekrk")),"#popis")</f>
        <v>-14.375292048412119</v>
      </c>
    </row>
    <row r="875" spans="1:25" x14ac:dyDescent="0.25">
      <c r="A875" s="330">
        <v>634005</v>
      </c>
      <c r="B875" s="329">
        <v>-0.77735999999999994</v>
      </c>
      <c r="C875" s="157"/>
      <c r="D875" s="330">
        <v>634005</v>
      </c>
      <c r="E875" s="329">
        <v>-0.77735999999999994</v>
      </c>
      <c r="F875" s="157"/>
      <c r="G875" s="330">
        <v>634005</v>
      </c>
      <c r="H875" s="329">
        <v>-0.77735999999999994</v>
      </c>
      <c r="I875" s="157"/>
      <c r="J875" s="330">
        <v>634005</v>
      </c>
      <c r="K875" s="329">
        <v>-0.77735999999999994</v>
      </c>
      <c r="L875" s="157"/>
      <c r="M875" s="360">
        <f t="shared" si="86"/>
        <v>634005</v>
      </c>
      <c r="N875" s="237">
        <f t="shared" si="87"/>
        <v>-0.77735999999999994</v>
      </c>
      <c r="O875" s="361"/>
      <c r="P875" s="361"/>
      <c r="Q875" s="361" t="s">
        <v>698</v>
      </c>
      <c r="R875" s="362">
        <v>35</v>
      </c>
      <c r="S875" s="236"/>
      <c r="T875" s="364">
        <f t="shared" si="83"/>
        <v>634005</v>
      </c>
      <c r="U875" s="365">
        <f t="shared" si="85"/>
        <v>-0.77735999999999994</v>
      </c>
      <c r="V875" s="365">
        <f>IF($Q875="ekrk",IF($R875="data",IFERROR(INDEX(data!$A:$ALL,MATCH($M875,data!$A:$A,0),MATCH(V$2,data!$1:$1,0)),"#data"),IFERROR(U875*INDEX(indexy_SDcast!$A:$ALI,MATCH($R875,indexy_SDcast!$K:$K,0),MATCH(V$2,indexy_SDcast!$2:$2,0)),"#ekrk")),"#popis")</f>
        <v>-0.99520125892160971</v>
      </c>
      <c r="W875" s="365">
        <f>IF($Q875="ekrk",IF($R875="data",IFERROR(INDEX(data!$A:$ALL,MATCH($M875,data!$A:$A,0),MATCH(W$2,data!$1:$1,0)),"#data"),IFERROR(V875*INDEX(indexy_SDcast!$A:$ALI,MATCH($R875,indexy_SDcast!$K:$K,0),MATCH(W$2,indexy_SDcast!$2:$2,0)),"#ekrk")),"#popis")</f>
        <v>-1.0063886204845431</v>
      </c>
      <c r="X875" s="365">
        <f>IF($Q875="ekrk",IF($R875="data",IFERROR(INDEX(data!$A:$ALL,MATCH($M875,data!$A:$A,0),MATCH(X$2,data!$1:$1,0)),"#data"),IFERROR(W875*INDEX(indexy_SDcast!$A:$ALI,MATCH($R875,indexy_SDcast!$K:$K,0),MATCH(X$2,indexy_SDcast!$2:$2,0)),"#ekrk")),"#popis")</f>
        <v>-0.64642956654584116</v>
      </c>
      <c r="Y875" s="362">
        <f>IF($Q875="ekrk",IF($R875="data",IFERROR(INDEX(data!$A:$ALL,MATCH($M875,data!$A:$A,0),MATCH(Y$2,data!$1:$1,0)),"#data"),IFERROR(X875*INDEX(indexy_SDcast!$A:$ALI,MATCH($R875,indexy_SDcast!$K:$K,0),MATCH(Y$2,indexy_SDcast!$2:$2,0)),"#ekrk")),"#popis")</f>
        <v>-0.87452092332107367</v>
      </c>
    </row>
    <row r="876" spans="1:25" x14ac:dyDescent="0.25">
      <c r="A876" s="330">
        <v>634006</v>
      </c>
      <c r="B876" s="329">
        <v>-0.40090999999999999</v>
      </c>
      <c r="C876" s="157"/>
      <c r="D876" s="330">
        <v>634006</v>
      </c>
      <c r="E876" s="329">
        <v>-0.40090999999999999</v>
      </c>
      <c r="F876" s="157"/>
      <c r="G876" s="330">
        <v>634006</v>
      </c>
      <c r="H876" s="329">
        <v>-0.40090999999999999</v>
      </c>
      <c r="I876" s="157"/>
      <c r="J876" s="330">
        <v>634006</v>
      </c>
      <c r="K876" s="329">
        <v>-0.40090999999999999</v>
      </c>
      <c r="L876" s="157"/>
      <c r="M876" s="360">
        <f t="shared" si="86"/>
        <v>634006</v>
      </c>
      <c r="N876" s="237">
        <f t="shared" si="87"/>
        <v>-0.40090999999999999</v>
      </c>
      <c r="O876" s="361"/>
      <c r="P876" s="361"/>
      <c r="Q876" s="361" t="s">
        <v>698</v>
      </c>
      <c r="R876" s="362">
        <v>35</v>
      </c>
      <c r="S876" s="236"/>
      <c r="T876" s="364">
        <f t="shared" si="83"/>
        <v>634006</v>
      </c>
      <c r="U876" s="365">
        <f t="shared" si="85"/>
        <v>-0.40090999999999999</v>
      </c>
      <c r="V876" s="365">
        <f>IF($Q876="ekrk",IF($R876="data",IFERROR(INDEX(data!$A:$ALL,MATCH($M876,data!$A:$A,0),MATCH(V$2,data!$1:$1,0)),"#data"),IFERROR(U876*INDEX(indexy_SDcast!$A:$ALI,MATCH($R876,indexy_SDcast!$K:$K,0),MATCH(V$2,indexy_SDcast!$2:$2,0)),"#ekrk")),"#popis")</f>
        <v>-0.51325786857345701</v>
      </c>
      <c r="W876" s="365">
        <f>IF($Q876="ekrk",IF($R876="data",IFERROR(INDEX(data!$A:$ALL,MATCH($M876,data!$A:$A,0),MATCH(W$2,data!$1:$1,0)),"#data"),IFERROR(V876*INDEX(indexy_SDcast!$A:$ALI,MATCH($R876,indexy_SDcast!$K:$K,0),MATCH(W$2,indexy_SDcast!$2:$2,0)),"#ekrk")),"#popis")</f>
        <v>-0.51902755716586679</v>
      </c>
      <c r="X876" s="365">
        <f>IF($Q876="ekrk",IF($R876="data",IFERROR(INDEX(data!$A:$ALL,MATCH($M876,data!$A:$A,0),MATCH(X$2,data!$1:$1,0)),"#data"),IFERROR(W876*INDEX(indexy_SDcast!$A:$ALI,MATCH($R876,indexy_SDcast!$K:$K,0),MATCH(X$2,indexy_SDcast!$2:$2,0)),"#ekrk")),"#popis")</f>
        <v>-0.33338488927124266</v>
      </c>
      <c r="Y876" s="362">
        <f>IF($Q876="ekrk",IF($R876="data",IFERROR(INDEX(data!$A:$ALL,MATCH($M876,data!$A:$A,0),MATCH(Y$2,data!$1:$1,0)),"#data"),IFERROR(X876*INDEX(indexy_SDcast!$A:$ALI,MATCH($R876,indexy_SDcast!$K:$K,0),MATCH(Y$2,indexy_SDcast!$2:$2,0)),"#ekrk")),"#popis")</f>
        <v>-0.45101906885953957</v>
      </c>
    </row>
    <row r="877" spans="1:25" x14ac:dyDescent="0.25">
      <c r="A877" s="330">
        <v>635002</v>
      </c>
      <c r="B877" s="329">
        <v>-204.23374000000001</v>
      </c>
      <c r="C877" s="157"/>
      <c r="D877" s="330">
        <v>635002</v>
      </c>
      <c r="E877" s="329">
        <v>-204.23374000000001</v>
      </c>
      <c r="F877" s="157"/>
      <c r="G877" s="330">
        <v>635002</v>
      </c>
      <c r="H877" s="329">
        <v>-204.23374000000001</v>
      </c>
      <c r="I877" s="157"/>
      <c r="J877" s="330">
        <v>635002</v>
      </c>
      <c r="K877" s="329">
        <v>-204.23374000000001</v>
      </c>
      <c r="L877" s="157"/>
      <c r="M877" s="360">
        <f t="shared" si="86"/>
        <v>635002</v>
      </c>
      <c r="N877" s="237">
        <f t="shared" si="87"/>
        <v>-204.23374000000001</v>
      </c>
      <c r="O877" s="361"/>
      <c r="P877" s="361"/>
      <c r="Q877" s="361" t="s">
        <v>698</v>
      </c>
      <c r="R877" s="362">
        <v>35</v>
      </c>
      <c r="S877" s="236"/>
      <c r="T877" s="364">
        <f t="shared" si="83"/>
        <v>635002</v>
      </c>
      <c r="U877" s="365">
        <f t="shared" si="85"/>
        <v>-204.23374000000001</v>
      </c>
      <c r="V877" s="365">
        <f>IF($Q877="ekrk",IF($R877="data",IFERROR(INDEX(data!$A:$ALL,MATCH($M877,data!$A:$A,0),MATCH(V$2,data!$1:$1,0)),"#data"),IFERROR(U877*INDEX(indexy_SDcast!$A:$ALI,MATCH($R877,indexy_SDcast!$K:$K,0),MATCH(V$2,indexy_SDcast!$2:$2,0)),"#ekrk")),"#popis")</f>
        <v>-261.46659869593077</v>
      </c>
      <c r="W877" s="365">
        <f>IF($Q877="ekrk",IF($R877="data",IFERROR(INDEX(data!$A:$ALL,MATCH($M877,data!$A:$A,0),MATCH(W$2,data!$1:$1,0)),"#data"),IFERROR(V877*INDEX(indexy_SDcast!$A:$ALI,MATCH($R877,indexy_SDcast!$K:$K,0),MATCH(W$2,indexy_SDcast!$2:$2,0)),"#ekrk")),"#popis")</f>
        <v>-264.40582465652835</v>
      </c>
      <c r="X877" s="365">
        <f>IF($Q877="ekrk",IF($R877="data",IFERROR(INDEX(data!$A:$ALL,MATCH($M877,data!$A:$A,0),MATCH(X$2,data!$1:$1,0)),"#data"),IFERROR(W877*INDEX(indexy_SDcast!$A:$ALI,MATCH($R877,indexy_SDcast!$K:$K,0),MATCH(X$2,indexy_SDcast!$2:$2,0)),"#ekrk")),"#popis")</f>
        <v>-169.8347329708707</v>
      </c>
      <c r="Y877" s="362">
        <f>IF($Q877="ekrk",IF($R877="data",IFERROR(INDEX(data!$A:$ALL,MATCH($M877,data!$A:$A,0),MATCH(Y$2,data!$1:$1,0)),"#data"),IFERROR(X877*INDEX(indexy_SDcast!$A:$ALI,MATCH($R877,indexy_SDcast!$K:$K,0),MATCH(Y$2,indexy_SDcast!$2:$2,0)),"#ekrk")),"#popis")</f>
        <v>-229.76057280811483</v>
      </c>
    </row>
    <row r="878" spans="1:25" x14ac:dyDescent="0.25">
      <c r="A878" s="330">
        <v>635003</v>
      </c>
      <c r="B878" s="329">
        <v>-4.2086899999999998</v>
      </c>
      <c r="C878" s="157"/>
      <c r="D878" s="330">
        <v>635003</v>
      </c>
      <c r="E878" s="329">
        <v>-4.2086899999999998</v>
      </c>
      <c r="F878" s="157"/>
      <c r="G878" s="330">
        <v>635003</v>
      </c>
      <c r="H878" s="329">
        <v>-4.2086899999999998</v>
      </c>
      <c r="I878" s="157"/>
      <c r="J878" s="330">
        <v>635003</v>
      </c>
      <c r="K878" s="329">
        <v>-4.2086899999999998</v>
      </c>
      <c r="L878" s="157"/>
      <c r="M878" s="360">
        <f t="shared" si="86"/>
        <v>635003</v>
      </c>
      <c r="N878" s="237">
        <f t="shared" si="87"/>
        <v>-4.2086899999999998</v>
      </c>
      <c r="O878" s="361"/>
      <c r="P878" s="361"/>
      <c r="Q878" s="361" t="s">
        <v>698</v>
      </c>
      <c r="R878" s="362">
        <v>35</v>
      </c>
      <c r="S878" s="236"/>
      <c r="T878" s="364">
        <f t="shared" si="83"/>
        <v>635003</v>
      </c>
      <c r="U878" s="365">
        <f t="shared" si="85"/>
        <v>-4.2086899999999998</v>
      </c>
      <c r="V878" s="365">
        <f>IF($Q878="ekrk",IF($R878="data",IFERROR(INDEX(data!$A:$ALL,MATCH($M878,data!$A:$A,0),MATCH(V$2,data!$1:$1,0)),"#data"),IFERROR(U878*INDEX(indexy_SDcast!$A:$ALI,MATCH($R878,indexy_SDcast!$K:$K,0),MATCH(V$2,indexy_SDcast!$2:$2,0)),"#ekrk")),"#popis")</f>
        <v>-5.3881002192173382</v>
      </c>
      <c r="W878" s="365">
        <f>IF($Q878="ekrk",IF($R878="data",IFERROR(INDEX(data!$A:$ALL,MATCH($M878,data!$A:$A,0),MATCH(W$2,data!$1:$1,0)),"#data"),IFERROR(V878*INDEX(indexy_SDcast!$A:$ALI,MATCH($R878,indexy_SDcast!$K:$K,0),MATCH(W$2,indexy_SDcast!$2:$2,0)),"#ekrk")),"#popis")</f>
        <v>-5.4486695008066954</v>
      </c>
      <c r="X878" s="365">
        <f>IF($Q878="ekrk",IF($R878="data",IFERROR(INDEX(data!$A:$ALL,MATCH($M878,data!$A:$A,0),MATCH(X$2,data!$1:$1,0)),"#data"),IFERROR(W878*INDEX(indexy_SDcast!$A:$ALI,MATCH($R878,indexy_SDcast!$K:$K,0),MATCH(X$2,indexy_SDcast!$2:$2,0)),"#ekrk")),"#popis")</f>
        <v>-3.4998220289516015</v>
      </c>
      <c r="Y878" s="362">
        <f>IF($Q878="ekrk",IF($R878="data",IFERROR(INDEX(data!$A:$ALL,MATCH($M878,data!$A:$A,0),MATCH(Y$2,data!$1:$1,0)),"#data"),IFERROR(X878*INDEX(indexy_SDcast!$A:$ALI,MATCH($R878,indexy_SDcast!$K:$K,0),MATCH(Y$2,indexy_SDcast!$2:$2,0)),"#ekrk")),"#popis")</f>
        <v>-4.7347271081251554</v>
      </c>
    </row>
    <row r="879" spans="1:25" x14ac:dyDescent="0.25">
      <c r="A879" s="330">
        <v>635004</v>
      </c>
      <c r="B879" s="329">
        <v>-112.76303</v>
      </c>
      <c r="C879" s="157"/>
      <c r="D879" s="330">
        <v>635004</v>
      </c>
      <c r="E879" s="329">
        <v>-112.76303</v>
      </c>
      <c r="F879" s="157"/>
      <c r="G879" s="330">
        <v>635004</v>
      </c>
      <c r="H879" s="329">
        <v>-112.76303</v>
      </c>
      <c r="I879" s="157"/>
      <c r="J879" s="330">
        <v>635004</v>
      </c>
      <c r="K879" s="329">
        <v>-112.76303</v>
      </c>
      <c r="L879" s="157"/>
      <c r="M879" s="360">
        <f t="shared" si="86"/>
        <v>635004</v>
      </c>
      <c r="N879" s="237">
        <f t="shared" si="87"/>
        <v>-112.76303</v>
      </c>
      <c r="O879" s="361"/>
      <c r="P879" s="361"/>
      <c r="Q879" s="361" t="s">
        <v>698</v>
      </c>
      <c r="R879" s="362">
        <v>35</v>
      </c>
      <c r="S879" s="236"/>
      <c r="T879" s="364">
        <f t="shared" si="83"/>
        <v>635004</v>
      </c>
      <c r="U879" s="365">
        <f t="shared" si="85"/>
        <v>-112.76303</v>
      </c>
      <c r="V879" s="365">
        <f>IF($Q879="ekrk",IF($R879="data",IFERROR(INDEX(data!$A:$ALL,MATCH($M879,data!$A:$A,0),MATCH(V$2,data!$1:$1,0)),"#data"),IFERROR(U879*INDEX(indexy_SDcast!$A:$ALI,MATCH($R879,indexy_SDcast!$K:$K,0),MATCH(V$2,indexy_SDcast!$2:$2,0)),"#ekrk")),"#popis")</f>
        <v>-144.3628555827612</v>
      </c>
      <c r="W879" s="365">
        <f>IF($Q879="ekrk",IF($R879="data",IFERROR(INDEX(data!$A:$ALL,MATCH($M879,data!$A:$A,0),MATCH(W$2,data!$1:$1,0)),"#data"),IFERROR(V879*INDEX(indexy_SDcast!$A:$ALI,MATCH($R879,indexy_SDcast!$K:$K,0),MATCH(W$2,indexy_SDcast!$2:$2,0)),"#ekrk")),"#popis")</f>
        <v>-145.98568257095445</v>
      </c>
      <c r="X879" s="365">
        <f>IF($Q879="ekrk",IF($R879="data",IFERROR(INDEX(data!$A:$ALL,MATCH($M879,data!$A:$A,0),MATCH(X$2,data!$1:$1,0)),"#data"),IFERROR(W879*INDEX(indexy_SDcast!$A:$ALI,MATCH($R879,indexy_SDcast!$K:$K,0),MATCH(X$2,indexy_SDcast!$2:$2,0)),"#ekrk")),"#popis")</f>
        <v>-93.77039802060267</v>
      </c>
      <c r="Y879" s="362">
        <f>IF($Q879="ekrk",IF($R879="data",IFERROR(INDEX(data!$A:$ALL,MATCH($M879,data!$A:$A,0),MATCH(Y$2,data!$1:$1,0)),"#data"),IFERROR(X879*INDEX(indexy_SDcast!$A:$ALI,MATCH($R879,indexy_SDcast!$K:$K,0),MATCH(Y$2,indexy_SDcast!$2:$2,0)),"#ekrk")),"#popis")</f>
        <v>-126.85709209643144</v>
      </c>
    </row>
    <row r="880" spans="1:25" x14ac:dyDescent="0.25">
      <c r="A880" s="330">
        <v>635005</v>
      </c>
      <c r="B880" s="329">
        <v>-0.64376</v>
      </c>
      <c r="C880" s="157"/>
      <c r="D880" s="330">
        <v>635005</v>
      </c>
      <c r="E880" s="329">
        <v>-0.64376</v>
      </c>
      <c r="F880" s="157"/>
      <c r="G880" s="330">
        <v>635005</v>
      </c>
      <c r="H880" s="329">
        <v>-0.64376</v>
      </c>
      <c r="I880" s="157"/>
      <c r="J880" s="330">
        <v>635005</v>
      </c>
      <c r="K880" s="329">
        <v>-0.64376</v>
      </c>
      <c r="L880" s="157"/>
      <c r="M880" s="360">
        <f t="shared" si="86"/>
        <v>635005</v>
      </c>
      <c r="N880" s="237">
        <f t="shared" si="87"/>
        <v>-0.64376</v>
      </c>
      <c r="O880" s="361"/>
      <c r="P880" s="361"/>
      <c r="Q880" s="361" t="s">
        <v>698</v>
      </c>
      <c r="R880" s="362">
        <v>35</v>
      </c>
      <c r="S880" s="236"/>
      <c r="T880" s="364">
        <f t="shared" si="83"/>
        <v>635005</v>
      </c>
      <c r="U880" s="365">
        <f t="shared" si="85"/>
        <v>-0.64376</v>
      </c>
      <c r="V880" s="365">
        <f>IF($Q880="ekrk",IF($R880="data",IFERROR(INDEX(data!$A:$ALL,MATCH($M880,data!$A:$A,0),MATCH(V$2,data!$1:$1,0)),"#data"),IFERROR(U880*INDEX(indexy_SDcast!$A:$ALI,MATCH($R880,indexy_SDcast!$K:$K,0),MATCH(V$2,indexy_SDcast!$2:$2,0)),"#ekrk")),"#popis")</f>
        <v>-0.82416224457571208</v>
      </c>
      <c r="W880" s="365">
        <f>IF($Q880="ekrk",IF($R880="data",IFERROR(INDEX(data!$A:$ALL,MATCH($M880,data!$A:$A,0),MATCH(W$2,data!$1:$1,0)),"#data"),IFERROR(V880*INDEX(indexy_SDcast!$A:$ALI,MATCH($R880,indexy_SDcast!$K:$K,0),MATCH(W$2,indexy_SDcast!$2:$2,0)),"#ekrk")),"#popis")</f>
        <v>-0.83342690429547395</v>
      </c>
      <c r="X880" s="365">
        <f>IF($Q880="ekrk",IF($R880="data",IFERROR(INDEX(data!$A:$ALL,MATCH($M880,data!$A:$A,0),MATCH(X$2,data!$1:$1,0)),"#data"),IFERROR(W880*INDEX(indexy_SDcast!$A:$ALI,MATCH($R880,indexy_SDcast!$K:$K,0),MATCH(X$2,indexy_SDcast!$2:$2,0)),"#ekrk")),"#popis")</f>
        <v>-0.53533176103677937</v>
      </c>
      <c r="Y880" s="362">
        <f>IF($Q880="ekrk",IF($R880="data",IFERROR(INDEX(data!$A:$ALL,MATCH($M880,data!$A:$A,0),MATCH(Y$2,data!$1:$1,0)),"#data"),IFERROR(X880*INDEX(indexy_SDcast!$A:$ALI,MATCH($R880,indexy_SDcast!$K:$K,0),MATCH(Y$2,indexy_SDcast!$2:$2,0)),"#ekrk")),"#popis")</f>
        <v>-0.7242224832730968</v>
      </c>
    </row>
    <row r="881" spans="1:25" x14ac:dyDescent="0.25">
      <c r="A881" s="330">
        <v>635006</v>
      </c>
      <c r="B881" s="329">
        <v>-13307.310049999998</v>
      </c>
      <c r="C881" s="157"/>
      <c r="D881" s="330">
        <v>635006</v>
      </c>
      <c r="E881" s="329">
        <v>-13307.310049999998</v>
      </c>
      <c r="F881" s="157"/>
      <c r="G881" s="330">
        <v>635006</v>
      </c>
      <c r="H881" s="329">
        <v>-13307.310049999998</v>
      </c>
      <c r="I881" s="157"/>
      <c r="J881" s="330">
        <v>635006</v>
      </c>
      <c r="K881" s="329">
        <v>-13307.310049999998</v>
      </c>
      <c r="L881" s="157"/>
      <c r="M881" s="360">
        <f t="shared" si="86"/>
        <v>635006</v>
      </c>
      <c r="N881" s="237">
        <f t="shared" si="87"/>
        <v>-13307.310049999998</v>
      </c>
      <c r="O881" s="361"/>
      <c r="P881" s="361"/>
      <c r="Q881" s="361" t="s">
        <v>698</v>
      </c>
      <c r="R881" s="362">
        <v>35</v>
      </c>
      <c r="S881" s="236"/>
      <c r="T881" s="364">
        <f t="shared" si="83"/>
        <v>635006</v>
      </c>
      <c r="U881" s="365">
        <f t="shared" si="85"/>
        <v>-13307.310049999998</v>
      </c>
      <c r="V881" s="365">
        <f>IF($Q881="ekrk",IF($R881="data",IFERROR(INDEX(data!$A:$ALL,MATCH($M881,data!$A:$A,0),MATCH(V$2,data!$1:$1,0)),"#data"),IFERROR(U881*INDEX(indexy_SDcast!$A:$ALI,MATCH($R881,indexy_SDcast!$K:$K,0),MATCH(V$2,indexy_SDcast!$2:$2,0)),"#ekrk")),"#popis")</f>
        <v>-17036.4460669705</v>
      </c>
      <c r="W881" s="365">
        <f>IF($Q881="ekrk",IF($R881="data",IFERROR(INDEX(data!$A:$ALL,MATCH($M881,data!$A:$A,0),MATCH(W$2,data!$1:$1,0)),"#data"),IFERROR(V881*INDEX(indexy_SDcast!$A:$ALI,MATCH($R881,indexy_SDcast!$K:$K,0),MATCH(W$2,indexy_SDcast!$2:$2,0)),"#ekrk")),"#popis")</f>
        <v>-17227.957964880618</v>
      </c>
      <c r="X881" s="365">
        <f>IF($Q881="ekrk",IF($R881="data",IFERROR(INDEX(data!$A:$ALL,MATCH($M881,data!$A:$A,0),MATCH(X$2,data!$1:$1,0)),"#data"),IFERROR(W881*INDEX(indexy_SDcast!$A:$ALI,MATCH($R881,indexy_SDcast!$K:$K,0),MATCH(X$2,indexy_SDcast!$2:$2,0)),"#ekrk")),"#popis")</f>
        <v>-11065.965148081477</v>
      </c>
      <c r="Y881" s="362">
        <f>IF($Q881="ekrk",IF($R881="data",IFERROR(INDEX(data!$A:$ALL,MATCH($M881,data!$A:$A,0),MATCH(Y$2,data!$1:$1,0)),"#data"),IFERROR(X881*INDEX(indexy_SDcast!$A:$ALI,MATCH($R881,indexy_SDcast!$K:$K,0),MATCH(Y$2,indexy_SDcast!$2:$2,0)),"#ekrk")),"#popis")</f>
        <v>-14970.568426270718</v>
      </c>
    </row>
    <row r="882" spans="1:25" x14ac:dyDescent="0.25">
      <c r="A882" s="330">
        <v>635007</v>
      </c>
      <c r="B882" s="329">
        <v>-0.63636000000000004</v>
      </c>
      <c r="C882" s="157"/>
      <c r="D882" s="330">
        <v>635007</v>
      </c>
      <c r="E882" s="329">
        <v>-0.63636000000000004</v>
      </c>
      <c r="F882" s="157"/>
      <c r="G882" s="330">
        <v>635007</v>
      </c>
      <c r="H882" s="329">
        <v>-0.63636000000000004</v>
      </c>
      <c r="I882" s="157"/>
      <c r="J882" s="330">
        <v>635007</v>
      </c>
      <c r="K882" s="329">
        <v>-0.63636000000000004</v>
      </c>
      <c r="L882" s="157"/>
      <c r="M882" s="360">
        <f t="shared" si="86"/>
        <v>635007</v>
      </c>
      <c r="N882" s="237">
        <f t="shared" si="87"/>
        <v>-0.63636000000000004</v>
      </c>
      <c r="O882" s="361"/>
      <c r="P882" s="361"/>
      <c r="Q882" s="361" t="s">
        <v>698</v>
      </c>
      <c r="R882" s="362">
        <v>35</v>
      </c>
      <c r="S882" s="236"/>
      <c r="T882" s="364">
        <f t="shared" si="83"/>
        <v>635007</v>
      </c>
      <c r="U882" s="365">
        <f t="shared" si="85"/>
        <v>-0.63636000000000004</v>
      </c>
      <c r="V882" s="365">
        <f>IF($Q882="ekrk",IF($R882="data",IFERROR(INDEX(data!$A:$ALL,MATCH($M882,data!$A:$A,0),MATCH(V$2,data!$1:$1,0)),"#data"),IFERROR(U882*INDEX(indexy_SDcast!$A:$ALI,MATCH($R882,indexy_SDcast!$K:$K,0),MATCH(V$2,indexy_SDcast!$2:$2,0)),"#ekrk")),"#popis")</f>
        <v>-0.81468852671523573</v>
      </c>
      <c r="W882" s="365">
        <f>IF($Q882="ekrk",IF($R882="data",IFERROR(INDEX(data!$A:$ALL,MATCH($M882,data!$A:$A,0),MATCH(W$2,data!$1:$1,0)),"#data"),IFERROR(V882*INDEX(indexy_SDcast!$A:$ALI,MATCH($R882,indexy_SDcast!$K:$K,0),MATCH(W$2,indexy_SDcast!$2:$2,0)),"#ekrk")),"#popis")</f>
        <v>-0.82384668947661832</v>
      </c>
      <c r="X882" s="365">
        <f>IF($Q882="ekrk",IF($R882="data",IFERROR(INDEX(data!$A:$ALL,MATCH($M882,data!$A:$A,0),MATCH(X$2,data!$1:$1,0)),"#data"),IFERROR(W882*INDEX(indexy_SDcast!$A:$ALI,MATCH($R882,indexy_SDcast!$K:$K,0),MATCH(X$2,indexy_SDcast!$2:$2,0)),"#ekrk")),"#popis")</f>
        <v>-0.52917814007295416</v>
      </c>
      <c r="Y882" s="362">
        <f>IF($Q882="ekrk",IF($R882="data",IFERROR(INDEX(data!$A:$ALL,MATCH($M882,data!$A:$A,0),MATCH(Y$2,data!$1:$1,0)),"#data"),IFERROR(X882*INDEX(indexy_SDcast!$A:$ALI,MATCH($R882,indexy_SDcast!$K:$K,0),MATCH(Y$2,indexy_SDcast!$2:$2,0)),"#ekrk")),"#popis")</f>
        <v>-0.71589756967762519</v>
      </c>
    </row>
    <row r="883" spans="1:25" x14ac:dyDescent="0.25">
      <c r="A883" s="330">
        <v>635008</v>
      </c>
      <c r="B883" s="329">
        <v>-8.4863999999999997</v>
      </c>
      <c r="C883" s="157"/>
      <c r="D883" s="330">
        <v>635008</v>
      </c>
      <c r="E883" s="329">
        <v>-8.4863999999999997</v>
      </c>
      <c r="F883" s="157"/>
      <c r="G883" s="330">
        <v>635008</v>
      </c>
      <c r="H883" s="329">
        <v>-8.4863999999999997</v>
      </c>
      <c r="I883" s="157"/>
      <c r="J883" s="330">
        <v>635008</v>
      </c>
      <c r="K883" s="329">
        <v>-8.4863999999999997</v>
      </c>
      <c r="L883" s="157"/>
      <c r="M883" s="360">
        <f t="shared" si="86"/>
        <v>635008</v>
      </c>
      <c r="N883" s="237">
        <f t="shared" si="87"/>
        <v>-8.4863999999999997</v>
      </c>
      <c r="O883" s="361"/>
      <c r="P883" s="361"/>
      <c r="Q883" s="361" t="s">
        <v>698</v>
      </c>
      <c r="R883" s="362">
        <v>35</v>
      </c>
      <c r="S883" s="236"/>
      <c r="T883" s="364">
        <f t="shared" si="83"/>
        <v>635008</v>
      </c>
      <c r="U883" s="365">
        <f t="shared" ref="U883:U907" si="88">N883</f>
        <v>-8.4863999999999997</v>
      </c>
      <c r="V883" s="365">
        <f>IF($Q883="ekrk",IF($R883="data",IFERROR(INDEX(data!$A:$ALL,MATCH($M883,data!$A:$A,0),MATCH(V$2,data!$1:$1,0)),"#data"),IFERROR(U883*INDEX(indexy_SDcast!$A:$ALI,MATCH($R883,indexy_SDcast!$K:$K,0),MATCH(V$2,indexy_SDcast!$2:$2,0)),"#ekrk")),"#popis")</f>
        <v>-10.864562060965767</v>
      </c>
      <c r="W883" s="365">
        <f>IF($Q883="ekrk",IF($R883="data",IFERROR(INDEX(data!$A:$ALL,MATCH($M883,data!$A:$A,0),MATCH(W$2,data!$1:$1,0)),"#data"),IFERROR(V883*INDEX(indexy_SDcast!$A:$ALI,MATCH($R883,indexy_SDcast!$K:$K,0),MATCH(W$2,indexy_SDcast!$2:$2,0)),"#ekrk")),"#popis")</f>
        <v>-10.986693924153581</v>
      </c>
      <c r="X883" s="365">
        <f>IF($Q883="ekrk",IF($R883="data",IFERROR(INDEX(data!$A:$ALL,MATCH($M883,data!$A:$A,0),MATCH(X$2,data!$1:$1,0)),"#data"),IFERROR(W883*INDEX(indexy_SDcast!$A:$ALI,MATCH($R883,indexy_SDcast!$K:$K,0),MATCH(X$2,indexy_SDcast!$2:$2,0)),"#ekrk")),"#popis")</f>
        <v>-7.0570390469468807</v>
      </c>
      <c r="Y883" s="362">
        <f>IF($Q883="ekrk",IF($R883="data",IFERROR(INDEX(data!$A:$ALL,MATCH($M883,data!$A:$A,0),MATCH(Y$2,data!$1:$1,0)),"#data"),IFERROR(X883*INDEX(indexy_SDcast!$A:$ALI,MATCH($R883,indexy_SDcast!$K:$K,0),MATCH(Y$2,indexy_SDcast!$2:$2,0)),"#ekrk")),"#popis")</f>
        <v>-9.5471009103529401</v>
      </c>
    </row>
    <row r="884" spans="1:25" x14ac:dyDescent="0.25">
      <c r="A884" s="330">
        <v>635009</v>
      </c>
      <c r="B884" s="329">
        <v>-2029.6995400000001</v>
      </c>
      <c r="C884" s="157"/>
      <c r="D884" s="330">
        <v>635009</v>
      </c>
      <c r="E884" s="329">
        <v>-2029.6995400000001</v>
      </c>
      <c r="F884" s="157"/>
      <c r="G884" s="330">
        <v>635009</v>
      </c>
      <c r="H884" s="329">
        <v>-2029.6995400000001</v>
      </c>
      <c r="I884" s="157"/>
      <c r="J884" s="330">
        <v>635009</v>
      </c>
      <c r="K884" s="329">
        <v>-2029.6995400000001</v>
      </c>
      <c r="L884" s="157"/>
      <c r="M884" s="360">
        <f t="shared" si="86"/>
        <v>635009</v>
      </c>
      <c r="N884" s="237">
        <f t="shared" si="87"/>
        <v>-2029.6995400000001</v>
      </c>
      <c r="O884" s="361"/>
      <c r="P884" s="361"/>
      <c r="Q884" s="361" t="s">
        <v>698</v>
      </c>
      <c r="R884" s="362">
        <v>35</v>
      </c>
      <c r="S884" s="236"/>
      <c r="T884" s="364">
        <f t="shared" si="83"/>
        <v>635009</v>
      </c>
      <c r="U884" s="365">
        <f t="shared" si="88"/>
        <v>-2029.6995400000001</v>
      </c>
      <c r="V884" s="365">
        <f>IF($Q884="ekrk",IF($R884="data",IFERROR(INDEX(data!$A:$ALL,MATCH($M884,data!$A:$A,0),MATCH(V$2,data!$1:$1,0)),"#data"),IFERROR(U884*INDEX(indexy_SDcast!$A:$ALI,MATCH($R884,indexy_SDcast!$K:$K,0),MATCH(V$2,indexy_SDcast!$2:$2,0)),"#ekrk")),"#popis")</f>
        <v>-2598.4865923646862</v>
      </c>
      <c r="W884" s="365">
        <f>IF($Q884="ekrk",IF($R884="data",IFERROR(INDEX(data!$A:$ALL,MATCH($M884,data!$A:$A,0),MATCH(W$2,data!$1:$1,0)),"#data"),IFERROR(V884*INDEX(indexy_SDcast!$A:$ALI,MATCH($R884,indexy_SDcast!$K:$K,0),MATCH(W$2,indexy_SDcast!$2:$2,0)),"#ekrk")),"#popis")</f>
        <v>-2627.6969744503349</v>
      </c>
      <c r="X884" s="365">
        <f>IF($Q884="ekrk",IF($R884="data",IFERROR(INDEX(data!$A:$ALL,MATCH($M884,data!$A:$A,0),MATCH(X$2,data!$1:$1,0)),"#data"),IFERROR(W884*INDEX(indexy_SDcast!$A:$ALI,MATCH($R884,indexy_SDcast!$K:$K,0),MATCH(X$2,indexy_SDcast!$2:$2,0)),"#ekrk")),"#popis")</f>
        <v>-1687.8380594068303</v>
      </c>
      <c r="Y884" s="362">
        <f>IF($Q884="ekrk",IF($R884="data",IFERROR(INDEX(data!$A:$ALL,MATCH($M884,data!$A:$A,0),MATCH(Y$2,data!$1:$1,0)),"#data"),IFERROR(X884*INDEX(indexy_SDcast!$A:$ALI,MATCH($R884,indexy_SDcast!$K:$K,0),MATCH(Y$2,indexy_SDcast!$2:$2,0)),"#ekrk")),"#popis")</f>
        <v>-2283.3882831444366</v>
      </c>
    </row>
    <row r="885" spans="1:25" x14ac:dyDescent="0.25">
      <c r="A885" s="330">
        <v>636001</v>
      </c>
      <c r="B885" s="329">
        <v>-804.31951000000004</v>
      </c>
      <c r="C885" s="157"/>
      <c r="D885" s="330">
        <v>636001</v>
      </c>
      <c r="E885" s="329">
        <v>-804.31951000000004</v>
      </c>
      <c r="F885" s="157"/>
      <c r="G885" s="330">
        <v>636001</v>
      </c>
      <c r="H885" s="329">
        <v>-804.31951000000004</v>
      </c>
      <c r="I885" s="157"/>
      <c r="J885" s="330">
        <v>636001</v>
      </c>
      <c r="K885" s="329">
        <v>-804.31951000000004</v>
      </c>
      <c r="L885" s="157"/>
      <c r="M885" s="360">
        <f t="shared" si="86"/>
        <v>636001</v>
      </c>
      <c r="N885" s="237">
        <f t="shared" si="87"/>
        <v>-804.31951000000004</v>
      </c>
      <c r="O885" s="361"/>
      <c r="P885" s="361"/>
      <c r="Q885" s="361" t="s">
        <v>698</v>
      </c>
      <c r="R885" s="362">
        <v>35</v>
      </c>
      <c r="S885" s="236"/>
      <c r="T885" s="364">
        <f t="shared" si="83"/>
        <v>636001</v>
      </c>
      <c r="U885" s="365">
        <f t="shared" si="88"/>
        <v>-804.31951000000004</v>
      </c>
      <c r="V885" s="365">
        <f>IF($Q885="ekrk",IF($R885="data",IFERROR(INDEX(data!$A:$ALL,MATCH($M885,data!$A:$A,0),MATCH(V$2,data!$1:$1,0)),"#data"),IFERROR(U885*INDEX(indexy_SDcast!$A:$ALI,MATCH($R885,indexy_SDcast!$K:$K,0),MATCH(V$2,indexy_SDcast!$2:$2,0)),"#ekrk")),"#popis")</f>
        <v>-1029.7156901914329</v>
      </c>
      <c r="W885" s="365">
        <f>IF($Q885="ekrk",IF($R885="data",IFERROR(INDEX(data!$A:$ALL,MATCH($M885,data!$A:$A,0),MATCH(W$2,data!$1:$1,0)),"#data"),IFERROR(V885*INDEX(indexy_SDcast!$A:$ALI,MATCH($R885,indexy_SDcast!$K:$K,0),MATCH(W$2,indexy_SDcast!$2:$2,0)),"#ekrk")),"#popis")</f>
        <v>-1041.291039026582</v>
      </c>
      <c r="X885" s="365">
        <f>IF($Q885="ekrk",IF($R885="data",IFERROR(INDEX(data!$A:$ALL,MATCH($M885,data!$A:$A,0),MATCH(X$2,data!$1:$1,0)),"#data"),IFERROR(W885*INDEX(indexy_SDcast!$A:$ALI,MATCH($R885,indexy_SDcast!$K:$K,0),MATCH(X$2,indexy_SDcast!$2:$2,0)),"#ekrk")),"#popis")</f>
        <v>-668.8482970742815</v>
      </c>
      <c r="Y885" s="362">
        <f>IF($Q885="ekrk",IF($R885="data",IFERROR(INDEX(data!$A:$ALL,MATCH($M885,data!$A:$A,0),MATCH(Y$2,data!$1:$1,0)),"#data"),IFERROR(X885*INDEX(indexy_SDcast!$A:$ALI,MATCH($R885,indexy_SDcast!$K:$K,0),MATCH(Y$2,indexy_SDcast!$2:$2,0)),"#ekrk")),"#popis")</f>
        <v>-904.85005728408169</v>
      </c>
    </row>
    <row r="886" spans="1:25" x14ac:dyDescent="0.25">
      <c r="A886" s="330">
        <v>636002</v>
      </c>
      <c r="B886" s="329">
        <v>-331.79224999999997</v>
      </c>
      <c r="C886" s="157"/>
      <c r="D886" s="330">
        <v>636002</v>
      </c>
      <c r="E886" s="329">
        <v>-331.79224999999997</v>
      </c>
      <c r="F886" s="157"/>
      <c r="G886" s="330">
        <v>636002</v>
      </c>
      <c r="H886" s="329">
        <v>-331.79224999999997</v>
      </c>
      <c r="I886" s="157"/>
      <c r="J886" s="330">
        <v>636002</v>
      </c>
      <c r="K886" s="329">
        <v>-331.79224999999997</v>
      </c>
      <c r="L886" s="157"/>
      <c r="M886" s="360">
        <f t="shared" si="86"/>
        <v>636002</v>
      </c>
      <c r="N886" s="237">
        <f t="shared" si="87"/>
        <v>-331.79224999999997</v>
      </c>
      <c r="O886" s="361"/>
      <c r="P886" s="361"/>
      <c r="Q886" s="361" t="s">
        <v>698</v>
      </c>
      <c r="R886" s="362">
        <v>35</v>
      </c>
      <c r="S886" s="236"/>
      <c r="T886" s="364">
        <f t="shared" si="83"/>
        <v>636002</v>
      </c>
      <c r="U886" s="365">
        <f t="shared" si="88"/>
        <v>-331.79224999999997</v>
      </c>
      <c r="V886" s="365">
        <f>IF($Q886="ekrk",IF($R886="data",IFERROR(INDEX(data!$A:$ALL,MATCH($M886,data!$A:$A,0),MATCH(V$2,data!$1:$1,0)),"#data"),IFERROR(U886*INDEX(indexy_SDcast!$A:$ALI,MATCH($R886,indexy_SDcast!$K:$K,0),MATCH(V$2,indexy_SDcast!$2:$2,0)),"#ekrk")),"#popis")</f>
        <v>-424.7711033503569</v>
      </c>
      <c r="W886" s="365">
        <f>IF($Q886="ekrk",IF($R886="data",IFERROR(INDEX(data!$A:$ALL,MATCH($M886,data!$A:$A,0),MATCH(W$2,data!$1:$1,0)),"#data"),IFERROR(V886*INDEX(indexy_SDcast!$A:$ALI,MATCH($R886,indexy_SDcast!$K:$K,0),MATCH(W$2,indexy_SDcast!$2:$2,0)),"#ekrk")),"#popis")</f>
        <v>-429.54608516641281</v>
      </c>
      <c r="X886" s="365">
        <f>IF($Q886="ekrk",IF($R886="data",IFERROR(INDEX(data!$A:$ALL,MATCH($M886,data!$A:$A,0),MATCH(X$2,data!$1:$1,0)),"#data"),IFERROR(W886*INDEX(indexy_SDcast!$A:$ALI,MATCH($R886,indexy_SDcast!$K:$K,0),MATCH(X$2,indexy_SDcast!$2:$2,0)),"#ekrk")),"#popis")</f>
        <v>-275.90861422091359</v>
      </c>
      <c r="Y886" s="362">
        <f>IF($Q886="ekrk",IF($R886="data",IFERROR(INDEX(data!$A:$ALL,MATCH($M886,data!$A:$A,0),MATCH(Y$2,data!$1:$1,0)),"#data"),IFERROR(X886*INDEX(indexy_SDcast!$A:$ALI,MATCH($R886,indexy_SDcast!$K:$K,0),MATCH(Y$2,indexy_SDcast!$2:$2,0)),"#ekrk")),"#popis")</f>
        <v>-373.26240714826662</v>
      </c>
    </row>
    <row r="887" spans="1:25" x14ac:dyDescent="0.25">
      <c r="A887" s="330">
        <v>636003</v>
      </c>
      <c r="B887" s="329">
        <v>-109.00730999999999</v>
      </c>
      <c r="C887" s="157"/>
      <c r="D887" s="330">
        <v>636003</v>
      </c>
      <c r="E887" s="329">
        <v>-109.00730999999999</v>
      </c>
      <c r="F887" s="157"/>
      <c r="G887" s="330">
        <v>636003</v>
      </c>
      <c r="H887" s="329">
        <v>-109.00730999999999</v>
      </c>
      <c r="I887" s="157"/>
      <c r="J887" s="330">
        <v>636003</v>
      </c>
      <c r="K887" s="329">
        <v>-109.00730999999999</v>
      </c>
      <c r="L887" s="157"/>
      <c r="M887" s="360">
        <f t="shared" si="86"/>
        <v>636003</v>
      </c>
      <c r="N887" s="237">
        <f t="shared" si="87"/>
        <v>-109.00730999999999</v>
      </c>
      <c r="O887" s="361"/>
      <c r="P887" s="361"/>
      <c r="Q887" s="361" t="s">
        <v>698</v>
      </c>
      <c r="R887" s="362">
        <v>35</v>
      </c>
      <c r="S887" s="236"/>
      <c r="T887" s="364">
        <f t="shared" si="83"/>
        <v>636003</v>
      </c>
      <c r="U887" s="365">
        <f t="shared" si="88"/>
        <v>-109.00730999999999</v>
      </c>
      <c r="V887" s="365">
        <f>IF($Q887="ekrk",IF($R887="data",IFERROR(INDEX(data!$A:$ALL,MATCH($M887,data!$A:$A,0),MATCH(V$2,data!$1:$1,0)),"#data"),IFERROR(U887*INDEX(indexy_SDcast!$A:$ALI,MATCH($R887,indexy_SDcast!$K:$K,0),MATCH(V$2,indexy_SDcast!$2:$2,0)),"#ekrk")),"#popis")</f>
        <v>-139.55466211749791</v>
      </c>
      <c r="W887" s="365">
        <f>IF($Q887="ekrk",IF($R887="data",IFERROR(INDEX(data!$A:$ALL,MATCH($M887,data!$A:$A,0),MATCH(W$2,data!$1:$1,0)),"#data"),IFERROR(V887*INDEX(indexy_SDcast!$A:$ALI,MATCH($R887,indexy_SDcast!$K:$K,0),MATCH(W$2,indexy_SDcast!$2:$2,0)),"#ekrk")),"#popis")</f>
        <v>-141.1234387331879</v>
      </c>
      <c r="X887" s="365">
        <f>IF($Q887="ekrk",IF($R887="data",IFERROR(INDEX(data!$A:$ALL,MATCH($M887,data!$A:$A,0),MATCH(X$2,data!$1:$1,0)),"#data"),IFERROR(W887*INDEX(indexy_SDcast!$A:$ALI,MATCH($R887,indexy_SDcast!$K:$K,0),MATCH(X$2,indexy_SDcast!$2:$2,0)),"#ekrk")),"#popis")</f>
        <v>-90.647252435973215</v>
      </c>
      <c r="Y887" s="362">
        <f>IF($Q887="ekrk",IF($R887="data",IFERROR(INDEX(data!$A:$ALL,MATCH($M887,data!$A:$A,0),MATCH(Y$2,data!$1:$1,0)),"#data"),IFERROR(X887*INDEX(indexy_SDcast!$A:$ALI,MATCH($R887,indexy_SDcast!$K:$K,0),MATCH(Y$2,indexy_SDcast!$2:$2,0)),"#ekrk")),"#popis")</f>
        <v>-122.63195094929829</v>
      </c>
    </row>
    <row r="888" spans="1:25" x14ac:dyDescent="0.25">
      <c r="A888" s="330">
        <v>636004</v>
      </c>
      <c r="B888" s="329">
        <v>-5.3022600000000004</v>
      </c>
      <c r="C888" s="157"/>
      <c r="D888" s="330">
        <v>636004</v>
      </c>
      <c r="E888" s="329">
        <v>-5.3022600000000004</v>
      </c>
      <c r="F888" s="157"/>
      <c r="G888" s="330">
        <v>636004</v>
      </c>
      <c r="H888" s="329">
        <v>-5.3022600000000004</v>
      </c>
      <c r="I888" s="157"/>
      <c r="J888" s="330">
        <v>636004</v>
      </c>
      <c r="K888" s="329">
        <v>-5.3022600000000004</v>
      </c>
      <c r="L888" s="157"/>
      <c r="M888" s="360">
        <f t="shared" si="86"/>
        <v>636004</v>
      </c>
      <c r="N888" s="237">
        <f t="shared" si="87"/>
        <v>-5.3022600000000004</v>
      </c>
      <c r="O888" s="361"/>
      <c r="P888" s="361"/>
      <c r="Q888" s="361" t="s">
        <v>698</v>
      </c>
      <c r="R888" s="362">
        <v>35</v>
      </c>
      <c r="S888" s="236"/>
      <c r="T888" s="364">
        <f t="shared" si="83"/>
        <v>636004</v>
      </c>
      <c r="U888" s="365">
        <f t="shared" si="88"/>
        <v>-5.3022600000000004</v>
      </c>
      <c r="V888" s="365">
        <f>IF($Q888="ekrk",IF($R888="data",IFERROR(INDEX(data!$A:$ALL,MATCH($M888,data!$A:$A,0),MATCH(V$2,data!$1:$1,0)),"#data"),IFERROR(U888*INDEX(indexy_SDcast!$A:$ALI,MATCH($R888,indexy_SDcast!$K:$K,0),MATCH(V$2,indexy_SDcast!$2:$2,0)),"#ekrk")),"#popis")</f>
        <v>-6.7881236841742503</v>
      </c>
      <c r="W888" s="365">
        <f>IF($Q888="ekrk",IF($R888="data",IFERROR(INDEX(data!$A:$ALL,MATCH($M888,data!$A:$A,0),MATCH(W$2,data!$1:$1,0)),"#data"),IFERROR(V888*INDEX(indexy_SDcast!$A:$ALI,MATCH($R888,indexy_SDcast!$K:$K,0),MATCH(W$2,indexy_SDcast!$2:$2,0)),"#ekrk")),"#popis")</f>
        <v>-6.8644310574899334</v>
      </c>
      <c r="X888" s="365">
        <f>IF($Q888="ekrk",IF($R888="data",IFERROR(INDEX(data!$A:$ALL,MATCH($M888,data!$A:$A,0),MATCH(X$2,data!$1:$1,0)),"#data"),IFERROR(W888*INDEX(indexy_SDcast!$A:$ALI,MATCH($R888,indexy_SDcast!$K:$K,0),MATCH(X$2,indexy_SDcast!$2:$2,0)),"#ekrk")),"#popis")</f>
        <v>-4.4092024718449014</v>
      </c>
      <c r="Y888" s="362">
        <f>IF($Q888="ekrk",IF($R888="data",IFERROR(INDEX(data!$A:$ALL,MATCH($M888,data!$A:$A,0),MATCH(Y$2,data!$1:$1,0)),"#data"),IFERROR(X888*INDEX(indexy_SDcast!$A:$ALI,MATCH($R888,indexy_SDcast!$K:$K,0),MATCH(Y$2,indexy_SDcast!$2:$2,0)),"#ekrk")),"#popis")</f>
        <v>-5.964980589287328</v>
      </c>
    </row>
    <row r="889" spans="1:25" x14ac:dyDescent="0.25">
      <c r="A889" s="330">
        <v>636006</v>
      </c>
      <c r="B889" s="329">
        <v>-87.464449999999985</v>
      </c>
      <c r="C889" s="157"/>
      <c r="D889" s="330">
        <v>636006</v>
      </c>
      <c r="E889" s="329">
        <v>-87.464449999999985</v>
      </c>
      <c r="F889" s="157"/>
      <c r="G889" s="330">
        <v>636006</v>
      </c>
      <c r="H889" s="329">
        <v>-87.464449999999985</v>
      </c>
      <c r="I889" s="157"/>
      <c r="J889" s="330">
        <v>636006</v>
      </c>
      <c r="K889" s="329">
        <v>-87.464449999999985</v>
      </c>
      <c r="L889" s="157"/>
      <c r="M889" s="360">
        <f t="shared" si="86"/>
        <v>636006</v>
      </c>
      <c r="N889" s="237">
        <f t="shared" si="87"/>
        <v>-87.464449999999985</v>
      </c>
      <c r="O889" s="361"/>
      <c r="P889" s="361"/>
      <c r="Q889" s="361" t="s">
        <v>698</v>
      </c>
      <c r="R889" s="362">
        <v>35</v>
      </c>
      <c r="S889" s="236"/>
      <c r="T889" s="364">
        <f t="shared" ref="T889:T940" si="89">M889</f>
        <v>636006</v>
      </c>
      <c r="U889" s="365">
        <f t="shared" si="88"/>
        <v>-87.464449999999985</v>
      </c>
      <c r="V889" s="365">
        <f>IF($Q889="ekrk",IF($R889="data",IFERROR(INDEX(data!$A:$ALL,MATCH($M889,data!$A:$A,0),MATCH(V$2,data!$1:$1,0)),"#data"),IFERROR(U889*INDEX(indexy_SDcast!$A:$ALI,MATCH($R889,indexy_SDcast!$K:$K,0),MATCH(V$2,indexy_SDcast!$2:$2,0)),"#ekrk")),"#popis")</f>
        <v>-111.97480028672196</v>
      </c>
      <c r="W889" s="365">
        <f>IF($Q889="ekrk",IF($R889="data",IFERROR(INDEX(data!$A:$ALL,MATCH($M889,data!$A:$A,0),MATCH(W$2,data!$1:$1,0)),"#data"),IFERROR(V889*INDEX(indexy_SDcast!$A:$ALI,MATCH($R889,indexy_SDcast!$K:$K,0),MATCH(W$2,indexy_SDcast!$2:$2,0)),"#ekrk")),"#popis")</f>
        <v>-113.23354324500785</v>
      </c>
      <c r="X889" s="365">
        <f>IF($Q889="ekrk",IF($R889="data",IFERROR(INDEX(data!$A:$ALL,MATCH($M889,data!$A:$A,0),MATCH(X$2,data!$1:$1,0)),"#data"),IFERROR(W889*INDEX(indexy_SDcast!$A:$ALI,MATCH($R889,indexy_SDcast!$K:$K,0),MATCH(X$2,indexy_SDcast!$2:$2,0)),"#ekrk")),"#popis")</f>
        <v>-72.732847717493058</v>
      </c>
      <c r="Y889" s="362">
        <f>IF($Q889="ekrk",IF($R889="data",IFERROR(INDEX(data!$A:$ALL,MATCH($M889,data!$A:$A,0),MATCH(Y$2,data!$1:$1,0)),"#data"),IFERROR(X889*INDEX(indexy_SDcast!$A:$ALI,MATCH($R889,indexy_SDcast!$K:$K,0),MATCH(Y$2,indexy_SDcast!$2:$2,0)),"#ekrk")),"#popis")</f>
        <v>-98.396484989927316</v>
      </c>
    </row>
    <row r="890" spans="1:25" x14ac:dyDescent="0.25">
      <c r="A890" s="330">
        <v>636007</v>
      </c>
      <c r="B890" s="329">
        <v>-130.38230999999999</v>
      </c>
      <c r="C890" s="157"/>
      <c r="D890" s="330">
        <v>636007</v>
      </c>
      <c r="E890" s="329">
        <v>-130.38230999999999</v>
      </c>
      <c r="F890" s="157"/>
      <c r="G890" s="330">
        <v>636007</v>
      </c>
      <c r="H890" s="329">
        <v>-130.38230999999999</v>
      </c>
      <c r="I890" s="157"/>
      <c r="J890" s="330">
        <v>636007</v>
      </c>
      <c r="K890" s="329">
        <v>-130.38230999999999</v>
      </c>
      <c r="L890" s="157"/>
      <c r="M890" s="360">
        <f t="shared" si="86"/>
        <v>636007</v>
      </c>
      <c r="N890" s="237">
        <f t="shared" si="87"/>
        <v>-130.38230999999999</v>
      </c>
      <c r="O890" s="361"/>
      <c r="P890" s="361"/>
      <c r="Q890" s="361" t="s">
        <v>698</v>
      </c>
      <c r="R890" s="362">
        <v>35</v>
      </c>
      <c r="S890" s="236"/>
      <c r="T890" s="364">
        <f t="shared" si="89"/>
        <v>636007</v>
      </c>
      <c r="U890" s="365">
        <f t="shared" si="88"/>
        <v>-130.38230999999999</v>
      </c>
      <c r="V890" s="365">
        <f>IF($Q890="ekrk",IF($R890="data",IFERROR(INDEX(data!$A:$ALL,MATCH($M890,data!$A:$A,0),MATCH(V$2,data!$1:$1,0)),"#data"),IFERROR(U890*INDEX(indexy_SDcast!$A:$ALI,MATCH($R890,indexy_SDcast!$K:$K,0),MATCH(V$2,indexy_SDcast!$2:$2,0)),"#ekrk")),"#popis")</f>
        <v>-166.91962418069824</v>
      </c>
      <c r="W890" s="365">
        <f>IF($Q890="ekrk",IF($R890="data",IFERROR(INDEX(data!$A:$ALL,MATCH($M890,data!$A:$A,0),MATCH(W$2,data!$1:$1,0)),"#data"),IFERROR(V890*INDEX(indexy_SDcast!$A:$ALI,MATCH($R890,indexy_SDcast!$K:$K,0),MATCH(W$2,indexy_SDcast!$2:$2,0)),"#ekrk")),"#popis")</f>
        <v>-168.79601869981482</v>
      </c>
      <c r="X890" s="365">
        <f>IF($Q890="ekrk",IF($R890="data",IFERROR(INDEX(data!$A:$ALL,MATCH($M890,data!$A:$A,0),MATCH(X$2,data!$1:$1,0)),"#data"),IFERROR(W890*INDEX(indexy_SDcast!$A:$ALI,MATCH($R890,indexy_SDcast!$K:$K,0),MATCH(X$2,indexy_SDcast!$2:$2,0)),"#ekrk")),"#popis")</f>
        <v>-108.4220697470226</v>
      </c>
      <c r="Y890" s="362">
        <f>IF($Q890="ekrk",IF($R890="data",IFERROR(INDEX(data!$A:$ALL,MATCH($M890,data!$A:$A,0),MATCH(Y$2,data!$1:$1,0)),"#data"),IFERROR(X890*INDEX(indexy_SDcast!$A:$ALI,MATCH($R890,indexy_SDcast!$K:$K,0),MATCH(Y$2,indexy_SDcast!$2:$2,0)),"#ekrk")),"#popis")</f>
        <v>-146.67857636865091</v>
      </c>
    </row>
    <row r="891" spans="1:25" x14ac:dyDescent="0.25">
      <c r="A891" s="330">
        <v>637000</v>
      </c>
      <c r="B891" s="329">
        <v>0</v>
      </c>
      <c r="C891" s="157"/>
      <c r="D891" s="330">
        <v>637000</v>
      </c>
      <c r="E891" s="329">
        <v>0</v>
      </c>
      <c r="F891" s="157"/>
      <c r="G891" s="330">
        <v>637000</v>
      </c>
      <c r="H891" s="329">
        <v>0</v>
      </c>
      <c r="I891" s="157"/>
      <c r="J891" s="330">
        <v>637000</v>
      </c>
      <c r="K891" s="329">
        <v>0</v>
      </c>
      <c r="L891" s="157"/>
      <c r="M891" s="360">
        <f t="shared" si="86"/>
        <v>637000</v>
      </c>
      <c r="N891" s="237">
        <f t="shared" si="87"/>
        <v>0</v>
      </c>
      <c r="O891" s="361"/>
      <c r="P891" s="361"/>
      <c r="Q891" s="361" t="s">
        <v>698</v>
      </c>
      <c r="R891" s="362">
        <v>35</v>
      </c>
      <c r="S891" s="236"/>
      <c r="T891" s="364">
        <f t="shared" si="89"/>
        <v>637000</v>
      </c>
      <c r="U891" s="365">
        <f t="shared" si="88"/>
        <v>0</v>
      </c>
      <c r="V891" s="365">
        <f>IF($Q891="ekrk",IF($R891="data",IFERROR(INDEX(data!$A:$ALL,MATCH($M891,data!$A:$A,0),MATCH(V$2,data!$1:$1,0)),"#data"),IFERROR(U891*INDEX(indexy_SDcast!$A:$ALI,MATCH($R891,indexy_SDcast!$K:$K,0),MATCH(V$2,indexy_SDcast!$2:$2,0)),"#ekrk")),"#popis")</f>
        <v>0</v>
      </c>
      <c r="W891" s="365">
        <f>IF($Q891="ekrk",IF($R891="data",IFERROR(INDEX(data!$A:$ALL,MATCH($M891,data!$A:$A,0),MATCH(W$2,data!$1:$1,0)),"#data"),IFERROR(V891*INDEX(indexy_SDcast!$A:$ALI,MATCH($R891,indexy_SDcast!$K:$K,0),MATCH(W$2,indexy_SDcast!$2:$2,0)),"#ekrk")),"#popis")</f>
        <v>0</v>
      </c>
      <c r="X891" s="365">
        <f>IF($Q891="ekrk",IF($R891="data",IFERROR(INDEX(data!$A:$ALL,MATCH($M891,data!$A:$A,0),MATCH(X$2,data!$1:$1,0)),"#data"),IFERROR(W891*INDEX(indexy_SDcast!$A:$ALI,MATCH($R891,indexy_SDcast!$K:$K,0),MATCH(X$2,indexy_SDcast!$2:$2,0)),"#ekrk")),"#popis")</f>
        <v>0</v>
      </c>
      <c r="Y891" s="362">
        <f>IF($Q891="ekrk",IF($R891="data",IFERROR(INDEX(data!$A:$ALL,MATCH($M891,data!$A:$A,0),MATCH(Y$2,data!$1:$1,0)),"#data"),IFERROR(X891*INDEX(indexy_SDcast!$A:$ALI,MATCH($R891,indexy_SDcast!$K:$K,0),MATCH(Y$2,indexy_SDcast!$2:$2,0)),"#ekrk")),"#popis")</f>
        <v>0</v>
      </c>
    </row>
    <row r="892" spans="1:25" x14ac:dyDescent="0.25">
      <c r="A892" s="330">
        <v>637001</v>
      </c>
      <c r="B892" s="329">
        <v>-5214.6375399999997</v>
      </c>
      <c r="C892" s="157"/>
      <c r="D892" s="330">
        <v>637001</v>
      </c>
      <c r="E892" s="329">
        <v>-5214.6375399999997</v>
      </c>
      <c r="F892" s="157"/>
      <c r="G892" s="330">
        <v>637001</v>
      </c>
      <c r="H892" s="329">
        <v>-5214.6375399999997</v>
      </c>
      <c r="I892" s="157"/>
      <c r="J892" s="330">
        <v>637001</v>
      </c>
      <c r="K892" s="329">
        <v>-5214.6375399999997</v>
      </c>
      <c r="L892" s="157"/>
      <c r="M892" s="360">
        <f t="shared" si="86"/>
        <v>637001</v>
      </c>
      <c r="N892" s="237">
        <f t="shared" si="87"/>
        <v>-5214.6375399999997</v>
      </c>
      <c r="O892" s="361"/>
      <c r="P892" s="361"/>
      <c r="Q892" s="361" t="s">
        <v>698</v>
      </c>
      <c r="R892" s="362">
        <v>35</v>
      </c>
      <c r="S892" s="236"/>
      <c r="T892" s="364">
        <f t="shared" si="89"/>
        <v>637001</v>
      </c>
      <c r="U892" s="365">
        <f t="shared" si="88"/>
        <v>-5214.6375399999997</v>
      </c>
      <c r="V892" s="365">
        <f>IF($Q892="ekrk",IF($R892="data",IFERROR(INDEX(data!$A:$ALL,MATCH($M892,data!$A:$A,0),MATCH(V$2,data!$1:$1,0)),"#data"),IFERROR(U892*INDEX(indexy_SDcast!$A:$ALI,MATCH($R892,indexy_SDcast!$K:$K,0),MATCH(V$2,indexy_SDcast!$2:$2,0)),"#ekrk")),"#popis")</f>
        <v>-6675.9465944065632</v>
      </c>
      <c r="W892" s="365">
        <f>IF($Q892="ekrk",IF($R892="data",IFERROR(INDEX(data!$A:$ALL,MATCH($M892,data!$A:$A,0),MATCH(W$2,data!$1:$1,0)),"#data"),IFERROR(V892*INDEX(indexy_SDcast!$A:$ALI,MATCH($R892,indexy_SDcast!$K:$K,0),MATCH(W$2,indexy_SDcast!$2:$2,0)),"#ekrk")),"#popis")</f>
        <v>-6750.99295076607</v>
      </c>
      <c r="X892" s="365">
        <f>IF($Q892="ekrk",IF($R892="data",IFERROR(INDEX(data!$A:$ALL,MATCH($M892,data!$A:$A,0),MATCH(X$2,data!$1:$1,0)),"#data"),IFERROR(W892*INDEX(indexy_SDcast!$A:$ALI,MATCH($R892,indexy_SDcast!$K:$K,0),MATCH(X$2,indexy_SDcast!$2:$2,0)),"#ekrk")),"#popis")</f>
        <v>-4336.3382276884222</v>
      </c>
      <c r="Y892" s="362">
        <f>IF($Q892="ekrk",IF($R892="data",IFERROR(INDEX(data!$A:$ALL,MATCH($M892,data!$A:$A,0),MATCH(Y$2,data!$1:$1,0)),"#data"),IFERROR(X892*INDEX(indexy_SDcast!$A:$ALI,MATCH($R892,indexy_SDcast!$K:$K,0),MATCH(Y$2,indexy_SDcast!$2:$2,0)),"#ekrk")),"#popis")</f>
        <v>-5866.4063448923707</v>
      </c>
    </row>
    <row r="893" spans="1:25" x14ac:dyDescent="0.25">
      <c r="A893" s="330">
        <v>637002</v>
      </c>
      <c r="B893" s="329">
        <v>-153.89063999999996</v>
      </c>
      <c r="C893" s="157"/>
      <c r="D893" s="330">
        <v>637002</v>
      </c>
      <c r="E893" s="329">
        <v>-153.89063999999996</v>
      </c>
      <c r="F893" s="157"/>
      <c r="G893" s="330">
        <v>637002</v>
      </c>
      <c r="H893" s="329">
        <v>-153.89063999999996</v>
      </c>
      <c r="I893" s="157"/>
      <c r="J893" s="330">
        <v>637002</v>
      </c>
      <c r="K893" s="329">
        <v>-153.89063999999996</v>
      </c>
      <c r="L893" s="157"/>
      <c r="M893" s="360">
        <f t="shared" si="86"/>
        <v>637002</v>
      </c>
      <c r="N893" s="237">
        <f t="shared" si="87"/>
        <v>-153.89063999999996</v>
      </c>
      <c r="O893" s="361"/>
      <c r="P893" s="361"/>
      <c r="Q893" s="361" t="s">
        <v>698</v>
      </c>
      <c r="R893" s="362">
        <v>35</v>
      </c>
      <c r="S893" s="236"/>
      <c r="T893" s="364">
        <f t="shared" si="89"/>
        <v>637002</v>
      </c>
      <c r="U893" s="365">
        <f t="shared" si="88"/>
        <v>-153.89063999999996</v>
      </c>
      <c r="V893" s="365">
        <f>IF($Q893="ekrk",IF($R893="data",IFERROR(INDEX(data!$A:$ALL,MATCH($M893,data!$A:$A,0),MATCH(V$2,data!$1:$1,0)),"#data"),IFERROR(U893*INDEX(indexy_SDcast!$A:$ALI,MATCH($R893,indexy_SDcast!$K:$K,0),MATCH(V$2,indexy_SDcast!$2:$2,0)),"#ekrk")),"#popis")</f>
        <v>-197.01574388218097</v>
      </c>
      <c r="W893" s="365">
        <f>IF($Q893="ekrk",IF($R893="data",IFERROR(INDEX(data!$A:$ALL,MATCH($M893,data!$A:$A,0),MATCH(W$2,data!$1:$1,0)),"#data"),IFERROR(V893*INDEX(indexy_SDcast!$A:$ALI,MATCH($R893,indexy_SDcast!$K:$K,0),MATCH(W$2,indexy_SDcast!$2:$2,0)),"#ekrk")),"#popis")</f>
        <v>-199.23045808259164</v>
      </c>
      <c r="X893" s="365">
        <f>IF($Q893="ekrk",IF($R893="data",IFERROR(INDEX(data!$A:$ALL,MATCH($M893,data!$A:$A,0),MATCH(X$2,data!$1:$1,0)),"#data"),IFERROR(W893*INDEX(indexy_SDcast!$A:$ALI,MATCH($R893,indexy_SDcast!$K:$K,0),MATCH(X$2,indexy_SDcast!$2:$2,0)),"#ekrk")),"#popis")</f>
        <v>-127.97090114060677</v>
      </c>
      <c r="Y893" s="362">
        <f>IF($Q893="ekrk",IF($R893="data",IFERROR(INDEX(data!$A:$ALL,MATCH($M893,data!$A:$A,0),MATCH(Y$2,data!$1:$1,0)),"#data"),IFERROR(X893*INDEX(indexy_SDcast!$A:$ALI,MATCH($R893,indexy_SDcast!$K:$K,0),MATCH(Y$2,indexy_SDcast!$2:$2,0)),"#ekrk")),"#popis")</f>
        <v>-173.12517312862889</v>
      </c>
    </row>
    <row r="894" spans="1:25" x14ac:dyDescent="0.25">
      <c r="A894" s="330">
        <v>637003</v>
      </c>
      <c r="B894" s="329">
        <v>-3405.0809199999999</v>
      </c>
      <c r="C894" s="157"/>
      <c r="D894" s="330">
        <v>637003</v>
      </c>
      <c r="E894" s="329">
        <v>-3405.0809199999999</v>
      </c>
      <c r="F894" s="157"/>
      <c r="G894" s="330">
        <v>637003</v>
      </c>
      <c r="H894" s="329">
        <v>-3405.0809199999999</v>
      </c>
      <c r="I894" s="157"/>
      <c r="J894" s="330">
        <v>637003</v>
      </c>
      <c r="K894" s="329">
        <v>-3405.0809199999999</v>
      </c>
      <c r="L894" s="157"/>
      <c r="M894" s="360">
        <f t="shared" si="86"/>
        <v>637003</v>
      </c>
      <c r="N894" s="237">
        <f t="shared" si="87"/>
        <v>-3405.0809199999999</v>
      </c>
      <c r="O894" s="361"/>
      <c r="P894" s="361"/>
      <c r="Q894" s="361" t="s">
        <v>698</v>
      </c>
      <c r="R894" s="362">
        <v>35</v>
      </c>
      <c r="S894" s="236"/>
      <c r="T894" s="364">
        <f t="shared" si="89"/>
        <v>637003</v>
      </c>
      <c r="U894" s="365">
        <f t="shared" si="88"/>
        <v>-3405.0809199999999</v>
      </c>
      <c r="V894" s="365">
        <f>IF($Q894="ekrk",IF($R894="data",IFERROR(INDEX(data!$A:$ALL,MATCH($M894,data!$A:$A,0),MATCH(V$2,data!$1:$1,0)),"#data"),IFERROR(U894*INDEX(indexy_SDcast!$A:$ALI,MATCH($R894,indexy_SDcast!$K:$K,0),MATCH(V$2,indexy_SDcast!$2:$2,0)),"#ekrk")),"#popis")</f>
        <v>-4359.2940443474745</v>
      </c>
      <c r="W894" s="365">
        <f>IF($Q894="ekrk",IF($R894="data",IFERROR(INDEX(data!$A:$ALL,MATCH($M894,data!$A:$A,0),MATCH(W$2,data!$1:$1,0)),"#data"),IFERROR(V894*INDEX(indexy_SDcast!$A:$ALI,MATCH($R894,indexy_SDcast!$K:$K,0),MATCH(W$2,indexy_SDcast!$2:$2,0)),"#ekrk")),"#popis")</f>
        <v>-4408.2982012414313</v>
      </c>
      <c r="X894" s="365">
        <f>IF($Q894="ekrk",IF($R894="data",IFERROR(INDEX(data!$A:$ALL,MATCH($M894,data!$A:$A,0),MATCH(X$2,data!$1:$1,0)),"#data"),IFERROR(W894*INDEX(indexy_SDcast!$A:$ALI,MATCH($R894,indexy_SDcast!$K:$K,0),MATCH(X$2,indexy_SDcast!$2:$2,0)),"#ekrk")),"#popis")</f>
        <v>-2831.5645044369589</v>
      </c>
      <c r="Y894" s="362">
        <f>IF($Q894="ekrk",IF($R894="data",IFERROR(INDEX(data!$A:$ALL,MATCH($M894,data!$A:$A,0),MATCH(Y$2,data!$1:$1,0)),"#data"),IFERROR(X894*INDEX(indexy_SDcast!$A:$ALI,MATCH($R894,indexy_SDcast!$K:$K,0),MATCH(Y$2,indexy_SDcast!$2:$2,0)),"#ekrk")),"#popis")</f>
        <v>-3830.6762762958883</v>
      </c>
    </row>
    <row r="895" spans="1:25" x14ac:dyDescent="0.25">
      <c r="A895" s="330">
        <v>637004</v>
      </c>
      <c r="B895" s="329">
        <v>-10690.374249999997</v>
      </c>
      <c r="C895" s="157"/>
      <c r="D895" s="330">
        <v>637004</v>
      </c>
      <c r="E895" s="329">
        <v>-10690.374249999997</v>
      </c>
      <c r="F895" s="157"/>
      <c r="G895" s="330">
        <v>637004</v>
      </c>
      <c r="H895" s="329">
        <v>-10690.374249999997</v>
      </c>
      <c r="I895" s="157"/>
      <c r="J895" s="330">
        <v>637004</v>
      </c>
      <c r="K895" s="329">
        <v>-10690.374249999997</v>
      </c>
      <c r="L895" s="157"/>
      <c r="M895" s="360">
        <f t="shared" si="86"/>
        <v>637004</v>
      </c>
      <c r="N895" s="237">
        <f t="shared" si="87"/>
        <v>-10690.374249999997</v>
      </c>
      <c r="O895" s="361"/>
      <c r="P895" s="361"/>
      <c r="Q895" s="361" t="s">
        <v>698</v>
      </c>
      <c r="R895" s="362">
        <v>35</v>
      </c>
      <c r="S895" s="236"/>
      <c r="T895" s="364">
        <f t="shared" si="89"/>
        <v>637004</v>
      </c>
      <c r="U895" s="365">
        <f t="shared" si="88"/>
        <v>-10690.374249999997</v>
      </c>
      <c r="V895" s="365">
        <f>IF($Q895="ekrk",IF($R895="data",IFERROR(INDEX(data!$A:$ALL,MATCH($M895,data!$A:$A,0),MATCH(V$2,data!$1:$1,0)),"#data"),IFERROR(U895*INDEX(indexy_SDcast!$A:$ALI,MATCH($R895,indexy_SDcast!$K:$K,0),MATCH(V$2,indexy_SDcast!$2:$2,0)),"#ekrk")),"#popis")</f>
        <v>-13686.160738838063</v>
      </c>
      <c r="W895" s="365">
        <f>IF($Q895="ekrk",IF($R895="data",IFERROR(INDEX(data!$A:$ALL,MATCH($M895,data!$A:$A,0),MATCH(W$2,data!$1:$1,0)),"#data"),IFERROR(V895*INDEX(indexy_SDcast!$A:$ALI,MATCH($R895,indexy_SDcast!$K:$K,0),MATCH(W$2,indexy_SDcast!$2:$2,0)),"#ekrk")),"#popis")</f>
        <v>-13840.011055265233</v>
      </c>
      <c r="X895" s="365">
        <f>IF($Q895="ekrk",IF($R895="data",IFERROR(INDEX(data!$A:$ALL,MATCH($M895,data!$A:$A,0),MATCH(X$2,data!$1:$1,0)),"#data"),IFERROR(W895*INDEX(indexy_SDcast!$A:$ALI,MATCH($R895,indexy_SDcast!$K:$K,0),MATCH(X$2,indexy_SDcast!$2:$2,0)),"#ekrk")),"#popis")</f>
        <v>-8889.7987967483805</v>
      </c>
      <c r="Y895" s="362">
        <f>IF($Q895="ekrk",IF($R895="data",IFERROR(INDEX(data!$A:$ALL,MATCH($M895,data!$A:$A,0),MATCH(Y$2,data!$1:$1,0)),"#data"),IFERROR(X895*INDEX(indexy_SDcast!$A:$ALI,MATCH($R895,indexy_SDcast!$K:$K,0),MATCH(Y$2,indexy_SDcast!$2:$2,0)),"#ekrk")),"#popis")</f>
        <v>-12026.546207365738</v>
      </c>
    </row>
    <row r="896" spans="1:25" x14ac:dyDescent="0.25">
      <c r="A896" s="330">
        <v>637005</v>
      </c>
      <c r="B896" s="329">
        <v>-16618.573399999987</v>
      </c>
      <c r="C896" s="157"/>
      <c r="D896" s="330">
        <v>637005</v>
      </c>
      <c r="E896" s="329">
        <v>-16618.573399999987</v>
      </c>
      <c r="F896" s="157"/>
      <c r="G896" s="330">
        <v>637005</v>
      </c>
      <c r="H896" s="329">
        <v>-16618.573399999987</v>
      </c>
      <c r="I896" s="157"/>
      <c r="J896" s="330">
        <v>637005</v>
      </c>
      <c r="K896" s="329">
        <v>-16618.573399999987</v>
      </c>
      <c r="L896" s="157"/>
      <c r="M896" s="360">
        <f t="shared" si="86"/>
        <v>637005</v>
      </c>
      <c r="N896" s="237">
        <f t="shared" si="87"/>
        <v>-16618.573399999987</v>
      </c>
      <c r="O896" s="361"/>
      <c r="P896" s="361"/>
      <c r="Q896" s="361" t="s">
        <v>698</v>
      </c>
      <c r="R896" s="362">
        <v>35</v>
      </c>
      <c r="S896" s="236"/>
      <c r="T896" s="364">
        <f t="shared" si="89"/>
        <v>637005</v>
      </c>
      <c r="U896" s="365">
        <f t="shared" si="88"/>
        <v>-16618.573399999987</v>
      </c>
      <c r="V896" s="365">
        <f>IF($Q896="ekrk",IF($R896="data",IFERROR(INDEX(data!$A:$ALL,MATCH($M896,data!$A:$A,0),MATCH(V$2,data!$1:$1,0)),"#data"),IFERROR(U896*INDEX(indexy_SDcast!$A:$ALI,MATCH($R896,indexy_SDcast!$K:$K,0),MATCH(V$2,indexy_SDcast!$2:$2,0)),"#ekrk")),"#popis")</f>
        <v>-21275.631842596948</v>
      </c>
      <c r="W896" s="365">
        <f>IF($Q896="ekrk",IF($R896="data",IFERROR(INDEX(data!$A:$ALL,MATCH($M896,data!$A:$A,0),MATCH(W$2,data!$1:$1,0)),"#data"),IFERROR(V896*INDEX(indexy_SDcast!$A:$ALI,MATCH($R896,indexy_SDcast!$K:$K,0),MATCH(W$2,indexy_SDcast!$2:$2,0)),"#ekrk")),"#popis")</f>
        <v>-21514.797723637839</v>
      </c>
      <c r="X896" s="365">
        <f>IF($Q896="ekrk",IF($R896="data",IFERROR(INDEX(data!$A:$ALL,MATCH($M896,data!$A:$A,0),MATCH(X$2,data!$1:$1,0)),"#data"),IFERROR(W896*INDEX(indexy_SDcast!$A:$ALI,MATCH($R896,indexy_SDcast!$K:$K,0),MATCH(X$2,indexy_SDcast!$2:$2,0)),"#ekrk")),"#popis")</f>
        <v>-13819.513738258</v>
      </c>
      <c r="Y896" s="362">
        <f>IF($Q896="ekrk",IF($R896="data",IFERROR(INDEX(data!$A:$ALL,MATCH($M896,data!$A:$A,0),MATCH(Y$2,data!$1:$1,0)),"#data"),IFERROR(X896*INDEX(indexy_SDcast!$A:$ALI,MATCH($R896,indexy_SDcast!$K:$K,0),MATCH(Y$2,indexy_SDcast!$2:$2,0)),"#ekrk")),"#popis")</f>
        <v>-18695.701031757519</v>
      </c>
    </row>
    <row r="897" spans="1:44" x14ac:dyDescent="0.25">
      <c r="A897" s="330">
        <v>637010</v>
      </c>
      <c r="B897" s="329">
        <v>-1960.1885500000001</v>
      </c>
      <c r="C897" s="157"/>
      <c r="D897" s="330">
        <v>637010</v>
      </c>
      <c r="E897" s="329">
        <v>-1960.1885500000001</v>
      </c>
      <c r="F897" s="157"/>
      <c r="G897" s="330">
        <v>637010</v>
      </c>
      <c r="H897" s="329">
        <v>-1960.1885500000001</v>
      </c>
      <c r="I897" s="157"/>
      <c r="J897" s="330">
        <v>637010</v>
      </c>
      <c r="K897" s="329">
        <v>-1960.1885500000001</v>
      </c>
      <c r="L897" s="157"/>
      <c r="M897" s="360">
        <f t="shared" si="86"/>
        <v>637010</v>
      </c>
      <c r="N897" s="237">
        <f t="shared" si="87"/>
        <v>-1960.1885500000001</v>
      </c>
      <c r="O897" s="361"/>
      <c r="P897" s="361"/>
      <c r="Q897" s="361" t="s">
        <v>698</v>
      </c>
      <c r="R897" s="362">
        <v>35</v>
      </c>
      <c r="S897" s="236"/>
      <c r="T897" s="364">
        <f t="shared" si="89"/>
        <v>637010</v>
      </c>
      <c r="U897" s="365">
        <f t="shared" si="88"/>
        <v>-1960.1885500000001</v>
      </c>
      <c r="V897" s="365">
        <f>IF($Q897="ekrk",IF($R897="data",IFERROR(INDEX(data!$A:$ALL,MATCH($M897,data!$A:$A,0),MATCH(V$2,data!$1:$1,0)),"#data"),IFERROR(U897*INDEX(indexy_SDcast!$A:$ALI,MATCH($R897,indexy_SDcast!$K:$K,0),MATCH(V$2,indexy_SDcast!$2:$2,0)),"#ekrk")),"#popis")</f>
        <v>-2509.4963886535515</v>
      </c>
      <c r="W897" s="365">
        <f>IF($Q897="ekrk",IF($R897="data",IFERROR(INDEX(data!$A:$ALL,MATCH($M897,data!$A:$A,0),MATCH(W$2,data!$1:$1,0)),"#data"),IFERROR(V897*INDEX(indexy_SDcast!$A:$ALI,MATCH($R897,indexy_SDcast!$K:$K,0),MATCH(W$2,indexy_SDcast!$2:$2,0)),"#ekrk")),"#popis")</f>
        <v>-2537.7064046569121</v>
      </c>
      <c r="X897" s="365">
        <f>IF($Q897="ekrk",IF($R897="data",IFERROR(INDEX(data!$A:$ALL,MATCH($M897,data!$A:$A,0),MATCH(X$2,data!$1:$1,0)),"#data"),IFERROR(W897*INDEX(indexy_SDcast!$A:$ALI,MATCH($R897,indexy_SDcast!$K:$K,0),MATCH(X$2,indexy_SDcast!$2:$2,0)),"#ekrk")),"#popis")</f>
        <v>-1630.0347776122019</v>
      </c>
      <c r="Y897" s="362">
        <f>IF($Q897="ekrk",IF($R897="data",IFERROR(INDEX(data!$A:$ALL,MATCH($M897,data!$A:$A,0),MATCH(Y$2,data!$1:$1,0)),"#data"),IFERROR(X897*INDEX(indexy_SDcast!$A:$ALI,MATCH($R897,indexy_SDcast!$K:$K,0),MATCH(Y$2,indexy_SDcast!$2:$2,0)),"#ekrk")),"#popis")</f>
        <v>-2205.1892310247467</v>
      </c>
    </row>
    <row r="898" spans="1:44" x14ac:dyDescent="0.25">
      <c r="A898" s="330">
        <v>637011</v>
      </c>
      <c r="B898" s="329">
        <v>-5176.7079300000014</v>
      </c>
      <c r="C898" s="157"/>
      <c r="D898" s="330">
        <v>637011</v>
      </c>
      <c r="E898" s="329">
        <v>-5176.7079300000014</v>
      </c>
      <c r="F898" s="157"/>
      <c r="G898" s="330">
        <v>637011</v>
      </c>
      <c r="H898" s="329">
        <v>-5176.7079300000014</v>
      </c>
      <c r="I898" s="157"/>
      <c r="J898" s="330">
        <v>637011</v>
      </c>
      <c r="K898" s="329">
        <v>-5176.7079300000014</v>
      </c>
      <c r="L898" s="157"/>
      <c r="M898" s="360">
        <f t="shared" si="86"/>
        <v>637011</v>
      </c>
      <c r="N898" s="237">
        <f t="shared" si="87"/>
        <v>-5176.7079300000014</v>
      </c>
      <c r="O898" s="361"/>
      <c r="P898" s="361"/>
      <c r="Q898" s="361" t="s">
        <v>698</v>
      </c>
      <c r="R898" s="362">
        <v>35</v>
      </c>
      <c r="S898" s="236"/>
      <c r="T898" s="364">
        <f t="shared" si="89"/>
        <v>637011</v>
      </c>
      <c r="U898" s="365">
        <f t="shared" si="88"/>
        <v>-5176.7079300000014</v>
      </c>
      <c r="V898" s="365">
        <f>IF($Q898="ekrk",IF($R898="data",IFERROR(INDEX(data!$A:$ALL,MATCH($M898,data!$A:$A,0),MATCH(V$2,data!$1:$1,0)),"#data"),IFERROR(U898*INDEX(indexy_SDcast!$A:$ALI,MATCH($R898,indexy_SDcast!$K:$K,0),MATCH(V$2,indexy_SDcast!$2:$2,0)),"#ekrk")),"#popis")</f>
        <v>-6627.3878885014437</v>
      </c>
      <c r="W898" s="365">
        <f>IF($Q898="ekrk",IF($R898="data",IFERROR(INDEX(data!$A:$ALL,MATCH($M898,data!$A:$A,0),MATCH(W$2,data!$1:$1,0)),"#data"),IFERROR(V898*INDEX(indexy_SDcast!$A:$ALI,MATCH($R898,indexy_SDcast!$K:$K,0),MATCH(W$2,indexy_SDcast!$2:$2,0)),"#ekrk")),"#popis")</f>
        <v>-6701.88838160453</v>
      </c>
      <c r="X898" s="365">
        <f>IF($Q898="ekrk",IF($R898="data",IFERROR(INDEX(data!$A:$ALL,MATCH($M898,data!$A:$A,0),MATCH(X$2,data!$1:$1,0)),"#data"),IFERROR(W898*INDEX(indexy_SDcast!$A:$ALI,MATCH($R898,indexy_SDcast!$K:$K,0),MATCH(X$2,indexy_SDcast!$2:$2,0)),"#ekrk")),"#popis")</f>
        <v>-4304.7970867092727</v>
      </c>
      <c r="Y898" s="362">
        <f>IF($Q898="ekrk",IF($R898="data",IFERROR(INDEX(data!$A:$ALL,MATCH($M898,data!$A:$A,0),MATCH(Y$2,data!$1:$1,0)),"#data"),IFERROR(X898*INDEX(indexy_SDcast!$A:$ALI,MATCH($R898,indexy_SDcast!$K:$K,0),MATCH(Y$2,indexy_SDcast!$2:$2,0)),"#ekrk")),"#popis")</f>
        <v>-5823.7359765194069</v>
      </c>
    </row>
    <row r="899" spans="1:44" x14ac:dyDescent="0.25">
      <c r="A899" s="330">
        <v>637012</v>
      </c>
      <c r="B899" s="329">
        <v>-569.23093000000006</v>
      </c>
      <c r="C899" s="157"/>
      <c r="D899" s="330">
        <v>637012</v>
      </c>
      <c r="E899" s="329">
        <v>-569.23093000000006</v>
      </c>
      <c r="F899" s="157"/>
      <c r="G899" s="330">
        <v>637012</v>
      </c>
      <c r="H899" s="329">
        <v>-569.23093000000006</v>
      </c>
      <c r="I899" s="157"/>
      <c r="J899" s="330">
        <v>637012</v>
      </c>
      <c r="K899" s="329">
        <v>-569.23093000000006</v>
      </c>
      <c r="L899" s="157"/>
      <c r="M899" s="360">
        <f t="shared" si="86"/>
        <v>637012</v>
      </c>
      <c r="N899" s="237">
        <f t="shared" si="87"/>
        <v>-569.23093000000006</v>
      </c>
      <c r="O899" s="361"/>
      <c r="P899" s="361"/>
      <c r="Q899" s="361" t="s">
        <v>698</v>
      </c>
      <c r="R899" s="362">
        <v>35</v>
      </c>
      <c r="S899" s="236"/>
      <c r="T899" s="364">
        <f t="shared" si="89"/>
        <v>637012</v>
      </c>
      <c r="U899" s="365">
        <f t="shared" si="88"/>
        <v>-569.23093000000006</v>
      </c>
      <c r="V899" s="365">
        <f>IF($Q899="ekrk",IF($R899="data",IFERROR(INDEX(data!$A:$ALL,MATCH($M899,data!$A:$A,0),MATCH(V$2,data!$1:$1,0)),"#data"),IFERROR(U899*INDEX(indexy_SDcast!$A:$ALI,MATCH($R899,indexy_SDcast!$K:$K,0),MATCH(V$2,indexy_SDcast!$2:$2,0)),"#ekrk")),"#popis")</f>
        <v>-728.7477335508886</v>
      </c>
      <c r="W899" s="365">
        <f>IF($Q899="ekrk",IF($R899="data",IFERROR(INDEX(data!$A:$ALL,MATCH($M899,data!$A:$A,0),MATCH(W$2,data!$1:$1,0)),"#data"),IFERROR(V899*INDEX(indexy_SDcast!$A:$ALI,MATCH($R899,indexy_SDcast!$K:$K,0),MATCH(W$2,indexy_SDcast!$2:$2,0)),"#ekrk")),"#popis")</f>
        <v>-736.93980958607801</v>
      </c>
      <c r="X899" s="365">
        <f>IF($Q899="ekrk",IF($R899="data",IFERROR(INDEX(data!$A:$ALL,MATCH($M899,data!$A:$A,0),MATCH(X$2,data!$1:$1,0)),"#data"),IFERROR(W899*INDEX(indexy_SDcast!$A:$ALI,MATCH($R899,indexy_SDcast!$K:$K,0),MATCH(X$2,indexy_SDcast!$2:$2,0)),"#ekrk")),"#popis")</f>
        <v>-473.35559244672498</v>
      </c>
      <c r="Y899" s="362">
        <f>IF($Q899="ekrk",IF($R899="data",IFERROR(INDEX(data!$A:$ALL,MATCH($M899,data!$A:$A,0),MATCH(Y$2,data!$1:$1,0)),"#data"),IFERROR(X899*INDEX(indexy_SDcast!$A:$ALI,MATCH($R899,indexy_SDcast!$K:$K,0),MATCH(Y$2,indexy_SDcast!$2:$2,0)),"#ekrk")),"#popis")</f>
        <v>-640.37814974595244</v>
      </c>
    </row>
    <row r="900" spans="1:44" x14ac:dyDescent="0.25">
      <c r="A900" s="330">
        <v>637020</v>
      </c>
      <c r="B900" s="329">
        <v>-4.0000099999999996</v>
      </c>
      <c r="C900" s="157"/>
      <c r="D900" s="330">
        <v>637020</v>
      </c>
      <c r="E900" s="329">
        <v>-4.0000099999999996</v>
      </c>
      <c r="F900" s="157"/>
      <c r="G900" s="330">
        <v>637020</v>
      </c>
      <c r="H900" s="329">
        <v>-4.0000099999999996</v>
      </c>
      <c r="I900" s="157"/>
      <c r="J900" s="330">
        <v>637020</v>
      </c>
      <c r="K900" s="329">
        <v>-4.0000099999999996</v>
      </c>
      <c r="L900" s="157"/>
      <c r="M900" s="360">
        <f t="shared" si="86"/>
        <v>637020</v>
      </c>
      <c r="N900" s="237">
        <f t="shared" si="87"/>
        <v>-4.0000099999999996</v>
      </c>
      <c r="O900" s="361"/>
      <c r="P900" s="361"/>
      <c r="Q900" s="361" t="s">
        <v>698</v>
      </c>
      <c r="R900" s="362">
        <v>35</v>
      </c>
      <c r="S900" s="236"/>
      <c r="T900" s="364">
        <f t="shared" si="89"/>
        <v>637020</v>
      </c>
      <c r="U900" s="365">
        <f t="shared" si="88"/>
        <v>-4.0000099999999996</v>
      </c>
      <c r="V900" s="365">
        <f>IF($Q900="ekrk",IF($R900="data",IFERROR(INDEX(data!$A:$ALL,MATCH($M900,data!$A:$A,0),MATCH(V$2,data!$1:$1,0)),"#data"),IFERROR(U900*INDEX(indexy_SDcast!$A:$ALI,MATCH($R900,indexy_SDcast!$K:$K,0),MATCH(V$2,indexy_SDcast!$2:$2,0)),"#ekrk")),"#popis")</f>
        <v>-5.1209413755519035</v>
      </c>
      <c r="W900" s="365">
        <f>IF($Q900="ekrk",IF($R900="data",IFERROR(INDEX(data!$A:$ALL,MATCH($M900,data!$A:$A,0),MATCH(W$2,data!$1:$1,0)),"#data"),IFERROR(V900*INDEX(indexy_SDcast!$A:$ALI,MATCH($R900,indexy_SDcast!$K:$K,0),MATCH(W$2,indexy_SDcast!$2:$2,0)),"#ekrk")),"#popis")</f>
        <v>-5.1785074429149649</v>
      </c>
      <c r="X900" s="365">
        <f>IF($Q900="ekrk",IF($R900="data",IFERROR(INDEX(data!$A:$ALL,MATCH($M900,data!$A:$A,0),MATCH(X$2,data!$1:$1,0)),"#data"),IFERROR(W900*INDEX(indexy_SDcast!$A:$ALI,MATCH($R900,indexy_SDcast!$K:$K,0),MATCH(X$2,indexy_SDcast!$2:$2,0)),"#ekrk")),"#popis")</f>
        <v>-3.3262899177717276</v>
      </c>
      <c r="Y900" s="362">
        <f>IF($Q900="ekrk",IF($R900="data",IFERROR(INDEX(data!$A:$ALL,MATCH($M900,data!$A:$A,0),MATCH(Y$2,data!$1:$1,0)),"#data"),IFERROR(X900*INDEX(indexy_SDcast!$A:$ALI,MATCH($R900,indexy_SDcast!$K:$K,0),MATCH(Y$2,indexy_SDcast!$2:$2,0)),"#ekrk")),"#popis")</f>
        <v>-4.4999645447328493</v>
      </c>
    </row>
    <row r="901" spans="1:44" x14ac:dyDescent="0.25">
      <c r="A901" s="330">
        <v>637021</v>
      </c>
      <c r="B901" s="329">
        <v>-3023.0875199999996</v>
      </c>
      <c r="C901" s="157"/>
      <c r="D901" s="330">
        <v>637021</v>
      </c>
      <c r="E901" s="329">
        <v>-3023.0875199999996</v>
      </c>
      <c r="F901" s="157"/>
      <c r="G901" s="330">
        <v>637021</v>
      </c>
      <c r="H901" s="329">
        <v>-3023.0875199999996</v>
      </c>
      <c r="I901" s="157"/>
      <c r="J901" s="330">
        <v>637021</v>
      </c>
      <c r="K901" s="329">
        <v>-3023.0875199999996</v>
      </c>
      <c r="L901" s="157"/>
      <c r="M901" s="360">
        <f t="shared" si="86"/>
        <v>637021</v>
      </c>
      <c r="N901" s="237">
        <f t="shared" si="87"/>
        <v>-3023.0875199999996</v>
      </c>
      <c r="O901" s="361"/>
      <c r="P901" s="361"/>
      <c r="Q901" s="361" t="s">
        <v>698</v>
      </c>
      <c r="R901" s="362">
        <v>35</v>
      </c>
      <c r="S901" s="236"/>
      <c r="T901" s="364">
        <f t="shared" si="89"/>
        <v>637021</v>
      </c>
      <c r="U901" s="365">
        <f t="shared" si="88"/>
        <v>-3023.0875199999996</v>
      </c>
      <c r="V901" s="365">
        <f>IF($Q901="ekrk",IF($R901="data",IFERROR(INDEX(data!$A:$ALL,MATCH($M901,data!$A:$A,0),MATCH(V$2,data!$1:$1,0)),"#data"),IFERROR(U901*INDEX(indexy_SDcast!$A:$ALI,MATCH($R901,indexy_SDcast!$K:$K,0),MATCH(V$2,indexy_SDcast!$2:$2,0)),"#ekrk")),"#popis")</f>
        <v>-3870.2538151361105</v>
      </c>
      <c r="W901" s="365">
        <f>IF($Q901="ekrk",IF($R901="data",IFERROR(INDEX(data!$A:$ALL,MATCH($M901,data!$A:$A,0),MATCH(W$2,data!$1:$1,0)),"#data"),IFERROR(V901*INDEX(indexy_SDcast!$A:$ALI,MATCH($R901,indexy_SDcast!$K:$K,0),MATCH(W$2,indexy_SDcast!$2:$2,0)),"#ekrk")),"#popis")</f>
        <v>-3913.7605213245329</v>
      </c>
      <c r="X901" s="365">
        <f>IF($Q901="ekrk",IF($R901="data",IFERROR(INDEX(data!$A:$ALL,MATCH($M901,data!$A:$A,0),MATCH(X$2,data!$1:$1,0)),"#data"),IFERROR(W901*INDEX(indexy_SDcast!$A:$ALI,MATCH($R901,indexy_SDcast!$K:$K,0),MATCH(X$2,indexy_SDcast!$2:$2,0)),"#ekrk")),"#popis")</f>
        <v>-2513.9100998041349</v>
      </c>
      <c r="Y901" s="362">
        <f>IF($Q901="ekrk",IF($R901="data",IFERROR(INDEX(data!$A:$ALL,MATCH($M901,data!$A:$A,0),MATCH(Y$2,data!$1:$1,0)),"#data"),IFERROR(X901*INDEX(indexy_SDcast!$A:$ALI,MATCH($R901,indexy_SDcast!$K:$K,0),MATCH(Y$2,indexy_SDcast!$2:$2,0)),"#ekrk")),"#popis")</f>
        <v>-3400.9381615606867</v>
      </c>
    </row>
    <row r="902" spans="1:44" x14ac:dyDescent="0.25">
      <c r="A902" s="330">
        <v>637030</v>
      </c>
      <c r="B902" s="329">
        <v>-21.497229999999995</v>
      </c>
      <c r="C902" s="157"/>
      <c r="D902" s="330">
        <v>637030</v>
      </c>
      <c r="E902" s="329">
        <v>-21.497229999999995</v>
      </c>
      <c r="F902" s="157"/>
      <c r="G902" s="330">
        <v>637030</v>
      </c>
      <c r="H902" s="329">
        <v>-21.497229999999995</v>
      </c>
      <c r="I902" s="157"/>
      <c r="J902" s="330">
        <v>637030</v>
      </c>
      <c r="K902" s="329">
        <v>-21.497229999999995</v>
      </c>
      <c r="L902" s="157"/>
      <c r="M902" s="360">
        <f t="shared" si="86"/>
        <v>637030</v>
      </c>
      <c r="N902" s="237">
        <f t="shared" si="87"/>
        <v>-21.497229999999995</v>
      </c>
      <c r="O902" s="361"/>
      <c r="P902" s="361"/>
      <c r="Q902" s="361" t="s">
        <v>698</v>
      </c>
      <c r="R902" s="362">
        <v>35</v>
      </c>
      <c r="S902" s="236"/>
      <c r="T902" s="364">
        <f t="shared" si="89"/>
        <v>637030</v>
      </c>
      <c r="U902" s="365">
        <f t="shared" si="88"/>
        <v>-21.497229999999995</v>
      </c>
      <c r="V902" s="365">
        <f>IF($Q902="ekrk",IF($R902="data",IFERROR(INDEX(data!$A:$ALL,MATCH($M902,data!$A:$A,0),MATCH(V$2,data!$1:$1,0)),"#data"),IFERROR(U902*INDEX(indexy_SDcast!$A:$ALI,MATCH($R902,indexy_SDcast!$K:$K,0),MATCH(V$2,indexy_SDcast!$2:$2,0)),"#ekrk")),"#popis")</f>
        <v>-27.521444838076814</v>
      </c>
      <c r="W902" s="365">
        <f>IF($Q902="ekrk",IF($R902="data",IFERROR(INDEX(data!$A:$ALL,MATCH($M902,data!$A:$A,0),MATCH(W$2,data!$1:$1,0)),"#data"),IFERROR(V902*INDEX(indexy_SDcast!$A:$ALI,MATCH($R902,indexy_SDcast!$K:$K,0),MATCH(W$2,indexy_SDcast!$2:$2,0)),"#ekrk")),"#popis")</f>
        <v>-27.830821812209187</v>
      </c>
      <c r="X902" s="365">
        <f>IF($Q902="ekrk",IF($R902="data",IFERROR(INDEX(data!$A:$ALL,MATCH($M902,data!$A:$A,0),MATCH(X$2,data!$1:$1,0)),"#data"),IFERROR(W902*INDEX(indexy_SDcast!$A:$ALI,MATCH($R902,indexy_SDcast!$K:$K,0),MATCH(X$2,indexy_SDcast!$2:$2,0)),"#ekrk")),"#popis")</f>
        <v>-17.876460161104575</v>
      </c>
      <c r="Y902" s="362">
        <f>IF($Q902="ekrk",IF($R902="data",IFERROR(INDEX(data!$A:$ALL,MATCH($M902,data!$A:$A,0),MATCH(Y$2,data!$1:$1,0)),"#data"),IFERROR(X902*INDEX(indexy_SDcast!$A:$ALI,MATCH($R902,indexy_SDcast!$K:$K,0),MATCH(Y$2,indexy_SDcast!$2:$2,0)),"#ekrk")),"#popis")</f>
        <v>-24.184132742159981</v>
      </c>
    </row>
    <row r="903" spans="1:44" x14ac:dyDescent="0.25">
      <c r="A903" s="330">
        <v>637032</v>
      </c>
      <c r="B903" s="329">
        <v>-6.9739999999999996E-2</v>
      </c>
      <c r="C903" s="157"/>
      <c r="D903" s="330">
        <v>637032</v>
      </c>
      <c r="E903" s="329">
        <v>-6.9739999999999996E-2</v>
      </c>
      <c r="F903" s="157"/>
      <c r="G903" s="330">
        <v>637032</v>
      </c>
      <c r="H903" s="329">
        <v>-6.9739999999999996E-2</v>
      </c>
      <c r="I903" s="157"/>
      <c r="J903" s="330">
        <v>637032</v>
      </c>
      <c r="K903" s="329">
        <v>-6.9739999999999996E-2</v>
      </c>
      <c r="L903" s="157"/>
      <c r="M903" s="360">
        <f t="shared" si="86"/>
        <v>637032</v>
      </c>
      <c r="N903" s="237">
        <f t="shared" si="87"/>
        <v>-6.9739999999999996E-2</v>
      </c>
      <c r="O903" s="361"/>
      <c r="P903" s="361"/>
      <c r="Q903" s="361" t="s">
        <v>698</v>
      </c>
      <c r="R903" s="362">
        <v>35</v>
      </c>
      <c r="S903" s="236"/>
      <c r="T903" s="364">
        <f t="shared" si="89"/>
        <v>637032</v>
      </c>
      <c r="U903" s="365">
        <f t="shared" si="88"/>
        <v>-6.9739999999999996E-2</v>
      </c>
      <c r="V903" s="365">
        <f>IF($Q903="ekrk",IF($R903="data",IFERROR(INDEX(data!$A:$ALL,MATCH($M903,data!$A:$A,0),MATCH(V$2,data!$1:$1,0)),"#data"),IFERROR(U903*INDEX(indexy_SDcast!$A:$ALI,MATCH($R903,indexy_SDcast!$K:$K,0),MATCH(V$2,indexy_SDcast!$2:$2,0)),"#ekrk")),"#popis")</f>
        <v>-8.9283389674273267E-2</v>
      </c>
      <c r="W903" s="365">
        <f>IF($Q903="ekrk",IF($R903="data",IFERROR(INDEX(data!$A:$ALL,MATCH($M903,data!$A:$A,0),MATCH(W$2,data!$1:$1,0)),"#data"),IFERROR(V903*INDEX(indexy_SDcast!$A:$ALI,MATCH($R903,indexy_SDcast!$K:$K,0),MATCH(W$2,indexy_SDcast!$2:$2,0)),"#ekrk")),"#popis")</f>
        <v>-9.0287051549593558E-2</v>
      </c>
      <c r="X903" s="365">
        <f>IF($Q903="ekrk",IF($R903="data",IFERROR(INDEX(data!$A:$ALL,MATCH($M903,data!$A:$A,0),MATCH(X$2,data!$1:$1,0)),"#data"),IFERROR(W903*INDEX(indexy_SDcast!$A:$ALI,MATCH($R903,indexy_SDcast!$K:$K,0),MATCH(X$2,indexy_SDcast!$2:$2,0)),"#ekrk")),"#popis")</f>
        <v>-5.7993719732050752E-2</v>
      </c>
      <c r="Y903" s="362">
        <f>IF($Q903="ekrk",IF($R903="data",IFERROR(INDEX(data!$A:$ALL,MATCH($M903,data!$A:$A,0),MATCH(Y$2,data!$1:$1,0)),"#data"),IFERROR(X903*INDEX(indexy_SDcast!$A:$ALI,MATCH($R903,indexy_SDcast!$K:$K,0),MATCH(Y$2,indexy_SDcast!$2:$2,0)),"#ekrk")),"#popis")</f>
        <v>-7.8456685695703007E-2</v>
      </c>
    </row>
    <row r="904" spans="1:44" x14ac:dyDescent="0.25">
      <c r="A904" s="330">
        <v>637036</v>
      </c>
      <c r="B904" s="329">
        <v>-12.53604</v>
      </c>
      <c r="C904" s="157"/>
      <c r="D904" s="330">
        <v>637036</v>
      </c>
      <c r="E904" s="329">
        <v>-12.53604</v>
      </c>
      <c r="F904" s="157"/>
      <c r="G904" s="330">
        <v>637036</v>
      </c>
      <c r="H904" s="329">
        <v>-12.53604</v>
      </c>
      <c r="I904" s="157"/>
      <c r="J904" s="330">
        <v>637036</v>
      </c>
      <c r="K904" s="329">
        <v>-12.53604</v>
      </c>
      <c r="L904" s="157"/>
      <c r="M904" s="360">
        <f t="shared" si="86"/>
        <v>637036</v>
      </c>
      <c r="N904" s="237">
        <f t="shared" si="87"/>
        <v>-12.53604</v>
      </c>
      <c r="O904" s="361"/>
      <c r="P904" s="361"/>
      <c r="Q904" s="361" t="s">
        <v>698</v>
      </c>
      <c r="R904" s="362">
        <v>35</v>
      </c>
      <c r="S904" s="236"/>
      <c r="T904" s="364">
        <f t="shared" si="89"/>
        <v>637036</v>
      </c>
      <c r="U904" s="365">
        <f t="shared" si="88"/>
        <v>-12.53604</v>
      </c>
      <c r="V904" s="365">
        <f>IF($Q904="ekrk",IF($R904="data",IFERROR(INDEX(data!$A:$ALL,MATCH($M904,data!$A:$A,0),MATCH(V$2,data!$1:$1,0)),"#data"),IFERROR(U904*INDEX(indexy_SDcast!$A:$ALI,MATCH($R904,indexy_SDcast!$K:$K,0),MATCH(V$2,indexy_SDcast!$2:$2,0)),"#ekrk")),"#popis")</f>
        <v>-16.049041357790028</v>
      </c>
      <c r="W904" s="365">
        <f>IF($Q904="ekrk",IF($R904="data",IFERROR(INDEX(data!$A:$ALL,MATCH($M904,data!$A:$A,0),MATCH(W$2,data!$1:$1,0)),"#data"),IFERROR(V904*INDEX(indexy_SDcast!$A:$ALI,MATCH($R904,indexy_SDcast!$K:$K,0),MATCH(W$2,indexy_SDcast!$2:$2,0)),"#ekrk")),"#popis")</f>
        <v>-16.229453537536088</v>
      </c>
      <c r="X904" s="365">
        <f>IF($Q904="ekrk",IF($R904="data",IFERROR(INDEX(data!$A:$ALL,MATCH($M904,data!$A:$A,0),MATCH(X$2,data!$1:$1,0)),"#data"),IFERROR(W904*INDEX(indexy_SDcast!$A:$ALI,MATCH($R904,indexy_SDcast!$K:$K,0),MATCH(X$2,indexy_SDcast!$2:$2,0)),"#ekrk")),"#popis")</f>
        <v>-10.424599803696264</v>
      </c>
      <c r="Y904" s="362">
        <f>IF($Q904="ekrk",IF($R904="data",IFERROR(INDEX(data!$A:$ALL,MATCH($M904,data!$A:$A,0),MATCH(Y$2,data!$1:$1,0)),"#data"),IFERROR(X904*INDEX(indexy_SDcast!$A:$ALI,MATCH($R904,indexy_SDcast!$K:$K,0),MATCH(Y$2,indexy_SDcast!$2:$2,0)),"#ekrk")),"#popis")</f>
        <v>-14.102898625591637</v>
      </c>
    </row>
    <row r="905" spans="1:44" x14ac:dyDescent="0.25">
      <c r="A905" s="330">
        <v>637037</v>
      </c>
      <c r="B905" s="329">
        <v>-1150.7337599999998</v>
      </c>
      <c r="C905" s="157"/>
      <c r="D905" s="330">
        <v>637037</v>
      </c>
      <c r="E905" s="329">
        <v>-1150.7337599999998</v>
      </c>
      <c r="F905" s="157"/>
      <c r="G905" s="330">
        <v>637037</v>
      </c>
      <c r="H905" s="329">
        <v>-1150.7337599999998</v>
      </c>
      <c r="I905" s="157"/>
      <c r="J905" s="330">
        <v>637037</v>
      </c>
      <c r="K905" s="329">
        <v>-1150.7337599999998</v>
      </c>
      <c r="L905" s="157"/>
      <c r="M905" s="360">
        <f t="shared" si="86"/>
        <v>637037</v>
      </c>
      <c r="N905" s="237">
        <f t="shared" si="87"/>
        <v>-1150.7337599999998</v>
      </c>
      <c r="O905" s="361"/>
      <c r="P905" s="361"/>
      <c r="Q905" s="361" t="s">
        <v>698</v>
      </c>
      <c r="R905" s="362">
        <v>35</v>
      </c>
      <c r="S905" s="236"/>
      <c r="T905" s="364">
        <f t="shared" si="89"/>
        <v>637037</v>
      </c>
      <c r="U905" s="365">
        <f t="shared" si="88"/>
        <v>-1150.7337599999998</v>
      </c>
      <c r="V905" s="365">
        <f>IF($Q905="ekrk",IF($R905="data",IFERROR(INDEX(data!$A:$ALL,MATCH($M905,data!$A:$A,0),MATCH(V$2,data!$1:$1,0)),"#data"),IFERROR(U905*INDEX(indexy_SDcast!$A:$ALI,MATCH($R905,indexy_SDcast!$K:$K,0),MATCH(V$2,indexy_SDcast!$2:$2,0)),"#ekrk")),"#popis")</f>
        <v>-1473.2063479412336</v>
      </c>
      <c r="W905" s="365">
        <f>IF($Q905="ekrk",IF($R905="data",IFERROR(INDEX(data!$A:$ALL,MATCH($M905,data!$A:$A,0),MATCH(W$2,data!$1:$1,0)),"#data"),IFERROR(V905*INDEX(indexy_SDcast!$A:$ALI,MATCH($R905,indexy_SDcast!$K:$K,0),MATCH(W$2,indexy_SDcast!$2:$2,0)),"#ekrk")),"#popis")</f>
        <v>-1489.7671108256036</v>
      </c>
      <c r="X905" s="365">
        <f>IF($Q905="ekrk",IF($R905="data",IFERROR(INDEX(data!$A:$ALL,MATCH($M905,data!$A:$A,0),MATCH(X$2,data!$1:$1,0)),"#data"),IFERROR(W905*INDEX(indexy_SDcast!$A:$ALI,MATCH($R905,indexy_SDcast!$K:$K,0),MATCH(X$2,indexy_SDcast!$2:$2,0)),"#ekrk")),"#popis")</f>
        <v>-956.91613369155345</v>
      </c>
      <c r="Y905" s="362">
        <f>IF($Q905="ekrk",IF($R905="data",IFERROR(INDEX(data!$A:$ALL,MATCH($M905,data!$A:$A,0),MATCH(Y$2,data!$1:$1,0)),"#data"),IFERROR(X905*INDEX(indexy_SDcast!$A:$ALI,MATCH($R905,indexy_SDcast!$K:$K,0),MATCH(Y$2,indexy_SDcast!$2:$2,0)),"#ekrk")),"#popis")</f>
        <v>-1294.5620437016707</v>
      </c>
    </row>
    <row r="906" spans="1:44" x14ac:dyDescent="0.25">
      <c r="A906" s="330">
        <v>637200</v>
      </c>
      <c r="B906" s="329">
        <v>-507.97079999999994</v>
      </c>
      <c r="C906" s="157"/>
      <c r="D906" s="330">
        <v>637200</v>
      </c>
      <c r="E906" s="329">
        <v>-507.97079999999994</v>
      </c>
      <c r="F906" s="157"/>
      <c r="G906" s="330">
        <v>637200</v>
      </c>
      <c r="H906" s="329">
        <v>-507.97079999999994</v>
      </c>
      <c r="I906" s="157"/>
      <c r="J906" s="330">
        <v>637200</v>
      </c>
      <c r="K906" s="329">
        <v>-507.97079999999994</v>
      </c>
      <c r="L906" s="157"/>
      <c r="M906" s="360">
        <f t="shared" si="86"/>
        <v>637200</v>
      </c>
      <c r="N906" s="237">
        <f t="shared" si="87"/>
        <v>-507.97079999999994</v>
      </c>
      <c r="O906" s="361"/>
      <c r="P906" s="361"/>
      <c r="Q906" s="361" t="s">
        <v>698</v>
      </c>
      <c r="R906" s="362">
        <v>35</v>
      </c>
      <c r="S906" s="236"/>
      <c r="T906" s="364">
        <f t="shared" si="89"/>
        <v>637200</v>
      </c>
      <c r="U906" s="365">
        <f t="shared" si="88"/>
        <v>-507.97079999999994</v>
      </c>
      <c r="V906" s="365">
        <f>IF($Q906="ekrk",IF($R906="data",IFERROR(INDEX(data!$A:$ALL,MATCH($M906,data!$A:$A,0),MATCH(V$2,data!$1:$1,0)),"#data"),IFERROR(U906*INDEX(indexy_SDcast!$A:$ALI,MATCH($R906,indexy_SDcast!$K:$K,0),MATCH(V$2,indexy_SDcast!$2:$2,0)),"#ekrk")),"#popis")</f>
        <v>-650.32054602168523</v>
      </c>
      <c r="W906" s="365">
        <f>IF($Q906="ekrk",IF($R906="data",IFERROR(INDEX(data!$A:$ALL,MATCH($M906,data!$A:$A,0),MATCH(W$2,data!$1:$1,0)),"#data"),IFERROR(V906*INDEX(indexy_SDcast!$A:$ALI,MATCH($R906,indexy_SDcast!$K:$K,0),MATCH(W$2,indexy_SDcast!$2:$2,0)),"#ekrk")),"#popis")</f>
        <v>-657.63099806837215</v>
      </c>
      <c r="X906" s="365">
        <f>IF($Q906="ekrk",IF($R906="data",IFERROR(INDEX(data!$A:$ALL,MATCH($M906,data!$A:$A,0),MATCH(X$2,data!$1:$1,0)),"#data"),IFERROR(W906*INDEX(indexy_SDcast!$A:$ALI,MATCH($R906,indexy_SDcast!$K:$K,0),MATCH(X$2,indexy_SDcast!$2:$2,0)),"#ekrk")),"#popis")</f>
        <v>-422.41348160690569</v>
      </c>
      <c r="Y906" s="362">
        <f>IF($Q906="ekrk",IF($R906="data",IFERROR(INDEX(data!$A:$ALL,MATCH($M906,data!$A:$A,0),MATCH(Y$2,data!$1:$1,0)),"#data"),IFERROR(X906*INDEX(indexy_SDcast!$A:$ALI,MATCH($R906,indexy_SDcast!$K:$K,0),MATCH(Y$2,indexy_SDcast!$2:$2,0)),"#ekrk")),"#popis")</f>
        <v>-571.46121878684846</v>
      </c>
    </row>
    <row r="907" spans="1:44" x14ac:dyDescent="0.25">
      <c r="A907" s="330">
        <v>653001</v>
      </c>
      <c r="B907" s="329">
        <v>-1.04E-2</v>
      </c>
      <c r="C907" s="157"/>
      <c r="D907" s="330">
        <v>653001</v>
      </c>
      <c r="E907" s="329">
        <v>-1.04E-2</v>
      </c>
      <c r="F907" s="157"/>
      <c r="G907" s="330">
        <v>653001</v>
      </c>
      <c r="H907" s="329">
        <v>-1.04E-2</v>
      </c>
      <c r="I907" s="157"/>
      <c r="J907" s="330">
        <v>653001</v>
      </c>
      <c r="K907" s="329">
        <v>-1.04E-2</v>
      </c>
      <c r="L907" s="157"/>
      <c r="M907" s="360">
        <f t="shared" si="86"/>
        <v>653001</v>
      </c>
      <c r="N907" s="237">
        <f t="shared" si="87"/>
        <v>-1.04E-2</v>
      </c>
      <c r="O907" s="361"/>
      <c r="P907" s="361"/>
      <c r="Q907" s="361" t="s">
        <v>698</v>
      </c>
      <c r="R907" s="362">
        <v>35</v>
      </c>
      <c r="S907" s="236"/>
      <c r="T907" s="364">
        <f t="shared" si="89"/>
        <v>653001</v>
      </c>
      <c r="U907" s="365">
        <f t="shared" si="88"/>
        <v>-1.04E-2</v>
      </c>
      <c r="V907" s="365">
        <f>IF($Q907="ekrk",IF($R907="data",IFERROR(INDEX(data!$A:$ALL,MATCH($M907,data!$A:$A,0),MATCH(V$2,data!$1:$1,0)),"#data"),IFERROR(U907*INDEX(indexy_SDcast!$A:$ALI,MATCH($R907,indexy_SDcast!$K:$K,0),MATCH(V$2,indexy_SDcast!$2:$2,0)),"#ekrk")),"#popis")</f>
        <v>-1.3314414290399224E-2</v>
      </c>
      <c r="W907" s="365">
        <f>IF($Q907="ekrk",IF($R907="data",IFERROR(INDEX(data!$A:$ALL,MATCH($M907,data!$A:$A,0),MATCH(W$2,data!$1:$1,0)),"#data"),IFERROR(V907*INDEX(indexy_SDcast!$A:$ALI,MATCH($R907,indexy_SDcast!$K:$K,0),MATCH(W$2,indexy_SDcast!$2:$2,0)),"#ekrk")),"#popis")</f>
        <v>-1.3464085691364681E-2</v>
      </c>
      <c r="X907" s="365">
        <f>IF($Q907="ekrk",IF($R907="data",IFERROR(INDEX(data!$A:$ALL,MATCH($M907,data!$A:$A,0),MATCH(X$2,data!$1:$1,0)),"#data"),IFERROR(W907*INDEX(indexy_SDcast!$A:$ALI,MATCH($R907,indexy_SDcast!$K:$K,0),MATCH(X$2,indexy_SDcast!$2:$2,0)),"#ekrk")),"#popis")</f>
        <v>-8.648332165376079E-3</v>
      </c>
      <c r="Y907" s="362">
        <f>IF($Q907="ekrk",IF($R907="data",IFERROR(INDEX(data!$A:$ALL,MATCH($M907,data!$A:$A,0),MATCH(Y$2,data!$1:$1,0)),"#data"),IFERROR(X907*INDEX(indexy_SDcast!$A:$ALI,MATCH($R907,indexy_SDcast!$K:$K,0),MATCH(Y$2,indexy_SDcast!$2:$2,0)),"#ekrk")),"#popis")</f>
        <v>-1.1699878566608994E-2</v>
      </c>
    </row>
    <row r="908" spans="1:44" s="18" customFormat="1" x14ac:dyDescent="0.25">
      <c r="A908" s="333" t="s">
        <v>754</v>
      </c>
      <c r="B908" s="334">
        <v>-394524.85341000016</v>
      </c>
      <c r="C908" s="164"/>
      <c r="D908" s="333" t="s">
        <v>754</v>
      </c>
      <c r="E908" s="334">
        <v>-394524.85341000016</v>
      </c>
      <c r="F908" s="164"/>
      <c r="G908" s="333" t="s">
        <v>754</v>
      </c>
      <c r="H908" s="334">
        <v>-394524.85341000016</v>
      </c>
      <c r="I908" s="164"/>
      <c r="J908" s="333" t="s">
        <v>754</v>
      </c>
      <c r="K908" s="334">
        <v>-394524.85341000016</v>
      </c>
      <c r="L908" s="164"/>
      <c r="M908" s="358" t="str">
        <f t="shared" si="86"/>
        <v>P5111</v>
      </c>
      <c r="N908" s="239">
        <f t="shared" si="87"/>
        <v>-394524.85341000016</v>
      </c>
      <c r="O908" s="243"/>
      <c r="P908" s="243">
        <f>MATCH(Q908,Q909:Q$1550,0)</f>
        <v>21</v>
      </c>
      <c r="Q908" s="243" t="s">
        <v>697</v>
      </c>
      <c r="R908" s="359"/>
      <c r="S908" s="240"/>
      <c r="T908" s="363" t="str">
        <f t="shared" si="89"/>
        <v>P5111</v>
      </c>
      <c r="U908" s="244">
        <f>SUM(U909:U928)</f>
        <v>-394524.85341000016</v>
      </c>
      <c r="V908" s="244">
        <f>SUM(V909:V928)</f>
        <v>-505083.39866920823</v>
      </c>
      <c r="W908" s="244">
        <f>SUM(W909:W928)</f>
        <v>-510761.19554666657</v>
      </c>
      <c r="X908" s="244">
        <f>SUM(X909:X928)</f>
        <v>-328075.19036403717</v>
      </c>
      <c r="Y908" s="359">
        <f>SUM(Y909:Y928)</f>
        <v>-443835.85350059776</v>
      </c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8"/>
      <c r="AN908" s="58"/>
      <c r="AO908" s="58"/>
      <c r="AP908" s="58"/>
      <c r="AQ908" s="58"/>
      <c r="AR908" s="58"/>
    </row>
    <row r="909" spans="1:44" x14ac:dyDescent="0.25">
      <c r="A909" s="330">
        <v>713001</v>
      </c>
      <c r="B909" s="329">
        <v>-646.15787</v>
      </c>
      <c r="C909" s="157"/>
      <c r="D909" s="330">
        <v>713001</v>
      </c>
      <c r="E909" s="329">
        <v>-646.15787</v>
      </c>
      <c r="F909" s="157"/>
      <c r="G909" s="330">
        <v>713001</v>
      </c>
      <c r="H909" s="329">
        <v>-646.15787</v>
      </c>
      <c r="I909" s="157"/>
      <c r="J909" s="330">
        <v>713001</v>
      </c>
      <c r="K909" s="329">
        <v>-646.15787</v>
      </c>
      <c r="L909" s="157"/>
      <c r="M909" s="360">
        <f t="shared" si="86"/>
        <v>713001</v>
      </c>
      <c r="N909" s="237">
        <f t="shared" si="87"/>
        <v>-646.15787</v>
      </c>
      <c r="O909" s="361"/>
      <c r="P909" s="361"/>
      <c r="Q909" s="361" t="s">
        <v>698</v>
      </c>
      <c r="R909" s="362">
        <v>35</v>
      </c>
      <c r="S909" s="236"/>
      <c r="T909" s="364">
        <f t="shared" si="89"/>
        <v>713001</v>
      </c>
      <c r="U909" s="365">
        <f t="shared" ref="U909:U928" si="90">N909</f>
        <v>-646.15787</v>
      </c>
      <c r="V909" s="365">
        <f>IF($Q909="ekrk",IF($R909="data",IFERROR(INDEX(data!$A:$ALL,MATCH($M909,data!$A:$A,0),MATCH(V$2,data!$1:$1,0)),"#data"),IFERROR(U909*INDEX(indexy_SDcast!$A:$ALI,MATCH($R909,indexy_SDcast!$K:$K,0),MATCH(V$2,indexy_SDcast!$2:$2,0)),"#ekrk")),"#popis")</f>
        <v>-827.23207482518512</v>
      </c>
      <c r="W909" s="365">
        <f>IF($Q909="ekrk",IF($R909="data",IFERROR(INDEX(data!$A:$ALL,MATCH($M909,data!$A:$A,0),MATCH(W$2,data!$1:$1,0)),"#data"),IFERROR(V909*INDEX(indexy_SDcast!$A:$ALI,MATCH($R909,indexy_SDcast!$K:$K,0),MATCH(W$2,indexy_SDcast!$2:$2,0)),"#ekrk")),"#popis")</f>
        <v>-836.53124344516164</v>
      </c>
      <c r="X909" s="365">
        <f>IF($Q909="ekrk",IF($R909="data",IFERROR(INDEX(data!$A:$ALL,MATCH($M909,data!$A:$A,0),MATCH(X$2,data!$1:$1,0)),"#data"),IFERROR(W909*INDEX(indexy_SDcast!$A:$ALI,MATCH($R909,indexy_SDcast!$K:$K,0),MATCH(X$2,indexy_SDcast!$2:$2,0)),"#ekrk")),"#popis")</f>
        <v>-537.32575875306691</v>
      </c>
      <c r="Y909" s="362">
        <f>IF($Q909="ekrk",IF($R909="data",IFERROR(INDEX(data!$A:$ALL,MATCH($M909,data!$A:$A,0),MATCH(Y$2,data!$1:$1,0)),"#data"),IFERROR(X909*INDEX(indexy_SDcast!$A:$ALI,MATCH($R909,indexy_SDcast!$K:$K,0),MATCH(Y$2,indexy_SDcast!$2:$2,0)),"#ekrk")),"#popis")</f>
        <v>-726.92005902487711</v>
      </c>
    </row>
    <row r="910" spans="1:44" x14ac:dyDescent="0.25">
      <c r="A910" s="330">
        <v>713002</v>
      </c>
      <c r="B910" s="329">
        <v>-45462.408739999999</v>
      </c>
      <c r="C910" s="157"/>
      <c r="D910" s="330">
        <v>713002</v>
      </c>
      <c r="E910" s="329">
        <v>-45462.408739999999</v>
      </c>
      <c r="F910" s="157"/>
      <c r="G910" s="330">
        <v>713002</v>
      </c>
      <c r="H910" s="329">
        <v>-45462.408739999999</v>
      </c>
      <c r="I910" s="157"/>
      <c r="J910" s="330">
        <v>713002</v>
      </c>
      <c r="K910" s="329">
        <v>-45462.408739999999</v>
      </c>
      <c r="L910" s="157"/>
      <c r="M910" s="360">
        <f t="shared" si="86"/>
        <v>713002</v>
      </c>
      <c r="N910" s="237">
        <f t="shared" si="87"/>
        <v>-45462.408739999999</v>
      </c>
      <c r="O910" s="361"/>
      <c r="P910" s="361"/>
      <c r="Q910" s="361" t="s">
        <v>698</v>
      </c>
      <c r="R910" s="362">
        <v>35</v>
      </c>
      <c r="S910" s="236"/>
      <c r="T910" s="364">
        <f t="shared" si="89"/>
        <v>713002</v>
      </c>
      <c r="U910" s="365">
        <f t="shared" si="90"/>
        <v>-45462.408739999999</v>
      </c>
      <c r="V910" s="365">
        <f>IF($Q910="ekrk",IF($R910="data",IFERROR(INDEX(data!$A:$ALL,MATCH($M910,data!$A:$A,0),MATCH(V$2,data!$1:$1,0)),"#data"),IFERROR(U910*INDEX(indexy_SDcast!$A:$ALI,MATCH($R910,indexy_SDcast!$K:$K,0),MATCH(V$2,indexy_SDcast!$2:$2,0)),"#ekrk")),"#popis")</f>
        <v>-58202.436981137173</v>
      </c>
      <c r="W910" s="365">
        <f>IF($Q910="ekrk",IF($R910="data",IFERROR(INDEX(data!$A:$ALL,MATCH($M910,data!$A:$A,0),MATCH(W$2,data!$1:$1,0)),"#data"),IFERROR(V910*INDEX(indexy_SDcast!$A:$ALI,MATCH($R910,indexy_SDcast!$K:$K,0),MATCH(W$2,indexy_SDcast!$2:$2,0)),"#ekrk")),"#popis")</f>
        <v>-58856.708366462182</v>
      </c>
      <c r="X910" s="365">
        <f>IF($Q910="ekrk",IF($R910="data",IFERROR(INDEX(data!$A:$ALL,MATCH($M910,data!$A:$A,0),MATCH(X$2,data!$1:$1,0)),"#data"),IFERROR(W910*INDEX(indexy_SDcast!$A:$ALI,MATCH($R910,indexy_SDcast!$K:$K,0),MATCH(X$2,indexy_SDcast!$2:$2,0)),"#ekrk")),"#popis")</f>
        <v>-37805.193444386212</v>
      </c>
      <c r="Y910" s="362">
        <f>IF($Q910="ekrk",IF($R910="data",IFERROR(INDEX(data!$A:$ALL,MATCH($M910,data!$A:$A,0),MATCH(Y$2,data!$1:$1,0)),"#data"),IFERROR(X910*INDEX(indexy_SDcast!$A:$ALI,MATCH($R910,indexy_SDcast!$K:$K,0),MATCH(Y$2,indexy_SDcast!$2:$2,0)),"#ekrk")),"#popis")</f>
        <v>-51144.679000340715</v>
      </c>
    </row>
    <row r="911" spans="1:44" x14ac:dyDescent="0.25">
      <c r="A911" s="330">
        <v>713003</v>
      </c>
      <c r="B911" s="329">
        <v>-2446.0632599999994</v>
      </c>
      <c r="C911" s="157"/>
      <c r="D911" s="330">
        <v>713003</v>
      </c>
      <c r="E911" s="329">
        <v>-2446.0632599999994</v>
      </c>
      <c r="F911" s="157"/>
      <c r="G911" s="330">
        <v>713003</v>
      </c>
      <c r="H911" s="329">
        <v>-2446.0632599999994</v>
      </c>
      <c r="I911" s="157"/>
      <c r="J911" s="330">
        <v>713003</v>
      </c>
      <c r="K911" s="329">
        <v>-2446.0632599999994</v>
      </c>
      <c r="L911" s="157"/>
      <c r="M911" s="360">
        <f t="shared" si="86"/>
        <v>713003</v>
      </c>
      <c r="N911" s="237">
        <f t="shared" si="87"/>
        <v>-2446.0632599999994</v>
      </c>
      <c r="O911" s="361"/>
      <c r="P911" s="361"/>
      <c r="Q911" s="361" t="s">
        <v>698</v>
      </c>
      <c r="R911" s="362">
        <v>35</v>
      </c>
      <c r="S911" s="236"/>
      <c r="T911" s="364">
        <f t="shared" si="89"/>
        <v>713003</v>
      </c>
      <c r="U911" s="365">
        <f t="shared" si="90"/>
        <v>-2446.0632599999994</v>
      </c>
      <c r="V911" s="365">
        <f>IF($Q911="ekrk",IF($R911="data",IFERROR(INDEX(data!$A:$ALL,MATCH($M911,data!$A:$A,0),MATCH(V$2,data!$1:$1,0)),"#data"),IFERROR(U911*INDEX(indexy_SDcast!$A:$ALI,MATCH($R911,indexy_SDcast!$K:$K,0),MATCH(V$2,indexy_SDcast!$2:$2,0)),"#ekrk")),"#popis")</f>
        <v>-3131.5288100158182</v>
      </c>
      <c r="W911" s="365">
        <f>IF($Q911="ekrk",IF($R911="data",IFERROR(INDEX(data!$A:$ALL,MATCH($M911,data!$A:$A,0),MATCH(W$2,data!$1:$1,0)),"#data"),IFERROR(V911*INDEX(indexy_SDcast!$A:$ALI,MATCH($R911,indexy_SDcast!$K:$K,0),MATCH(W$2,indexy_SDcast!$2:$2,0)),"#ekrk")),"#popis")</f>
        <v>-3166.7312826095044</v>
      </c>
      <c r="X911" s="365">
        <f>IF($Q911="ekrk",IF($R911="data",IFERROR(INDEX(data!$A:$ALL,MATCH($M911,data!$A:$A,0),MATCH(X$2,data!$1:$1,0)),"#data"),IFERROR(W911*INDEX(indexy_SDcast!$A:$ALI,MATCH($R911,indexy_SDcast!$K:$K,0),MATCH(X$2,indexy_SDcast!$2:$2,0)),"#ekrk")),"#popis")</f>
        <v>-2034.073804807949</v>
      </c>
      <c r="Y911" s="362">
        <f>IF($Q911="ekrk",IF($R911="data",IFERROR(INDEX(data!$A:$ALL,MATCH($M911,data!$A:$A,0),MATCH(Y$2,data!$1:$1,0)),"#data"),IFERROR(X911*INDEX(indexy_SDcast!$A:$ALI,MATCH($R911,indexy_SDcast!$K:$K,0),MATCH(Y$2,indexy_SDcast!$2:$2,0)),"#ekrk")),"#popis")</f>
        <v>-2751.7926065618963</v>
      </c>
    </row>
    <row r="912" spans="1:44" x14ac:dyDescent="0.25">
      <c r="A912" s="330">
        <v>713004</v>
      </c>
      <c r="B912" s="329">
        <v>-51374.324779999995</v>
      </c>
      <c r="C912" s="157"/>
      <c r="D912" s="330">
        <v>713004</v>
      </c>
      <c r="E912" s="329">
        <v>-51374.324779999995</v>
      </c>
      <c r="F912" s="157"/>
      <c r="G912" s="330">
        <v>713004</v>
      </c>
      <c r="H912" s="329">
        <v>-51374.324779999995</v>
      </c>
      <c r="I912" s="157"/>
      <c r="J912" s="330">
        <v>713004</v>
      </c>
      <c r="K912" s="329">
        <v>-51374.324779999995</v>
      </c>
      <c r="L912" s="157"/>
      <c r="M912" s="360">
        <f t="shared" si="86"/>
        <v>713004</v>
      </c>
      <c r="N912" s="237">
        <f t="shared" si="87"/>
        <v>-51374.324779999995</v>
      </c>
      <c r="O912" s="361"/>
      <c r="P912" s="361"/>
      <c r="Q912" s="361" t="s">
        <v>698</v>
      </c>
      <c r="R912" s="362">
        <v>35</v>
      </c>
      <c r="S912" s="236"/>
      <c r="T912" s="364">
        <f t="shared" si="89"/>
        <v>713004</v>
      </c>
      <c r="U912" s="365">
        <f t="shared" si="90"/>
        <v>-51374.324779999995</v>
      </c>
      <c r="V912" s="365">
        <f>IF($Q912="ekrk",IF($R912="data",IFERROR(INDEX(data!$A:$ALL,MATCH($M912,data!$A:$A,0),MATCH(V$2,data!$1:$1,0)),"#data"),IFERROR(U912*INDEX(indexy_SDcast!$A:$ALI,MATCH($R912,indexy_SDcast!$K:$K,0),MATCH(V$2,indexy_SDcast!$2:$2,0)),"#ekrk")),"#popis")</f>
        <v>-65771.061924081048</v>
      </c>
      <c r="W912" s="365">
        <f>IF($Q912="ekrk",IF($R912="data",IFERROR(INDEX(data!$A:$ALL,MATCH($M912,data!$A:$A,0),MATCH(W$2,data!$1:$1,0)),"#data"),IFERROR(V912*INDEX(indexy_SDcast!$A:$ALI,MATCH($R912,indexy_SDcast!$K:$K,0),MATCH(W$2,indexy_SDcast!$2:$2,0)),"#ekrk")),"#popis")</f>
        <v>-66510.414535953838</v>
      </c>
      <c r="X912" s="365">
        <f>IF($Q912="ekrk",IF($R912="data",IFERROR(INDEX(data!$A:$ALL,MATCH($M912,data!$A:$A,0),MATCH(X$2,data!$1:$1,0)),"#data"),IFERROR(W912*INDEX(indexy_SDcast!$A:$ALI,MATCH($R912,indexy_SDcast!$K:$K,0),MATCH(X$2,indexy_SDcast!$2:$2,0)),"#ekrk")),"#popis")</f>
        <v>-42721.367833591474</v>
      </c>
      <c r="Y912" s="362">
        <f>IF($Q912="ekrk",IF($R912="data",IFERROR(INDEX(data!$A:$ALL,MATCH($M912,data!$A:$A,0),MATCH(Y$2,data!$1:$1,0)),"#data"),IFERROR(X912*INDEX(indexy_SDcast!$A:$ALI,MATCH($R912,indexy_SDcast!$K:$K,0),MATCH(Y$2,indexy_SDcast!$2:$2,0)),"#ekrk")),"#popis")</f>
        <v>-57795.515516108775</v>
      </c>
    </row>
    <row r="913" spans="1:25" x14ac:dyDescent="0.25">
      <c r="A913" s="330">
        <v>713005</v>
      </c>
      <c r="B913" s="329">
        <v>-4637.8912999999984</v>
      </c>
      <c r="C913" s="157"/>
      <c r="D913" s="330">
        <v>713005</v>
      </c>
      <c r="E913" s="329">
        <v>-4637.8912999999984</v>
      </c>
      <c r="F913" s="157"/>
      <c r="G913" s="330">
        <v>713005</v>
      </c>
      <c r="H913" s="329">
        <v>-4637.8912999999984</v>
      </c>
      <c r="I913" s="157"/>
      <c r="J913" s="330">
        <v>713005</v>
      </c>
      <c r="K913" s="329">
        <v>-4637.8912999999984</v>
      </c>
      <c r="L913" s="157"/>
      <c r="M913" s="360">
        <f t="shared" si="86"/>
        <v>713005</v>
      </c>
      <c r="N913" s="237">
        <f t="shared" si="87"/>
        <v>-4637.8912999999984</v>
      </c>
      <c r="O913" s="361"/>
      <c r="P913" s="361"/>
      <c r="Q913" s="361" t="s">
        <v>698</v>
      </c>
      <c r="R913" s="362">
        <v>35</v>
      </c>
      <c r="S913" s="236"/>
      <c r="T913" s="364">
        <f t="shared" si="89"/>
        <v>713005</v>
      </c>
      <c r="U913" s="365">
        <f t="shared" si="90"/>
        <v>-4637.8912999999984</v>
      </c>
      <c r="V913" s="365">
        <f>IF($Q913="ekrk",IF($R913="data",IFERROR(INDEX(data!$A:$ALL,MATCH($M913,data!$A:$A,0),MATCH(V$2,data!$1:$1,0)),"#data"),IFERROR(U913*INDEX(indexy_SDcast!$A:$ALI,MATCH($R913,indexy_SDcast!$K:$K,0),MATCH(V$2,indexy_SDcast!$2:$2,0)),"#ekrk")),"#popis")</f>
        <v>-5937.5775194267517</v>
      </c>
      <c r="W913" s="365">
        <f>IF($Q913="ekrk",IF($R913="data",IFERROR(INDEX(data!$A:$ALL,MATCH($M913,data!$A:$A,0),MATCH(W$2,data!$1:$1,0)),"#data"),IFERROR(V913*INDEX(indexy_SDcast!$A:$ALI,MATCH($R913,indexy_SDcast!$K:$K,0),MATCH(W$2,indexy_SDcast!$2:$2,0)),"#ekrk")),"#popis")</f>
        <v>-6004.3236433110314</v>
      </c>
      <c r="X913" s="365">
        <f>IF($Q913="ekrk",IF($R913="data",IFERROR(INDEX(data!$A:$ALL,MATCH($M913,data!$A:$A,0),MATCH(X$2,data!$1:$1,0)),"#data"),IFERROR(W913*INDEX(indexy_SDcast!$A:$ALI,MATCH($R913,indexy_SDcast!$K:$K,0),MATCH(X$2,indexy_SDcast!$2:$2,0)),"#ekrk")),"#popis")</f>
        <v>-3856.7331258949871</v>
      </c>
      <c r="Y913" s="362">
        <f>IF($Q913="ekrk",IF($R913="data",IFERROR(INDEX(data!$A:$ALL,MATCH($M913,data!$A:$A,0),MATCH(Y$2,data!$1:$1,0)),"#data"),IFERROR(X913*INDEX(indexy_SDcast!$A:$ALI,MATCH($R913,indexy_SDcast!$K:$K,0),MATCH(Y$2,indexy_SDcast!$2:$2,0)),"#ekrk")),"#popis")</f>
        <v>-5217.5735591473367</v>
      </c>
    </row>
    <row r="914" spans="1:25" x14ac:dyDescent="0.25">
      <c r="A914" s="330">
        <v>713006</v>
      </c>
      <c r="B914" s="329">
        <v>-657.48909000000003</v>
      </c>
      <c r="C914" s="157"/>
      <c r="D914" s="330">
        <v>713006</v>
      </c>
      <c r="E914" s="329">
        <v>-657.48909000000003</v>
      </c>
      <c r="F914" s="157"/>
      <c r="G914" s="330">
        <v>713006</v>
      </c>
      <c r="H914" s="329">
        <v>-657.48909000000003</v>
      </c>
      <c r="I914" s="157"/>
      <c r="J914" s="330">
        <v>713006</v>
      </c>
      <c r="K914" s="329">
        <v>-657.48909000000003</v>
      </c>
      <c r="L914" s="157"/>
      <c r="M914" s="360">
        <f t="shared" si="86"/>
        <v>713006</v>
      </c>
      <c r="N914" s="237">
        <f t="shared" si="87"/>
        <v>-657.48909000000003</v>
      </c>
      <c r="O914" s="361"/>
      <c r="P914" s="361"/>
      <c r="Q914" s="361" t="s">
        <v>698</v>
      </c>
      <c r="R914" s="362">
        <v>35</v>
      </c>
      <c r="S914" s="236"/>
      <c r="T914" s="364">
        <f t="shared" si="89"/>
        <v>713006</v>
      </c>
      <c r="U914" s="365">
        <f t="shared" si="90"/>
        <v>-657.48909000000003</v>
      </c>
      <c r="V914" s="365">
        <f>IF($Q914="ekrk",IF($R914="data",IFERROR(INDEX(data!$A:$ALL,MATCH($M914,data!$A:$A,0),MATCH(V$2,data!$1:$1,0)),"#data"),IFERROR(U914*INDEX(indexy_SDcast!$A:$ALI,MATCH($R914,indexy_SDcast!$K:$K,0),MATCH(V$2,indexy_SDcast!$2:$2,0)),"#ekrk")),"#popis")</f>
        <v>-841.73866689207523</v>
      </c>
      <c r="W914" s="365">
        <f>IF($Q914="ekrk",IF($R914="data",IFERROR(INDEX(data!$A:$ALL,MATCH($M914,data!$A:$A,0),MATCH(W$2,data!$1:$1,0)),"#data"),IFERROR(V914*INDEX(indexy_SDcast!$A:$ALI,MATCH($R914,indexy_SDcast!$K:$K,0),MATCH(W$2,indexy_SDcast!$2:$2,0)),"#ekrk")),"#popis")</f>
        <v>-851.20090854782563</v>
      </c>
      <c r="X914" s="365">
        <f>IF($Q914="ekrk",IF($R914="data",IFERROR(INDEX(data!$A:$ALL,MATCH($M914,data!$A:$A,0),MATCH(X$2,data!$1:$1,0)),"#data"),IFERROR(W914*INDEX(indexy_SDcast!$A:$ALI,MATCH($R914,indexy_SDcast!$K:$K,0),MATCH(X$2,indexy_SDcast!$2:$2,0)),"#ekrk")),"#popis")</f>
        <v>-546.74846590681238</v>
      </c>
      <c r="Y914" s="362">
        <f>IF($Q914="ekrk",IF($R914="data",IFERROR(INDEX(data!$A:$ALL,MATCH($M914,data!$A:$A,0),MATCH(Y$2,data!$1:$1,0)),"#data"),IFERROR(X914*INDEX(indexy_SDcast!$A:$ALI,MATCH($R914,indexy_SDcast!$K:$K,0),MATCH(Y$2,indexy_SDcast!$2:$2,0)),"#ekrk")),"#popis")</f>
        <v>-739.66754921829363</v>
      </c>
    </row>
    <row r="915" spans="1:25" x14ac:dyDescent="0.25">
      <c r="A915" s="330">
        <v>714001</v>
      </c>
      <c r="B915" s="329">
        <v>-488.13616999999999</v>
      </c>
      <c r="C915" s="157"/>
      <c r="D915" s="330">
        <v>714001</v>
      </c>
      <c r="E915" s="329">
        <v>-488.13616999999999</v>
      </c>
      <c r="F915" s="157"/>
      <c r="G915" s="330">
        <v>714001</v>
      </c>
      <c r="H915" s="329">
        <v>-488.13616999999999</v>
      </c>
      <c r="I915" s="157"/>
      <c r="J915" s="330">
        <v>714001</v>
      </c>
      <c r="K915" s="329">
        <v>-488.13616999999999</v>
      </c>
      <c r="L915" s="157"/>
      <c r="M915" s="360">
        <f t="shared" si="86"/>
        <v>714001</v>
      </c>
      <c r="N915" s="237">
        <f t="shared" si="87"/>
        <v>-488.13616999999999</v>
      </c>
      <c r="O915" s="361"/>
      <c r="P915" s="361"/>
      <c r="Q915" s="361" t="s">
        <v>698</v>
      </c>
      <c r="R915" s="362">
        <v>35</v>
      </c>
      <c r="S915" s="236"/>
      <c r="T915" s="364">
        <f t="shared" si="89"/>
        <v>714001</v>
      </c>
      <c r="U915" s="365">
        <f t="shared" si="90"/>
        <v>-488.13616999999999</v>
      </c>
      <c r="V915" s="365">
        <f>IF($Q915="ekrk",IF($R915="data",IFERROR(INDEX(data!$A:$ALL,MATCH($M915,data!$A:$A,0),MATCH(V$2,data!$1:$1,0)),"#data"),IFERROR(U915*INDEX(indexy_SDcast!$A:$ALI,MATCH($R915,indexy_SDcast!$K:$K,0),MATCH(V$2,indexy_SDcast!$2:$2,0)),"#ekrk")),"#popis")</f>
        <v>-624.92761514507163</v>
      </c>
      <c r="W915" s="365">
        <f>IF($Q915="ekrk",IF($R915="data",IFERROR(INDEX(data!$A:$ALL,MATCH($M915,data!$A:$A,0),MATCH(W$2,data!$1:$1,0)),"#data"),IFERROR(V915*INDEX(indexy_SDcast!$A:$ALI,MATCH($R915,indexy_SDcast!$K:$K,0),MATCH(W$2,indexy_SDcast!$2:$2,0)),"#ekrk")),"#popis")</f>
        <v>-631.95261749370752</v>
      </c>
      <c r="X915" s="365">
        <f>IF($Q915="ekrk",IF($R915="data",IFERROR(INDEX(data!$A:$ALL,MATCH($M915,data!$A:$A,0),MATCH(X$2,data!$1:$1,0)),"#data"),IFERROR(W915*INDEX(indexy_SDcast!$A:$ALI,MATCH($R915,indexy_SDcast!$K:$K,0),MATCH(X$2,indexy_SDcast!$2:$2,0)),"#ekrk")),"#popis")</f>
        <v>-405.91959039370056</v>
      </c>
      <c r="Y915" s="362">
        <f>IF($Q915="ekrk",IF($R915="data",IFERROR(INDEX(data!$A:$ALL,MATCH($M915,data!$A:$A,0),MATCH(Y$2,data!$1:$1,0)),"#data"),IFERROR(X915*INDEX(indexy_SDcast!$A:$ALI,MATCH($R915,indexy_SDcast!$K:$K,0),MATCH(Y$2,indexy_SDcast!$2:$2,0)),"#ekrk")),"#popis")</f>
        <v>-549.14749163169267</v>
      </c>
    </row>
    <row r="916" spans="1:25" x14ac:dyDescent="0.25">
      <c r="A916" s="330">
        <v>714003</v>
      </c>
      <c r="B916" s="329">
        <v>-173.91721999999999</v>
      </c>
      <c r="C916" s="157"/>
      <c r="D916" s="330">
        <v>714003</v>
      </c>
      <c r="E916" s="329">
        <v>-173.91721999999999</v>
      </c>
      <c r="F916" s="157"/>
      <c r="G916" s="330">
        <v>714003</v>
      </c>
      <c r="H916" s="329">
        <v>-173.91721999999999</v>
      </c>
      <c r="I916" s="157"/>
      <c r="J916" s="330">
        <v>714003</v>
      </c>
      <c r="K916" s="329">
        <v>-173.91721999999999</v>
      </c>
      <c r="L916" s="157"/>
      <c r="M916" s="360">
        <f t="shared" si="86"/>
        <v>714003</v>
      </c>
      <c r="N916" s="237">
        <f t="shared" si="87"/>
        <v>-173.91721999999999</v>
      </c>
      <c r="O916" s="361"/>
      <c r="P916" s="361"/>
      <c r="Q916" s="361" t="s">
        <v>698</v>
      </c>
      <c r="R916" s="362">
        <v>35</v>
      </c>
      <c r="S916" s="236"/>
      <c r="T916" s="364">
        <f t="shared" si="89"/>
        <v>714003</v>
      </c>
      <c r="U916" s="365">
        <f t="shared" si="90"/>
        <v>-173.91721999999999</v>
      </c>
      <c r="V916" s="365">
        <f>IF($Q916="ekrk",IF($R916="data",IFERROR(INDEX(data!$A:$ALL,MATCH($M916,data!$A:$A,0),MATCH(V$2,data!$1:$1,0)),"#data"),IFERROR(U916*INDEX(indexy_SDcast!$A:$ALI,MATCH($R916,indexy_SDcast!$K:$K,0),MATCH(V$2,indexy_SDcast!$2:$2,0)),"#ekrk")),"#popis")</f>
        <v>-222.65441531870249</v>
      </c>
      <c r="W916" s="365">
        <f>IF($Q916="ekrk",IF($R916="data",IFERROR(INDEX(data!$A:$ALL,MATCH($M916,data!$A:$A,0),MATCH(W$2,data!$1:$1,0)),"#data"),IFERROR(V916*INDEX(indexy_SDcast!$A:$ALI,MATCH($R916,indexy_SDcast!$K:$K,0),MATCH(W$2,indexy_SDcast!$2:$2,0)),"#ekrk")),"#popis")</f>
        <v>-225.15734166191572</v>
      </c>
      <c r="X916" s="365">
        <f>IF($Q916="ekrk",IF($R916="data",IFERROR(INDEX(data!$A:$ALL,MATCH($M916,data!$A:$A,0),MATCH(X$2,data!$1:$1,0)),"#data"),IFERROR(W916*INDEX(indexy_SDcast!$A:$ALI,MATCH($R916,indexy_SDcast!$K:$K,0),MATCH(X$2,indexy_SDcast!$2:$2,0)),"#ekrk")),"#popis")</f>
        <v>-144.62441229219115</v>
      </c>
      <c r="Y916" s="362">
        <f>IF($Q916="ekrk",IF($R916="data",IFERROR(INDEX(data!$A:$ALL,MATCH($M916,data!$A:$A,0),MATCH(Y$2,data!$1:$1,0)),"#data"),IFERROR(X916*INDEX(indexy_SDcast!$A:$ALI,MATCH($R916,indexy_SDcast!$K:$K,0),MATCH(Y$2,indexy_SDcast!$2:$2,0)),"#ekrk")),"#popis")</f>
        <v>-195.65484179252127</v>
      </c>
    </row>
    <row r="917" spans="1:25" x14ac:dyDescent="0.25">
      <c r="A917" s="330">
        <v>714004</v>
      </c>
      <c r="B917" s="329">
        <v>-1948.21297</v>
      </c>
      <c r="C917" s="157"/>
      <c r="D917" s="330">
        <v>714004</v>
      </c>
      <c r="E917" s="329">
        <v>-1948.21297</v>
      </c>
      <c r="F917" s="157"/>
      <c r="G917" s="330">
        <v>714004</v>
      </c>
      <c r="H917" s="329">
        <v>-1948.21297</v>
      </c>
      <c r="I917" s="157"/>
      <c r="J917" s="330">
        <v>714004</v>
      </c>
      <c r="K917" s="329">
        <v>-1948.21297</v>
      </c>
      <c r="L917" s="157"/>
      <c r="M917" s="360">
        <f t="shared" si="86"/>
        <v>714004</v>
      </c>
      <c r="N917" s="237">
        <f t="shared" si="87"/>
        <v>-1948.21297</v>
      </c>
      <c r="O917" s="361"/>
      <c r="P917" s="361"/>
      <c r="Q917" s="361" t="s">
        <v>698</v>
      </c>
      <c r="R917" s="362">
        <v>35</v>
      </c>
      <c r="S917" s="236"/>
      <c r="T917" s="364">
        <f t="shared" si="89"/>
        <v>714004</v>
      </c>
      <c r="U917" s="365">
        <f t="shared" si="90"/>
        <v>-1948.21297</v>
      </c>
      <c r="V917" s="365">
        <f>IF($Q917="ekrk",IF($R917="data",IFERROR(INDEX(data!$A:$ALL,MATCH($M917,data!$A:$A,0),MATCH(V$2,data!$1:$1,0)),"#data"),IFERROR(U917*INDEX(indexy_SDcast!$A:$ALI,MATCH($R917,indexy_SDcast!$K:$K,0),MATCH(V$2,indexy_SDcast!$2:$2,0)),"#ekrk")),"#popis")</f>
        <v>-2494.1648662027997</v>
      </c>
      <c r="W917" s="365">
        <f>IF($Q917="ekrk",IF($R917="data",IFERROR(INDEX(data!$A:$ALL,MATCH($M917,data!$A:$A,0),MATCH(W$2,data!$1:$1,0)),"#data"),IFERROR(V917*INDEX(indexy_SDcast!$A:$ALI,MATCH($R917,indexy_SDcast!$K:$K,0),MATCH(W$2,indexy_SDcast!$2:$2,0)),"#ekrk")),"#popis")</f>
        <v>-2522.2025358757783</v>
      </c>
      <c r="X917" s="365">
        <f>IF($Q917="ekrk",IF($R917="data",IFERROR(INDEX(data!$A:$ALL,MATCH($M917,data!$A:$A,0),MATCH(X$2,data!$1:$1,0)),"#data"),IFERROR(W917*INDEX(indexy_SDcast!$A:$ALI,MATCH($R917,indexy_SDcast!$K:$K,0),MATCH(X$2,indexy_SDcast!$2:$2,0)),"#ekrk")),"#popis")</f>
        <v>-1620.0762397551794</v>
      </c>
      <c r="Y917" s="362">
        <f>IF($Q917="ekrk",IF($R917="data",IFERROR(INDEX(data!$A:$ALL,MATCH($M917,data!$A:$A,0),MATCH(Y$2,data!$1:$1,0)),"#data"),IFERROR(X917*INDEX(indexy_SDcast!$A:$ALI,MATCH($R917,indexy_SDcast!$K:$K,0),MATCH(Y$2,indexy_SDcast!$2:$2,0)),"#ekrk")),"#popis")</f>
        <v>-2191.7168433550628</v>
      </c>
    </row>
    <row r="918" spans="1:25" x14ac:dyDescent="0.25">
      <c r="A918" s="330">
        <v>714005</v>
      </c>
      <c r="B918" s="329">
        <v>-851.28200000000004</v>
      </c>
      <c r="C918" s="157"/>
      <c r="D918" s="330">
        <v>714005</v>
      </c>
      <c r="E918" s="329">
        <v>-851.28200000000004</v>
      </c>
      <c r="F918" s="157"/>
      <c r="G918" s="330">
        <v>714005</v>
      </c>
      <c r="H918" s="329">
        <v>-851.28200000000004</v>
      </c>
      <c r="I918" s="157"/>
      <c r="J918" s="330">
        <v>714005</v>
      </c>
      <c r="K918" s="329">
        <v>-851.28200000000004</v>
      </c>
      <c r="L918" s="157"/>
      <c r="M918" s="360">
        <f t="shared" si="86"/>
        <v>714005</v>
      </c>
      <c r="N918" s="237">
        <f t="shared" si="87"/>
        <v>-851.28200000000004</v>
      </c>
      <c r="O918" s="361"/>
      <c r="P918" s="361"/>
      <c r="Q918" s="361" t="s">
        <v>698</v>
      </c>
      <c r="R918" s="362">
        <v>35</v>
      </c>
      <c r="S918" s="236"/>
      <c r="T918" s="364">
        <f t="shared" si="89"/>
        <v>714005</v>
      </c>
      <c r="U918" s="365">
        <f t="shared" si="90"/>
        <v>-851.28200000000004</v>
      </c>
      <c r="V918" s="365">
        <f>IF($Q918="ekrk",IF($R918="data",IFERROR(INDEX(data!$A:$ALL,MATCH($M918,data!$A:$A,0),MATCH(V$2,data!$1:$1,0)),"#data"),IFERROR(U918*INDEX(indexy_SDcast!$A:$ALI,MATCH($R918,indexy_SDcast!$K:$K,0),MATCH(V$2,indexy_SDcast!$2:$2,0)),"#ekrk")),"#popis")</f>
        <v>-1089.8385794191956</v>
      </c>
      <c r="W918" s="365">
        <f>IF($Q918="ekrk",IF($R918="data",IFERROR(INDEX(data!$A:$ALL,MATCH($M918,data!$A:$A,0),MATCH(W$2,data!$1:$1,0)),"#data"),IFERROR(V918*INDEX(indexy_SDcast!$A:$ALI,MATCH($R918,indexy_SDcast!$K:$K,0),MATCH(W$2,indexy_SDcast!$2:$2,0)),"#ekrk")),"#popis")</f>
        <v>-1102.0897880304146</v>
      </c>
      <c r="X918" s="365">
        <f>IF($Q918="ekrk",IF($R918="data",IFERROR(INDEX(data!$A:$ALL,MATCH($M918,data!$A:$A,0),MATCH(X$2,data!$1:$1,0)),"#data"),IFERROR(W918*INDEX(indexy_SDcast!$A:$ALI,MATCH($R918,indexy_SDcast!$K:$K,0),MATCH(X$2,indexy_SDcast!$2:$2,0)),"#ekrk")),"#popis")</f>
        <v>-707.90091369285403</v>
      </c>
      <c r="Y918" s="362">
        <f>IF($Q918="ekrk",IF($R918="data",IFERROR(INDEX(data!$A:$ALL,MATCH($M918,data!$A:$A,0),MATCH(Y$2,data!$1:$1,0)),"#data"),IFERROR(X918*INDEX(indexy_SDcast!$A:$ALI,MATCH($R918,indexy_SDcast!$K:$K,0),MATCH(Y$2,indexy_SDcast!$2:$2,0)),"#ekrk")),"#popis")</f>
        <v>-957.6823101865424</v>
      </c>
    </row>
    <row r="919" spans="1:25" x14ac:dyDescent="0.25">
      <c r="A919" s="330">
        <v>716000</v>
      </c>
      <c r="B919" s="329">
        <v>-1822.3306000000002</v>
      </c>
      <c r="C919" s="157"/>
      <c r="D919" s="330">
        <v>716000</v>
      </c>
      <c r="E919" s="329">
        <v>-1822.3306000000002</v>
      </c>
      <c r="F919" s="157"/>
      <c r="G919" s="330">
        <v>716000</v>
      </c>
      <c r="H919" s="329">
        <v>-1822.3306000000002</v>
      </c>
      <c r="I919" s="157"/>
      <c r="J919" s="330">
        <v>716000</v>
      </c>
      <c r="K919" s="329">
        <v>-1822.3306000000002</v>
      </c>
      <c r="L919" s="157"/>
      <c r="M919" s="360">
        <f t="shared" si="86"/>
        <v>716000</v>
      </c>
      <c r="N919" s="237">
        <f t="shared" si="87"/>
        <v>-1822.3306000000002</v>
      </c>
      <c r="O919" s="361"/>
      <c r="P919" s="361"/>
      <c r="Q919" s="361" t="s">
        <v>698</v>
      </c>
      <c r="R919" s="362">
        <v>35</v>
      </c>
      <c r="S919" s="236"/>
      <c r="T919" s="364">
        <f t="shared" si="89"/>
        <v>716000</v>
      </c>
      <c r="U919" s="365">
        <f t="shared" si="90"/>
        <v>-1822.3306000000002</v>
      </c>
      <c r="V919" s="365">
        <f>IF($Q919="ekrk",IF($R919="data",IFERROR(INDEX(data!$A:$ALL,MATCH($M919,data!$A:$A,0),MATCH(V$2,data!$1:$1,0)),"#data"),IFERROR(U919*INDEX(indexy_SDcast!$A:$ALI,MATCH($R919,indexy_SDcast!$K:$K,0),MATCH(V$2,indexy_SDcast!$2:$2,0)),"#ekrk")),"#popis")</f>
        <v>-2333.0062098530575</v>
      </c>
      <c r="W919" s="365">
        <f>IF($Q919="ekrk",IF($R919="data",IFERROR(INDEX(data!$A:$ALL,MATCH($M919,data!$A:$A,0),MATCH(W$2,data!$1:$1,0)),"#data"),IFERROR(V919*INDEX(indexy_SDcast!$A:$ALI,MATCH($R919,indexy_SDcast!$K:$K,0),MATCH(W$2,indexy_SDcast!$2:$2,0)),"#ekrk")),"#popis")</f>
        <v>-2359.2322458073099</v>
      </c>
      <c r="X919" s="365">
        <f>IF($Q919="ekrk",IF($R919="data",IFERROR(INDEX(data!$A:$ALL,MATCH($M919,data!$A:$A,0),MATCH(X$2,data!$1:$1,0)),"#data"),IFERROR(W919*INDEX(indexy_SDcast!$A:$ALI,MATCH($R919,indexy_SDcast!$K:$K,0),MATCH(X$2,indexy_SDcast!$2:$2,0)),"#ekrk")),"#popis")</f>
        <v>-1515.396186916259</v>
      </c>
      <c r="Y919" s="362">
        <f>IF($Q919="ekrk",IF($R919="data",IFERROR(INDEX(data!$A:$ALL,MATCH($M919,data!$A:$A,0),MATCH(Y$2,data!$1:$1,0)),"#data"),IFERROR(X919*INDEX(indexy_SDcast!$A:$ALI,MATCH($R919,indexy_SDcast!$K:$K,0),MATCH(Y$2,indexy_SDcast!$2:$2,0)),"#ekrk")),"#popis")</f>
        <v>-2050.1006469438184</v>
      </c>
    </row>
    <row r="920" spans="1:25" x14ac:dyDescent="0.25">
      <c r="A920" s="330">
        <v>717001</v>
      </c>
      <c r="B920" s="329">
        <v>-158941.72115000008</v>
      </c>
      <c r="C920" s="157"/>
      <c r="D920" s="330">
        <v>717001</v>
      </c>
      <c r="E920" s="329">
        <v>-158941.72115000008</v>
      </c>
      <c r="F920" s="157"/>
      <c r="G920" s="330">
        <v>717001</v>
      </c>
      <c r="H920" s="329">
        <v>-158941.72115000008</v>
      </c>
      <c r="I920" s="157"/>
      <c r="J920" s="330">
        <v>717001</v>
      </c>
      <c r="K920" s="329">
        <v>-158941.72115000008</v>
      </c>
      <c r="L920" s="157"/>
      <c r="M920" s="360">
        <f t="shared" si="86"/>
        <v>717001</v>
      </c>
      <c r="N920" s="237">
        <f t="shared" si="87"/>
        <v>-158941.72115000008</v>
      </c>
      <c r="O920" s="361"/>
      <c r="P920" s="361"/>
      <c r="Q920" s="361" t="s">
        <v>698</v>
      </c>
      <c r="R920" s="362">
        <v>35</v>
      </c>
      <c r="S920" s="236"/>
      <c r="T920" s="364">
        <f t="shared" si="89"/>
        <v>717001</v>
      </c>
      <c r="U920" s="365">
        <f t="shared" si="90"/>
        <v>-158941.72115000008</v>
      </c>
      <c r="V920" s="365">
        <f>IF($Q920="ekrk",IF($R920="data",IFERROR(INDEX(data!$A:$ALL,MATCH($M920,data!$A:$A,0),MATCH(V$2,data!$1:$1,0)),"#data"),IFERROR(U920*INDEX(indexy_SDcast!$A:$ALI,MATCH($R920,indexy_SDcast!$K:$K,0),MATCH(V$2,indexy_SDcast!$2:$2,0)),"#ekrk")),"#popis")</f>
        <v>-203482.30032886635</v>
      </c>
      <c r="W920" s="365">
        <f>IF($Q920="ekrk",IF($R920="data",IFERROR(INDEX(data!$A:$ALL,MATCH($M920,data!$A:$A,0),MATCH(W$2,data!$1:$1,0)),"#data"),IFERROR(V920*INDEX(indexy_SDcast!$A:$ALI,MATCH($R920,indexy_SDcast!$K:$K,0),MATCH(W$2,indexy_SDcast!$2:$2,0)),"#ekrk")),"#popis")</f>
        <v>-205769.70706697996</v>
      </c>
      <c r="X920" s="365">
        <f>IF($Q920="ekrk",IF($R920="data",IFERROR(INDEX(data!$A:$ALL,MATCH($M920,data!$A:$A,0),MATCH(X$2,data!$1:$1,0)),"#data"),IFERROR(W920*INDEX(indexy_SDcast!$A:$ALI,MATCH($R920,indexy_SDcast!$K:$K,0),MATCH(X$2,indexy_SDcast!$2:$2,0)),"#ekrk")),"#popis")</f>
        <v>-132171.2307155559</v>
      </c>
      <c r="Y920" s="362">
        <f>IF($Q920="ekrk",IF($R920="data",IFERROR(INDEX(data!$A:$ALL,MATCH($M920,data!$A:$A,0),MATCH(Y$2,data!$1:$1,0)),"#data"),IFERROR(X920*INDEX(indexy_SDcast!$A:$ALI,MATCH($R920,indexy_SDcast!$K:$K,0),MATCH(Y$2,indexy_SDcast!$2:$2,0)),"#ekrk")),"#popis")</f>
        <v>-178807.58044450285</v>
      </c>
    </row>
    <row r="921" spans="1:25" x14ac:dyDescent="0.25">
      <c r="A921" s="330">
        <v>717002</v>
      </c>
      <c r="B921" s="329">
        <v>-116002.80965000005</v>
      </c>
      <c r="C921" s="157"/>
      <c r="D921" s="330">
        <v>717002</v>
      </c>
      <c r="E921" s="329">
        <v>-116002.80965000005</v>
      </c>
      <c r="F921" s="157"/>
      <c r="G921" s="330">
        <v>717002</v>
      </c>
      <c r="H921" s="329">
        <v>-116002.80965000005</v>
      </c>
      <c r="I921" s="157"/>
      <c r="J921" s="330">
        <v>717002</v>
      </c>
      <c r="K921" s="329">
        <v>-116002.80965000005</v>
      </c>
      <c r="L921" s="157"/>
      <c r="M921" s="360">
        <f t="shared" si="86"/>
        <v>717002</v>
      </c>
      <c r="N921" s="237">
        <f t="shared" si="87"/>
        <v>-116002.80965000005</v>
      </c>
      <c r="O921" s="361"/>
      <c r="P921" s="361"/>
      <c r="Q921" s="361" t="s">
        <v>698</v>
      </c>
      <c r="R921" s="362">
        <v>35</v>
      </c>
      <c r="S921" s="236"/>
      <c r="T921" s="364">
        <f t="shared" si="89"/>
        <v>717002</v>
      </c>
      <c r="U921" s="365">
        <f t="shared" si="90"/>
        <v>-116002.80965000005</v>
      </c>
      <c r="V921" s="365">
        <f>IF($Q921="ekrk",IF($R921="data",IFERROR(INDEX(data!$A:$ALL,MATCH($M921,data!$A:$A,0),MATCH(V$2,data!$1:$1,0)),"#data"),IFERROR(U921*INDEX(indexy_SDcast!$A:$ALI,MATCH($R921,indexy_SDcast!$K:$K,0),MATCH(V$2,indexy_SDcast!$2:$2,0)),"#ekrk")),"#popis")</f>
        <v>-148510.52562792518</v>
      </c>
      <c r="W921" s="365">
        <f>IF($Q921="ekrk",IF($R921="data",IFERROR(INDEX(data!$A:$ALL,MATCH($M921,data!$A:$A,0),MATCH(W$2,data!$1:$1,0)),"#data"),IFERROR(V921*INDEX(indexy_SDcast!$A:$ALI,MATCH($R921,indexy_SDcast!$K:$K,0),MATCH(W$2,indexy_SDcast!$2:$2,0)),"#ekrk")),"#popis")</f>
        <v>-150179.97784294872</v>
      </c>
      <c r="X921" s="365">
        <f>IF($Q921="ekrk",IF($R921="data",IFERROR(INDEX(data!$A:$ALL,MATCH($M921,data!$A:$A,0),MATCH(X$2,data!$1:$1,0)),"#data"),IFERROR(W921*INDEX(indexy_SDcast!$A:$ALI,MATCH($R921,indexy_SDcast!$K:$K,0),MATCH(X$2,indexy_SDcast!$2:$2,0)),"#ekrk")),"#popis")</f>
        <v>-96464.502881739827</v>
      </c>
      <c r="Y921" s="362">
        <f>IF($Q921="ekrk",IF($R921="data",IFERROR(INDEX(data!$A:$ALL,MATCH($M921,data!$A:$A,0),MATCH(Y$2,data!$1:$1,0)),"#data"),IFERROR(X921*INDEX(indexy_SDcast!$A:$ALI,MATCH($R921,indexy_SDcast!$K:$K,0),MATCH(Y$2,indexy_SDcast!$2:$2,0)),"#ekrk")),"#popis")</f>
        <v>-130501.80637408257</v>
      </c>
    </row>
    <row r="922" spans="1:25" x14ac:dyDescent="0.25">
      <c r="A922" s="330">
        <v>717003</v>
      </c>
      <c r="B922" s="329">
        <v>-7497.2037600000003</v>
      </c>
      <c r="C922" s="157"/>
      <c r="D922" s="330">
        <v>717003</v>
      </c>
      <c r="E922" s="329">
        <v>-7497.2037600000003</v>
      </c>
      <c r="F922" s="157"/>
      <c r="G922" s="330">
        <v>717003</v>
      </c>
      <c r="H922" s="329">
        <v>-7497.2037600000003</v>
      </c>
      <c r="I922" s="157"/>
      <c r="J922" s="330">
        <v>717003</v>
      </c>
      <c r="K922" s="329">
        <v>-7497.2037600000003</v>
      </c>
      <c r="L922" s="157"/>
      <c r="M922" s="360">
        <f t="shared" si="86"/>
        <v>717003</v>
      </c>
      <c r="N922" s="237">
        <f t="shared" si="87"/>
        <v>-7497.2037600000003</v>
      </c>
      <c r="O922" s="361"/>
      <c r="P922" s="361"/>
      <c r="Q922" s="361" t="s">
        <v>698</v>
      </c>
      <c r="R922" s="362">
        <v>35</v>
      </c>
      <c r="S922" s="236"/>
      <c r="T922" s="364">
        <f t="shared" si="89"/>
        <v>717003</v>
      </c>
      <c r="U922" s="365">
        <f t="shared" si="90"/>
        <v>-7497.2037600000003</v>
      </c>
      <c r="V922" s="365">
        <f>IF($Q922="ekrk",IF($R922="data",IFERROR(INDEX(data!$A:$ALL,MATCH($M922,data!$A:$A,0),MATCH(V$2,data!$1:$1,0)),"#data"),IFERROR(U922*INDEX(indexy_SDcast!$A:$ALI,MATCH($R922,indexy_SDcast!$K:$K,0),MATCH(V$2,indexy_SDcast!$2:$2,0)),"#ekrk")),"#popis")</f>
        <v>-9598.1612384787313</v>
      </c>
      <c r="W922" s="365">
        <f>IF($Q922="ekrk",IF($R922="data",IFERROR(INDEX(data!$A:$ALL,MATCH($M922,data!$A:$A,0),MATCH(W$2,data!$1:$1,0)),"#data"),IFERROR(V922*INDEX(indexy_SDcast!$A:$ALI,MATCH($R922,indexy_SDcast!$K:$K,0),MATCH(W$2,indexy_SDcast!$2:$2,0)),"#ekrk")),"#popis")</f>
        <v>-9706.0571029097591</v>
      </c>
      <c r="X922" s="365">
        <f>IF($Q922="ekrk",IF($R922="data",IFERROR(INDEX(data!$A:$ALL,MATCH($M922,data!$A:$A,0),MATCH(X$2,data!$1:$1,0)),"#data"),IFERROR(W922*INDEX(indexy_SDcast!$A:$ALI,MATCH($R922,indexy_SDcast!$K:$K,0),MATCH(X$2,indexy_SDcast!$2:$2,0)),"#ekrk")),"#popis")</f>
        <v>-6234.452733460239</v>
      </c>
      <c r="Y922" s="362">
        <f>IF($Q922="ekrk",IF($R922="data",IFERROR(INDEX(data!$A:$ALL,MATCH($M922,data!$A:$A,0),MATCH(Y$2,data!$1:$1,0)),"#data"),IFERROR(X922*INDEX(indexy_SDcast!$A:$ALI,MATCH($R922,indexy_SDcast!$K:$K,0),MATCH(Y$2,indexy_SDcast!$2:$2,0)),"#ekrk")),"#popis")</f>
        <v>-8434.2666904927264</v>
      </c>
    </row>
    <row r="923" spans="1:25" x14ac:dyDescent="0.25">
      <c r="A923" s="330">
        <v>718002</v>
      </c>
      <c r="B923" s="329">
        <v>-765.27291000000002</v>
      </c>
      <c r="C923" s="157"/>
      <c r="D923" s="330">
        <v>718002</v>
      </c>
      <c r="E923" s="329">
        <v>-765.27291000000002</v>
      </c>
      <c r="F923" s="157"/>
      <c r="G923" s="330">
        <v>718002</v>
      </c>
      <c r="H923" s="329">
        <v>-765.27291000000002</v>
      </c>
      <c r="I923" s="157"/>
      <c r="J923" s="330">
        <v>718002</v>
      </c>
      <c r="K923" s="329">
        <v>-765.27291000000002</v>
      </c>
      <c r="L923" s="157"/>
      <c r="M923" s="360">
        <f t="shared" ref="M923:M973" si="91">J923</f>
        <v>718002</v>
      </c>
      <c r="N923" s="237">
        <f t="shared" ref="N923:N973" si="92">K923</f>
        <v>-765.27291000000002</v>
      </c>
      <c r="O923" s="361"/>
      <c r="P923" s="361"/>
      <c r="Q923" s="361" t="s">
        <v>698</v>
      </c>
      <c r="R923" s="362">
        <v>35</v>
      </c>
      <c r="S923" s="236"/>
      <c r="T923" s="364">
        <f t="shared" si="89"/>
        <v>718002</v>
      </c>
      <c r="U923" s="365">
        <f t="shared" si="90"/>
        <v>-765.27291000000002</v>
      </c>
      <c r="V923" s="365">
        <f>IF($Q923="ekrk",IF($R923="data",IFERROR(INDEX(data!$A:$ALL,MATCH($M923,data!$A:$A,0),MATCH(V$2,data!$1:$1,0)),"#data"),IFERROR(U923*INDEX(indexy_SDcast!$A:$ALI,MATCH($R923,indexy_SDcast!$K:$K,0),MATCH(V$2,indexy_SDcast!$2:$2,0)),"#ekrk")),"#popis")</f>
        <v>-979.72697778455779</v>
      </c>
      <c r="W923" s="365">
        <f>IF($Q923="ekrk",IF($R923="data",IFERROR(INDEX(data!$A:$ALL,MATCH($M923,data!$A:$A,0),MATCH(W$2,data!$1:$1,0)),"#data"),IFERROR(V923*INDEX(indexy_SDcast!$A:$ALI,MATCH($R923,indexy_SDcast!$K:$K,0),MATCH(W$2,indexy_SDcast!$2:$2,0)),"#ekrk")),"#popis")</f>
        <v>-990.7403882230783</v>
      </c>
      <c r="X923" s="365">
        <f>IF($Q923="ekrk",IF($R923="data",IFERROR(INDEX(data!$A:$ALL,MATCH($M923,data!$A:$A,0),MATCH(X$2,data!$1:$1,0)),"#data"),IFERROR(W923*INDEX(indexy_SDcast!$A:$ALI,MATCH($R923,indexy_SDcast!$K:$K,0),MATCH(X$2,indexy_SDcast!$2:$2,0)),"#ekrk")),"#popis")</f>
        <v>-636.37830027345717</v>
      </c>
      <c r="Y923" s="362">
        <f>IF($Q923="ekrk",IF($R923="data",IFERROR(INDEX(data!$A:$ALL,MATCH($M923,data!$A:$A,0),MATCH(Y$2,data!$1:$1,0)),"#data"),IFERROR(X923*INDEX(indexy_SDcast!$A:$ALI,MATCH($R923,indexy_SDcast!$K:$K,0),MATCH(Y$2,indexy_SDcast!$2:$2,0)),"#ekrk")),"#popis")</f>
        <v>-860.92308820341304</v>
      </c>
    </row>
    <row r="924" spans="1:25" x14ac:dyDescent="0.25">
      <c r="A924" s="330">
        <v>718004</v>
      </c>
      <c r="B924" s="329">
        <v>-112.53821000000001</v>
      </c>
      <c r="C924" s="157"/>
      <c r="D924" s="330">
        <v>718004</v>
      </c>
      <c r="E924" s="329">
        <v>-112.53821000000001</v>
      </c>
      <c r="F924" s="157"/>
      <c r="G924" s="330">
        <v>718004</v>
      </c>
      <c r="H924" s="329">
        <v>-112.53821000000001</v>
      </c>
      <c r="I924" s="157"/>
      <c r="J924" s="330">
        <v>718004</v>
      </c>
      <c r="K924" s="329">
        <v>-112.53821000000001</v>
      </c>
      <c r="L924" s="157"/>
      <c r="M924" s="360">
        <f t="shared" si="91"/>
        <v>718004</v>
      </c>
      <c r="N924" s="237">
        <f t="shared" si="92"/>
        <v>-112.53821000000001</v>
      </c>
      <c r="O924" s="361"/>
      <c r="P924" s="361"/>
      <c r="Q924" s="361" t="s">
        <v>698</v>
      </c>
      <c r="R924" s="362">
        <v>35</v>
      </c>
      <c r="S924" s="236"/>
      <c r="T924" s="364">
        <f t="shared" si="89"/>
        <v>718004</v>
      </c>
      <c r="U924" s="365">
        <f t="shared" si="90"/>
        <v>-112.53821000000001</v>
      </c>
      <c r="V924" s="365">
        <f>IF($Q924="ekrk",IF($R924="data",IFERROR(INDEX(data!$A:$ALL,MATCH($M924,data!$A:$A,0),MATCH(V$2,data!$1:$1,0)),"#data"),IFERROR(U924*INDEX(indexy_SDcast!$A:$ALI,MATCH($R924,indexy_SDcast!$K:$K,0),MATCH(V$2,indexy_SDcast!$2:$2,0)),"#ekrk")),"#popis")</f>
        <v>-144.0750337923028</v>
      </c>
      <c r="W924" s="365">
        <f>IF($Q924="ekrk",IF($R924="data",IFERROR(INDEX(data!$A:$ALL,MATCH($M924,data!$A:$A,0),MATCH(W$2,data!$1:$1,0)),"#data"),IFERROR(V924*INDEX(indexy_SDcast!$A:$ALI,MATCH($R924,indexy_SDcast!$K:$K,0),MATCH(W$2,indexy_SDcast!$2:$2,0)),"#ekrk")),"#popis")</f>
        <v>-145.69462528776867</v>
      </c>
      <c r="X924" s="365">
        <f>IF($Q924="ekrk",IF($R924="data",IFERROR(INDEX(data!$A:$ALL,MATCH($M924,data!$A:$A,0),MATCH(X$2,data!$1:$1,0)),"#data"),IFERROR(W924*INDEX(indexy_SDcast!$A:$ALI,MATCH($R924,indexy_SDcast!$K:$K,0),MATCH(X$2,indexy_SDcast!$2:$2,0)),"#ekrk")),"#popis")</f>
        <v>-93.583444363158478</v>
      </c>
      <c r="Y924" s="362">
        <f>IF($Q924="ekrk",IF($R924="data",IFERROR(INDEX(data!$A:$ALL,MATCH($M924,data!$A:$A,0),MATCH(Y$2,data!$1:$1,0)),"#data"),IFERROR(X924*INDEX(indexy_SDcast!$A:$ALI,MATCH($R924,indexy_SDcast!$K:$K,0),MATCH(Y$2,indexy_SDcast!$2:$2,0)),"#ekrk")),"#popis")</f>
        <v>-126.60417222149445</v>
      </c>
    </row>
    <row r="925" spans="1:25" x14ac:dyDescent="0.25">
      <c r="A925" s="330">
        <v>718005</v>
      </c>
      <c r="B925" s="329">
        <v>-37.282800000000002</v>
      </c>
      <c r="C925" s="157"/>
      <c r="D925" s="330">
        <v>718005</v>
      </c>
      <c r="E925" s="329">
        <v>-37.282800000000002</v>
      </c>
      <c r="F925" s="157"/>
      <c r="G925" s="330">
        <v>718005</v>
      </c>
      <c r="H925" s="329">
        <v>-37.282800000000002</v>
      </c>
      <c r="I925" s="157"/>
      <c r="J925" s="330">
        <v>718005</v>
      </c>
      <c r="K925" s="329">
        <v>-37.282800000000002</v>
      </c>
      <c r="L925" s="157"/>
      <c r="M925" s="360">
        <f t="shared" si="91"/>
        <v>718005</v>
      </c>
      <c r="N925" s="237">
        <f t="shared" si="92"/>
        <v>-37.282800000000002</v>
      </c>
      <c r="O925" s="361"/>
      <c r="P925" s="361"/>
      <c r="Q925" s="361" t="s">
        <v>698</v>
      </c>
      <c r="R925" s="362">
        <v>35</v>
      </c>
      <c r="S925" s="236"/>
      <c r="T925" s="364">
        <f t="shared" si="89"/>
        <v>718005</v>
      </c>
      <c r="U925" s="365">
        <f t="shared" si="90"/>
        <v>-37.282800000000002</v>
      </c>
      <c r="V925" s="365">
        <f>IF($Q925="ekrk",IF($R925="data",IFERROR(INDEX(data!$A:$ALL,MATCH($M925,data!$A:$A,0),MATCH(V$2,data!$1:$1,0)),"#data"),IFERROR(U925*INDEX(indexy_SDcast!$A:$ALI,MATCH($R925,indexy_SDcast!$K:$K,0),MATCH(V$2,indexy_SDcast!$2:$2,0)),"#ekrk")),"#popis")</f>
        <v>-47.730638952509253</v>
      </c>
      <c r="W925" s="365">
        <f>IF($Q925="ekrk",IF($R925="data",IFERROR(INDEX(data!$A:$ALL,MATCH($M925,data!$A:$A,0),MATCH(W$2,data!$1:$1,0)),"#data"),IFERROR(V925*INDEX(indexy_SDcast!$A:$ALI,MATCH($R925,indexy_SDcast!$K:$K,0),MATCH(W$2,indexy_SDcast!$2:$2,0)),"#ekrk")),"#popis")</f>
        <v>-48.267193655193388</v>
      </c>
      <c r="X925" s="365">
        <f>IF($Q925="ekrk",IF($R925="data",IFERROR(INDEX(data!$A:$ALL,MATCH($M925,data!$A:$A,0),MATCH(X$2,data!$1:$1,0)),"#data"),IFERROR(W925*INDEX(indexy_SDcast!$A:$ALI,MATCH($R925,indexy_SDcast!$K:$K,0),MATCH(X$2,indexy_SDcast!$2:$2,0)),"#ekrk")),"#popis")</f>
        <v>-31.003272928392629</v>
      </c>
      <c r="Y925" s="362">
        <f>IF($Q925="ekrk",IF($R925="data",IFERROR(INDEX(data!$A:$ALL,MATCH($M925,data!$A:$A,0),MATCH(Y$2,data!$1:$1,0)),"#data"),IFERROR(X925*INDEX(indexy_SDcast!$A:$ALI,MATCH($R925,indexy_SDcast!$K:$K,0),MATCH(Y$2,indexy_SDcast!$2:$2,0)),"#ekrk")),"#popis")</f>
        <v>-41.942714675304799</v>
      </c>
    </row>
    <row r="926" spans="1:25" x14ac:dyDescent="0.25">
      <c r="A926" s="330">
        <v>718007</v>
      </c>
      <c r="B926" s="329">
        <v>-234.08967999999999</v>
      </c>
      <c r="C926" s="157"/>
      <c r="D926" s="330">
        <v>718007</v>
      </c>
      <c r="E926" s="329">
        <v>-234.08967999999999</v>
      </c>
      <c r="F926" s="157"/>
      <c r="G926" s="330">
        <v>718007</v>
      </c>
      <c r="H926" s="329">
        <v>-234.08967999999999</v>
      </c>
      <c r="I926" s="157"/>
      <c r="J926" s="330">
        <v>718007</v>
      </c>
      <c r="K926" s="329">
        <v>-234.08967999999999</v>
      </c>
      <c r="L926" s="157"/>
      <c r="M926" s="360">
        <f t="shared" si="91"/>
        <v>718007</v>
      </c>
      <c r="N926" s="237">
        <f t="shared" si="92"/>
        <v>-234.08967999999999</v>
      </c>
      <c r="O926" s="361"/>
      <c r="P926" s="361"/>
      <c r="Q926" s="361" t="s">
        <v>698</v>
      </c>
      <c r="R926" s="362">
        <v>35</v>
      </c>
      <c r="S926" s="236"/>
      <c r="T926" s="364">
        <f t="shared" si="89"/>
        <v>718007</v>
      </c>
      <c r="U926" s="365">
        <f t="shared" si="90"/>
        <v>-234.08967999999999</v>
      </c>
      <c r="V926" s="365">
        <f>IF($Q926="ekrk",IF($R926="data",IFERROR(INDEX(data!$A:$ALL,MATCH($M926,data!$A:$A,0),MATCH(V$2,data!$1:$1,0)),"#data"),IFERROR(U926*INDEX(indexy_SDcast!$A:$ALI,MATCH($R926,indexy_SDcast!$K:$K,0),MATCH(V$2,indexy_SDcast!$2:$2,0)),"#ekrk")),"#popis")</f>
        <v>-299.68913275259439</v>
      </c>
      <c r="W926" s="365">
        <f>IF($Q926="ekrk",IF($R926="data",IFERROR(INDEX(data!$A:$ALL,MATCH($M926,data!$A:$A,0),MATCH(W$2,data!$1:$1,0)),"#data"),IFERROR(V926*INDEX(indexy_SDcast!$A:$ALI,MATCH($R926,indexy_SDcast!$K:$K,0),MATCH(W$2,indexy_SDcast!$2:$2,0)),"#ekrk")),"#popis")</f>
        <v>-303.05802990232092</v>
      </c>
      <c r="X926" s="365">
        <f>IF($Q926="ekrk",IF($R926="data",IFERROR(INDEX(data!$A:$ALL,MATCH($M926,data!$A:$A,0),MATCH(X$2,data!$1:$1,0)),"#data"),IFERROR(W926*INDEX(indexy_SDcast!$A:$ALI,MATCH($R926,indexy_SDcast!$K:$K,0),MATCH(X$2,indexy_SDcast!$2:$2,0)),"#ekrk")),"#popis")</f>
        <v>-194.66204895448016</v>
      </c>
      <c r="Y926" s="362">
        <f>IF($Q926="ekrk",IF($R926="data",IFERROR(INDEX(data!$A:$ALL,MATCH($M926,data!$A:$A,0),MATCH(Y$2,data!$1:$1,0)),"#data"),IFERROR(X926*INDEX(indexy_SDcast!$A:$ALI,MATCH($R926,indexy_SDcast!$K:$K,0),MATCH(Y$2,indexy_SDcast!$2:$2,0)),"#ekrk")),"#popis")</f>
        <v>-263.34815670157292</v>
      </c>
    </row>
    <row r="927" spans="1:25" x14ac:dyDescent="0.25">
      <c r="A927" s="330">
        <v>719001</v>
      </c>
      <c r="B927" s="329">
        <v>-21.528100000000002</v>
      </c>
      <c r="C927" s="157"/>
      <c r="D927" s="330">
        <v>719001</v>
      </c>
      <c r="E927" s="329">
        <v>-21.528100000000002</v>
      </c>
      <c r="F927" s="157"/>
      <c r="G927" s="330">
        <v>719001</v>
      </c>
      <c r="H927" s="329">
        <v>-21.528100000000002</v>
      </c>
      <c r="I927" s="157"/>
      <c r="J927" s="330">
        <v>719001</v>
      </c>
      <c r="K927" s="329">
        <v>-21.528100000000002</v>
      </c>
      <c r="L927" s="157"/>
      <c r="M927" s="360">
        <f t="shared" si="91"/>
        <v>719001</v>
      </c>
      <c r="N927" s="237">
        <f t="shared" si="92"/>
        <v>-21.528100000000002</v>
      </c>
      <c r="O927" s="361"/>
      <c r="P927" s="361"/>
      <c r="Q927" s="361" t="s">
        <v>698</v>
      </c>
      <c r="R927" s="362">
        <v>35</v>
      </c>
      <c r="S927" s="236"/>
      <c r="T927" s="364">
        <f t="shared" si="89"/>
        <v>719001</v>
      </c>
      <c r="U927" s="365">
        <f t="shared" si="90"/>
        <v>-21.528100000000002</v>
      </c>
      <c r="V927" s="365">
        <f>IF($Q927="ekrk",IF($R927="data",IFERROR(INDEX(data!$A:$ALL,MATCH($M927,data!$A:$A,0),MATCH(V$2,data!$1:$1,0)),"#data"),IFERROR(U927*INDEX(indexy_SDcast!$A:$ALI,MATCH($R927,indexy_SDcast!$K:$K,0),MATCH(V$2,indexy_SDcast!$2:$2,0)),"#ekrk")),"#popis")</f>
        <v>-27.56096560434073</v>
      </c>
      <c r="W927" s="365">
        <f>IF($Q927="ekrk",IF($R927="data",IFERROR(INDEX(data!$A:$ALL,MATCH($M927,data!$A:$A,0),MATCH(W$2,data!$1:$1,0)),"#data"),IFERROR(V927*INDEX(indexy_SDcast!$A:$ALI,MATCH($R927,indexy_SDcast!$K:$K,0),MATCH(W$2,indexy_SDcast!$2:$2,0)),"#ekrk")),"#popis")</f>
        <v>-27.870786843487313</v>
      </c>
      <c r="X927" s="365">
        <f>IF($Q927="ekrk",IF($R927="data",IFERROR(INDEX(data!$A:$ALL,MATCH($M927,data!$A:$A,0),MATCH(X$2,data!$1:$1,0)),"#data"),IFERROR(W927*INDEX(indexy_SDcast!$A:$ALI,MATCH($R927,indexy_SDcast!$K:$K,0),MATCH(X$2,indexy_SDcast!$2:$2,0)),"#ekrk")),"#popis")</f>
        <v>-17.902130739368538</v>
      </c>
      <c r="Y927" s="362">
        <f>IF($Q927="ekrk",IF($R927="data",IFERROR(INDEX(data!$A:$ALL,MATCH($M927,data!$A:$A,0),MATCH(Y$2,data!$1:$1,0)),"#data"),IFERROR(X927*INDEX(indexy_SDcast!$A:$ALI,MATCH($R927,indexy_SDcast!$K:$K,0),MATCH(Y$2,indexy_SDcast!$2:$2,0)),"#ekrk")),"#popis")</f>
        <v>-24.218861131712991</v>
      </c>
    </row>
    <row r="928" spans="1:25" x14ac:dyDescent="0.25">
      <c r="A928" s="330">
        <v>719014</v>
      </c>
      <c r="B928" s="329">
        <v>-404.19315000000012</v>
      </c>
      <c r="C928" s="157"/>
      <c r="D928" s="330">
        <v>719014</v>
      </c>
      <c r="E928" s="329">
        <v>-404.19315000000012</v>
      </c>
      <c r="F928" s="157"/>
      <c r="G928" s="330">
        <v>719014</v>
      </c>
      <c r="H928" s="329">
        <v>-404.19315000000012</v>
      </c>
      <c r="I928" s="157"/>
      <c r="J928" s="330">
        <v>719014</v>
      </c>
      <c r="K928" s="329">
        <v>-404.19315000000012</v>
      </c>
      <c r="L928" s="157"/>
      <c r="M928" s="360">
        <f t="shared" si="91"/>
        <v>719014</v>
      </c>
      <c r="N928" s="237">
        <f t="shared" si="92"/>
        <v>-404.19315000000012</v>
      </c>
      <c r="O928" s="361"/>
      <c r="P928" s="361"/>
      <c r="Q928" s="361" t="s">
        <v>698</v>
      </c>
      <c r="R928" s="362">
        <v>35</v>
      </c>
      <c r="S928" s="236"/>
      <c r="T928" s="364">
        <f t="shared" si="89"/>
        <v>719014</v>
      </c>
      <c r="U928" s="365">
        <f t="shared" si="90"/>
        <v>-404.19315000000012</v>
      </c>
      <c r="V928" s="365">
        <f>IF($Q928="ekrk",IF($R928="data",IFERROR(INDEX(data!$A:$ALL,MATCH($M928,data!$A:$A,0),MATCH(V$2,data!$1:$1,0)),"#data"),IFERROR(U928*INDEX(indexy_SDcast!$A:$ALI,MATCH($R928,indexy_SDcast!$K:$K,0),MATCH(V$2,indexy_SDcast!$2:$2,0)),"#ekrk")),"#popis")</f>
        <v>-517.46106273475766</v>
      </c>
      <c r="W928" s="365">
        <f>IF($Q928="ekrk",IF($R928="data",IFERROR(INDEX(data!$A:$ALL,MATCH($M928,data!$A:$A,0),MATCH(W$2,data!$1:$1,0)),"#data"),IFERROR(V928*INDEX(indexy_SDcast!$A:$ALI,MATCH($R928,indexy_SDcast!$K:$K,0),MATCH(W$2,indexy_SDcast!$2:$2,0)),"#ekrk")),"#popis")</f>
        <v>-523.27800071755973</v>
      </c>
      <c r="X928" s="365">
        <f>IF($Q928="ekrk",IF($R928="data",IFERROR(INDEX(data!$A:$ALL,MATCH($M928,data!$A:$A,0),MATCH(X$2,data!$1:$1,0)),"#data"),IFERROR(W928*INDEX(indexy_SDcast!$A:$ALI,MATCH($R928,indexy_SDcast!$K:$K,0),MATCH(X$2,indexy_SDcast!$2:$2,0)),"#ekrk")),"#popis")</f>
        <v>-336.11505963169998</v>
      </c>
      <c r="Y928" s="362">
        <f>IF($Q928="ekrk",IF($R928="data",IFERROR(INDEX(data!$A:$ALL,MATCH($M928,data!$A:$A,0),MATCH(Y$2,data!$1:$1,0)),"#data"),IFERROR(X928*INDEX(indexy_SDcast!$A:$ALI,MATCH($R928,indexy_SDcast!$K:$K,0),MATCH(Y$2,indexy_SDcast!$2:$2,0)),"#ekrk")),"#popis")</f>
        <v>-454.71257427453617</v>
      </c>
    </row>
    <row r="929" spans="1:44" s="18" customFormat="1" x14ac:dyDescent="0.25">
      <c r="A929" s="333" t="s">
        <v>755</v>
      </c>
      <c r="B929" s="334">
        <v>-11076.858119999999</v>
      </c>
      <c r="C929" s="164"/>
      <c r="D929" s="333" t="s">
        <v>755</v>
      </c>
      <c r="E929" s="334">
        <v>-11076.858119999999</v>
      </c>
      <c r="F929" s="164"/>
      <c r="G929" s="333" t="s">
        <v>755</v>
      </c>
      <c r="H929" s="334">
        <v>-11076.858119999999</v>
      </c>
      <c r="I929" s="164"/>
      <c r="J929" s="333" t="s">
        <v>755</v>
      </c>
      <c r="K929" s="334">
        <v>-11076.858119999999</v>
      </c>
      <c r="L929" s="164"/>
      <c r="M929" s="358" t="str">
        <f t="shared" si="91"/>
        <v>P5112</v>
      </c>
      <c r="N929" s="239">
        <f t="shared" si="92"/>
        <v>-11076.858119999999</v>
      </c>
      <c r="O929" s="243"/>
      <c r="P929" s="243">
        <f>MATCH(Q929,Q930:Q$1550,0)</f>
        <v>3</v>
      </c>
      <c r="Q929" s="243" t="s">
        <v>697</v>
      </c>
      <c r="R929" s="359"/>
      <c r="S929" s="240"/>
      <c r="T929" s="363" t="str">
        <f t="shared" si="89"/>
        <v>P5112</v>
      </c>
      <c r="U929" s="244">
        <f>SUM(U930:U931)</f>
        <v>-11076.858119999999</v>
      </c>
      <c r="V929" s="244">
        <f>SUM(V930:V931)</f>
        <v>-14180.949812081986</v>
      </c>
      <c r="W929" s="244">
        <f>SUM(W930:W931)</f>
        <v>-14340.362203727756</v>
      </c>
      <c r="X929" s="244">
        <f>SUM(X930:X931)</f>
        <v>-9211.1873433176133</v>
      </c>
      <c r="Y929" s="359">
        <f>SUM(Y930:Y931)</f>
        <v>-12461.33604841892</v>
      </c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8"/>
      <c r="AN929" s="58"/>
      <c r="AO929" s="58"/>
      <c r="AP929" s="58"/>
      <c r="AQ929" s="58"/>
      <c r="AR929" s="58"/>
    </row>
    <row r="930" spans="1:44" x14ac:dyDescent="0.25">
      <c r="A930" s="330">
        <v>712001</v>
      </c>
      <c r="B930" s="329">
        <v>-10834.070129999998</v>
      </c>
      <c r="C930" s="157"/>
      <c r="D930" s="330">
        <v>712001</v>
      </c>
      <c r="E930" s="329">
        <v>-10834.070129999998</v>
      </c>
      <c r="F930" s="157"/>
      <c r="G930" s="330">
        <v>712001</v>
      </c>
      <c r="H930" s="329">
        <v>-10834.070129999998</v>
      </c>
      <c r="I930" s="157"/>
      <c r="J930" s="330">
        <v>712001</v>
      </c>
      <c r="K930" s="329">
        <v>-10834.070129999998</v>
      </c>
      <c r="L930" s="157"/>
      <c r="M930" s="360">
        <f t="shared" si="91"/>
        <v>712001</v>
      </c>
      <c r="N930" s="237">
        <f t="shared" si="92"/>
        <v>-10834.070129999998</v>
      </c>
      <c r="O930" s="361"/>
      <c r="P930" s="361"/>
      <c r="Q930" s="361" t="s">
        <v>698</v>
      </c>
      <c r="R930" s="362">
        <v>35</v>
      </c>
      <c r="S930" s="236"/>
      <c r="T930" s="364">
        <f t="shared" si="89"/>
        <v>712001</v>
      </c>
      <c r="U930" s="365">
        <f>N930</f>
        <v>-10834.070129999998</v>
      </c>
      <c r="V930" s="365">
        <f>IF($Q930="ekrk",IF($R930="data",IFERROR(INDEX(data!$A:$ALL,MATCH($M930,data!$A:$A,0),MATCH(V$2,data!$1:$1,0)),"#data"),IFERROR(U930*INDEX(indexy_SDcast!$A:$ALI,MATCH($R930,indexy_SDcast!$K:$K,0),MATCH(V$2,indexy_SDcast!$2:$2,0)),"#ekrk")),"#popis")</f>
        <v>-13870.124823274939</v>
      </c>
      <c r="W930" s="365">
        <f>IF($Q930="ekrk",IF($R930="data",IFERROR(INDEX(data!$A:$ALL,MATCH($M930,data!$A:$A,0),MATCH(W$2,data!$1:$1,0)),"#data"),IFERROR(V930*INDEX(indexy_SDcast!$A:$ALI,MATCH($R930,indexy_SDcast!$K:$K,0),MATCH(W$2,indexy_SDcast!$2:$2,0)),"#ekrk")),"#popis")</f>
        <v>-14026.043136209084</v>
      </c>
      <c r="X930" s="365">
        <f>IF($Q930="ekrk",IF($R930="data",IFERROR(INDEX(data!$A:$ALL,MATCH($M930,data!$A:$A,0),MATCH(X$2,data!$1:$1,0)),"#data"),IFERROR(W930*INDEX(indexy_SDcast!$A:$ALI,MATCH($R930,indexy_SDcast!$K:$K,0),MATCH(X$2,indexy_SDcast!$2:$2,0)),"#ekrk")),"#popis")</f>
        <v>-9009.2920372326134</v>
      </c>
      <c r="Y930" s="362">
        <f>IF($Q930="ekrk",IF($R930="data",IFERROR(INDEX(data!$A:$ALL,MATCH($M930,data!$A:$A,0),MATCH(Y$2,data!$1:$1,0)),"#data"),IFERROR(X930*INDEX(indexy_SDcast!$A:$ALI,MATCH($R930,indexy_SDcast!$K:$K,0),MATCH(Y$2,indexy_SDcast!$2:$2,0)),"#ekrk")),"#popis")</f>
        <v>-12188.202394531316</v>
      </c>
    </row>
    <row r="931" spans="1:44" x14ac:dyDescent="0.25">
      <c r="A931" s="330">
        <v>712002</v>
      </c>
      <c r="B931" s="329">
        <v>-242.78798999999998</v>
      </c>
      <c r="C931" s="157"/>
      <c r="D931" s="330">
        <v>712002</v>
      </c>
      <c r="E931" s="329">
        <v>-242.78798999999998</v>
      </c>
      <c r="F931" s="157"/>
      <c r="G931" s="330">
        <v>712002</v>
      </c>
      <c r="H931" s="329">
        <v>-242.78798999999998</v>
      </c>
      <c r="I931" s="157"/>
      <c r="J931" s="330">
        <v>712002</v>
      </c>
      <c r="K931" s="329">
        <v>-242.78798999999998</v>
      </c>
      <c r="L931" s="157"/>
      <c r="M931" s="360">
        <f t="shared" si="91"/>
        <v>712002</v>
      </c>
      <c r="N931" s="237">
        <f t="shared" si="92"/>
        <v>-242.78798999999998</v>
      </c>
      <c r="O931" s="361"/>
      <c r="P931" s="361"/>
      <c r="Q931" s="361" t="s">
        <v>698</v>
      </c>
      <c r="R931" s="362">
        <v>35</v>
      </c>
      <c r="S931" s="236"/>
      <c r="T931" s="364">
        <f t="shared" si="89"/>
        <v>712002</v>
      </c>
      <c r="U931" s="365">
        <f>N931</f>
        <v>-242.78798999999998</v>
      </c>
      <c r="V931" s="365">
        <f>IF($Q931="ekrk",IF($R931="data",IFERROR(INDEX(data!$A:$ALL,MATCH($M931,data!$A:$A,0),MATCH(V$2,data!$1:$1,0)),"#data"),IFERROR(U931*INDEX(indexy_SDcast!$A:$ALI,MATCH($R931,indexy_SDcast!$K:$K,0),MATCH(V$2,indexy_SDcast!$2:$2,0)),"#ekrk")),"#popis")</f>
        <v>-310.82498880704844</v>
      </c>
      <c r="W931" s="365">
        <f>IF($Q931="ekrk",IF($R931="data",IFERROR(INDEX(data!$A:$ALL,MATCH($M931,data!$A:$A,0),MATCH(W$2,data!$1:$1,0)),"#data"),IFERROR(V931*INDEX(indexy_SDcast!$A:$ALI,MATCH($R931,indexy_SDcast!$K:$K,0),MATCH(W$2,indexy_SDcast!$2:$2,0)),"#ekrk")),"#popis")</f>
        <v>-314.31906751867223</v>
      </c>
      <c r="X931" s="365">
        <f>IF($Q931="ekrk",IF($R931="data",IFERROR(INDEX(data!$A:$ALL,MATCH($M931,data!$A:$A,0),MATCH(X$2,data!$1:$1,0)),"#data"),IFERROR(W931*INDEX(indexy_SDcast!$A:$ALI,MATCH($R931,indexy_SDcast!$K:$K,0),MATCH(X$2,indexy_SDcast!$2:$2,0)),"#ekrk")),"#popis")</f>
        <v>-201.89530608500056</v>
      </c>
      <c r="Y931" s="362">
        <f>IF($Q931="ekrk",IF($R931="data",IFERROR(INDEX(data!$A:$ALL,MATCH($M931,data!$A:$A,0),MATCH(Y$2,data!$1:$1,0)),"#data"),IFERROR(X931*INDEX(indexy_SDcast!$A:$ALI,MATCH($R931,indexy_SDcast!$K:$K,0),MATCH(Y$2,indexy_SDcast!$2:$2,0)),"#ekrk")),"#popis")</f>
        <v>-273.13365388760371</v>
      </c>
    </row>
    <row r="932" spans="1:44" s="18" customFormat="1" x14ac:dyDescent="0.25">
      <c r="A932" s="333" t="s">
        <v>756</v>
      </c>
      <c r="B932" s="334">
        <v>75.672190000000001</v>
      </c>
      <c r="C932" s="164"/>
      <c r="D932" s="333" t="s">
        <v>756</v>
      </c>
      <c r="E932" s="334">
        <v>75.672190000000001</v>
      </c>
      <c r="F932" s="164"/>
      <c r="G932" s="333" t="s">
        <v>756</v>
      </c>
      <c r="H932" s="334">
        <v>75.672190000000001</v>
      </c>
      <c r="I932" s="164"/>
      <c r="J932" s="333" t="s">
        <v>756</v>
      </c>
      <c r="K932" s="334">
        <v>75.672190000000001</v>
      </c>
      <c r="L932" s="164"/>
      <c r="M932" s="358" t="str">
        <f t="shared" si="91"/>
        <v>P5113</v>
      </c>
      <c r="N932" s="239">
        <f t="shared" si="92"/>
        <v>75.672190000000001</v>
      </c>
      <c r="O932" s="243"/>
      <c r="P932" s="243">
        <f>MATCH(Q932,Q933:Q$1550,0)</f>
        <v>3</v>
      </c>
      <c r="Q932" s="243" t="s">
        <v>697</v>
      </c>
      <c r="R932" s="359"/>
      <c r="S932" s="240"/>
      <c r="T932" s="363" t="str">
        <f t="shared" si="89"/>
        <v>P5113</v>
      </c>
      <c r="U932" s="244">
        <f>SUM(U933:U934)</f>
        <v>75.672190000000001</v>
      </c>
      <c r="V932" s="244">
        <f>SUM(V933:V934)</f>
        <v>96.877969992481297</v>
      </c>
      <c r="W932" s="244">
        <f>SUM(W933:W934)</f>
        <v>97.967004866656708</v>
      </c>
      <c r="X932" s="244">
        <f>SUM(X933:X934)</f>
        <v>62.926753346293282</v>
      </c>
      <c r="Y932" s="359">
        <f>SUM(Y933:Y934)</f>
        <v>85.130330179746494</v>
      </c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8"/>
      <c r="AN932" s="58"/>
      <c r="AO932" s="58"/>
      <c r="AP932" s="58"/>
      <c r="AQ932" s="58"/>
      <c r="AR932" s="58"/>
    </row>
    <row r="933" spans="1:44" x14ac:dyDescent="0.25">
      <c r="A933" s="330">
        <v>239001</v>
      </c>
      <c r="B933" s="329">
        <v>3.5265399999999998</v>
      </c>
      <c r="C933" s="157"/>
      <c r="D933" s="330">
        <v>239001</v>
      </c>
      <c r="E933" s="329">
        <v>3.5265399999999998</v>
      </c>
      <c r="F933" s="157"/>
      <c r="G933" s="330">
        <v>239001</v>
      </c>
      <c r="H933" s="329">
        <v>3.5265399999999998</v>
      </c>
      <c r="I933" s="157"/>
      <c r="J933" s="330">
        <v>239001</v>
      </c>
      <c r="K933" s="329">
        <v>3.5265399999999998</v>
      </c>
      <c r="L933" s="157"/>
      <c r="M933" s="360">
        <f t="shared" si="91"/>
        <v>239001</v>
      </c>
      <c r="N933" s="237">
        <f t="shared" si="92"/>
        <v>3.5265399999999998</v>
      </c>
      <c r="O933" s="361"/>
      <c r="P933" s="361"/>
      <c r="Q933" s="361" t="s">
        <v>698</v>
      </c>
      <c r="R933" s="362">
        <v>35</v>
      </c>
      <c r="S933" s="236"/>
      <c r="T933" s="364">
        <f t="shared" si="89"/>
        <v>239001</v>
      </c>
      <c r="U933" s="365">
        <f>N933</f>
        <v>3.5265399999999998</v>
      </c>
      <c r="V933" s="365">
        <f>IF($Q933="ekrk",IF($R933="data",IFERROR(INDEX(data!$A:$ALL,MATCH($M933,data!$A:$A,0),MATCH(V$2,data!$1:$1,0)),"#data"),IFERROR(U933*INDEX(indexy_SDcast!$A:$ALI,MATCH($R933,indexy_SDcast!$K:$K,0),MATCH(V$2,indexy_SDcast!$2:$2,0)),"#ekrk")),"#popis")</f>
        <v>4.514789862660046</v>
      </c>
      <c r="W933" s="365">
        <f>IF($Q933="ekrk",IF($R933="data",IFERROR(INDEX(data!$A:$ALL,MATCH($M933,data!$A:$A,0),MATCH(W$2,data!$1:$1,0)),"#data"),IFERROR(V933*INDEX(indexy_SDcast!$A:$ALI,MATCH($R933,indexy_SDcast!$K:$K,0),MATCH(W$2,indexy_SDcast!$2:$2,0)),"#ekrk")),"#popis")</f>
        <v>4.5655419955793466</v>
      </c>
      <c r="X933" s="365">
        <f>IF($Q933="ekrk",IF($R933="data",IFERROR(INDEX(data!$A:$ALL,MATCH($M933,data!$A:$A,0),MATCH(X$2,data!$1:$1,0)),"#data"),IFERROR(W933*INDEX(indexy_SDcast!$A:$ALI,MATCH($R933,indexy_SDcast!$K:$K,0),MATCH(X$2,indexy_SDcast!$2:$2,0)),"#ekrk")),"#popis")</f>
        <v>2.9325662802389765</v>
      </c>
      <c r="Y933" s="362">
        <f>IF($Q933="ekrk",IF($R933="data",IFERROR(INDEX(data!$A:$ALL,MATCH($M933,data!$A:$A,0),MATCH(Y$2,data!$1:$1,0)),"#data"),IFERROR(X933*INDEX(indexy_SDcast!$A:$ALI,MATCH($R933,indexy_SDcast!$K:$K,0),MATCH(Y$2,indexy_SDcast!$2:$2,0)),"#ekrk")),"#popis")</f>
        <v>3.9673163231047384</v>
      </c>
    </row>
    <row r="934" spans="1:44" x14ac:dyDescent="0.25">
      <c r="A934" s="330">
        <v>239002</v>
      </c>
      <c r="B934" s="329">
        <v>72.145650000000003</v>
      </c>
      <c r="C934" s="157"/>
      <c r="D934" s="330">
        <v>239002</v>
      </c>
      <c r="E934" s="329">
        <v>72.145650000000003</v>
      </c>
      <c r="F934" s="157"/>
      <c r="G934" s="330">
        <v>239002</v>
      </c>
      <c r="H934" s="329">
        <v>72.145650000000003</v>
      </c>
      <c r="I934" s="157"/>
      <c r="J934" s="330">
        <v>239002</v>
      </c>
      <c r="K934" s="329">
        <v>72.145650000000003</v>
      </c>
      <c r="L934" s="157"/>
      <c r="M934" s="360">
        <f t="shared" si="91"/>
        <v>239002</v>
      </c>
      <c r="N934" s="237">
        <f t="shared" si="92"/>
        <v>72.145650000000003</v>
      </c>
      <c r="O934" s="361"/>
      <c r="P934" s="361"/>
      <c r="Q934" s="361" t="s">
        <v>698</v>
      </c>
      <c r="R934" s="362">
        <v>35</v>
      </c>
      <c r="S934" s="236"/>
      <c r="T934" s="364">
        <f t="shared" si="89"/>
        <v>239002</v>
      </c>
      <c r="U934" s="365">
        <f>N934</f>
        <v>72.145650000000003</v>
      </c>
      <c r="V934" s="365">
        <f>IF($Q934="ekrk",IF($R934="data",IFERROR(INDEX(data!$A:$ALL,MATCH($M934,data!$A:$A,0),MATCH(V$2,data!$1:$1,0)),"#data"),IFERROR(U934*INDEX(indexy_SDcast!$A:$ALI,MATCH($R934,indexy_SDcast!$K:$K,0),MATCH(V$2,indexy_SDcast!$2:$2,0)),"#ekrk")),"#popis")</f>
        <v>92.363180129821245</v>
      </c>
      <c r="W934" s="365">
        <f>IF($Q934="ekrk",IF($R934="data",IFERROR(INDEX(data!$A:$ALL,MATCH($M934,data!$A:$A,0),MATCH(W$2,data!$1:$1,0)),"#data"),IFERROR(V934*INDEX(indexy_SDcast!$A:$ALI,MATCH($R934,indexy_SDcast!$K:$K,0),MATCH(W$2,indexy_SDcast!$2:$2,0)),"#ekrk")),"#popis")</f>
        <v>93.401462871077356</v>
      </c>
      <c r="X934" s="365">
        <f>IF($Q934="ekrk",IF($R934="data",IFERROR(INDEX(data!$A:$ALL,MATCH($M934,data!$A:$A,0),MATCH(X$2,data!$1:$1,0)),"#data"),IFERROR(W934*INDEX(indexy_SDcast!$A:$ALI,MATCH($R934,indexy_SDcast!$K:$K,0),MATCH(X$2,indexy_SDcast!$2:$2,0)),"#ekrk")),"#popis")</f>
        <v>59.994187066054309</v>
      </c>
      <c r="Y934" s="362">
        <f>IF($Q934="ekrk",IF($R934="data",IFERROR(INDEX(data!$A:$ALL,MATCH($M934,data!$A:$A,0),MATCH(Y$2,data!$1:$1,0)),"#data"),IFERROR(X934*INDEX(indexy_SDcast!$A:$ALI,MATCH($R934,indexy_SDcast!$K:$K,0),MATCH(Y$2,indexy_SDcast!$2:$2,0)),"#ekrk")),"#popis")</f>
        <v>81.163013856641754</v>
      </c>
    </row>
    <row r="935" spans="1:44" s="18" customFormat="1" x14ac:dyDescent="0.25">
      <c r="A935" s="333" t="s">
        <v>757</v>
      </c>
      <c r="B935" s="334">
        <v>-95212.669440000042</v>
      </c>
      <c r="C935" s="164"/>
      <c r="D935" s="333" t="s">
        <v>757</v>
      </c>
      <c r="E935" s="334">
        <v>-95212.669440000042</v>
      </c>
      <c r="F935" s="164"/>
      <c r="G935" s="333" t="s">
        <v>757</v>
      </c>
      <c r="H935" s="334">
        <v>-95212.669440000042</v>
      </c>
      <c r="I935" s="164"/>
      <c r="J935" s="333" t="s">
        <v>757</v>
      </c>
      <c r="K935" s="334">
        <v>-95212.669440000042</v>
      </c>
      <c r="L935" s="164"/>
      <c r="M935" s="358" t="str">
        <f t="shared" si="91"/>
        <v>P5121</v>
      </c>
      <c r="N935" s="239">
        <f t="shared" si="92"/>
        <v>-95212.669440000042</v>
      </c>
      <c r="O935" s="243"/>
      <c r="P935" s="243">
        <f>MATCH(Q935,Q936:Q$1550,0)</f>
        <v>4</v>
      </c>
      <c r="Q935" s="243" t="s">
        <v>697</v>
      </c>
      <c r="R935" s="359"/>
      <c r="S935" s="240"/>
      <c r="T935" s="363" t="str">
        <f t="shared" si="89"/>
        <v>P5121</v>
      </c>
      <c r="U935" s="244">
        <f>SUM(U936:U938)</f>
        <v>-95212.669440000042</v>
      </c>
      <c r="V935" s="244">
        <f>SUM(V936:V938)</f>
        <v>-121894.31986721096</v>
      </c>
      <c r="W935" s="244">
        <f>SUM(W936:W938)</f>
        <v>-123264.57117728268</v>
      </c>
      <c r="X935" s="244">
        <f>SUM(X936:X938)</f>
        <v>-79176.037660506947</v>
      </c>
      <c r="Y935" s="359">
        <f>SUM(Y936:Y938)</f>
        <v>-107113.14138948881</v>
      </c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8"/>
      <c r="AN935" s="58"/>
      <c r="AO935" s="58"/>
      <c r="AP935" s="58"/>
      <c r="AQ935" s="58"/>
      <c r="AR935" s="58"/>
    </row>
    <row r="936" spans="1:44" x14ac:dyDescent="0.25">
      <c r="A936" s="330">
        <v>711003</v>
      </c>
      <c r="B936" s="329">
        <v>-94418.863890000037</v>
      </c>
      <c r="C936" s="157"/>
      <c r="D936" s="330">
        <v>711003</v>
      </c>
      <c r="E936" s="329">
        <v>-94418.863890000037</v>
      </c>
      <c r="F936" s="157"/>
      <c r="G936" s="330">
        <v>711003</v>
      </c>
      <c r="H936" s="329">
        <v>-94418.863890000037</v>
      </c>
      <c r="I936" s="157"/>
      <c r="J936" s="330">
        <v>711003</v>
      </c>
      <c r="K936" s="329">
        <v>-94418.863890000037</v>
      </c>
      <c r="L936" s="157"/>
      <c r="M936" s="360">
        <f t="shared" si="91"/>
        <v>711003</v>
      </c>
      <c r="N936" s="237">
        <f t="shared" si="92"/>
        <v>-94418.863890000037</v>
      </c>
      <c r="O936" s="361"/>
      <c r="P936" s="361"/>
      <c r="Q936" s="361" t="s">
        <v>698</v>
      </c>
      <c r="R936" s="362">
        <v>35</v>
      </c>
      <c r="S936" s="236"/>
      <c r="T936" s="364">
        <f t="shared" si="89"/>
        <v>711003</v>
      </c>
      <c r="U936" s="365">
        <f>N936</f>
        <v>-94418.863890000037</v>
      </c>
      <c r="V936" s="365">
        <f>IF($Q936="ekrk",IF($R936="data",IFERROR(INDEX(data!$A:$ALL,MATCH($M936,data!$A:$A,0),MATCH(V$2,data!$1:$1,0)),"#data"),IFERROR(U936*INDEX(indexy_SDcast!$A:$ALI,MATCH($R936,indexy_SDcast!$K:$K,0),MATCH(V$2,indexy_SDcast!$2:$2,0)),"#ekrk")),"#popis")</f>
        <v>-120878.06448656498</v>
      </c>
      <c r="W936" s="365">
        <f>IF($Q936="ekrk",IF($R936="data",IFERROR(INDEX(data!$A:$ALL,MATCH($M936,data!$A:$A,0),MATCH(W$2,data!$1:$1,0)),"#data"),IFERROR(V936*INDEX(indexy_SDcast!$A:$ALI,MATCH($R936,indexy_SDcast!$K:$K,0),MATCH(W$2,indexy_SDcast!$2:$2,0)),"#ekrk")),"#popis")</f>
        <v>-122236.89175925567</v>
      </c>
      <c r="X936" s="365">
        <f>IF($Q936="ekrk",IF($R936="data",IFERROR(INDEX(data!$A:$ALL,MATCH($M936,data!$A:$A,0),MATCH(X$2,data!$1:$1,0)),"#data"),IFERROR(W936*INDEX(indexy_SDcast!$A:$ALI,MATCH($R936,indexy_SDcast!$K:$K,0),MATCH(X$2,indexy_SDcast!$2:$2,0)),"#ekrk")),"#popis")</f>
        <v>-78515.932461360891</v>
      </c>
      <c r="Y936" s="362">
        <f>IF($Q936="ekrk",IF($R936="data",IFERROR(INDEX(data!$A:$ALL,MATCH($M936,data!$A:$A,0),MATCH(Y$2,data!$1:$1,0)),"#data"),IFERROR(X936*INDEX(indexy_SDcast!$A:$ALI,MATCH($R936,indexy_SDcast!$K:$K,0),MATCH(Y$2,indexy_SDcast!$2:$2,0)),"#ekrk")),"#popis")</f>
        <v>-106220.11941444071</v>
      </c>
    </row>
    <row r="937" spans="1:44" x14ac:dyDescent="0.25">
      <c r="A937" s="330">
        <v>711005</v>
      </c>
      <c r="B937" s="329">
        <v>-31.157580000000003</v>
      </c>
      <c r="C937" s="157"/>
      <c r="D937" s="330">
        <v>711005</v>
      </c>
      <c r="E937" s="329">
        <v>-31.157580000000003</v>
      </c>
      <c r="F937" s="157"/>
      <c r="G937" s="330">
        <v>711005</v>
      </c>
      <c r="H937" s="329">
        <v>-31.157580000000003</v>
      </c>
      <c r="I937" s="157"/>
      <c r="J937" s="330">
        <v>711005</v>
      </c>
      <c r="K937" s="329">
        <v>-31.157580000000003</v>
      </c>
      <c r="L937" s="157"/>
      <c r="M937" s="360">
        <f t="shared" si="91"/>
        <v>711005</v>
      </c>
      <c r="N937" s="237">
        <f t="shared" si="92"/>
        <v>-31.157580000000003</v>
      </c>
      <c r="O937" s="361"/>
      <c r="P937" s="361"/>
      <c r="Q937" s="361" t="s">
        <v>698</v>
      </c>
      <c r="R937" s="362">
        <v>35</v>
      </c>
      <c r="S937" s="236"/>
      <c r="T937" s="364">
        <f t="shared" si="89"/>
        <v>711005</v>
      </c>
      <c r="U937" s="365">
        <f>N937</f>
        <v>-31.157580000000003</v>
      </c>
      <c r="V937" s="365">
        <f>IF($Q937="ekrk",IF($R937="data",IFERROR(INDEX(data!$A:$ALL,MATCH($M937,data!$A:$A,0),MATCH(V$2,data!$1:$1,0)),"#data"),IFERROR(U937*INDEX(indexy_SDcast!$A:$ALI,MATCH($R937,indexy_SDcast!$K:$K,0),MATCH(V$2,indexy_SDcast!$2:$2,0)),"#ekrk")),"#popis")</f>
        <v>-39.888935423678568</v>
      </c>
      <c r="W937" s="365">
        <f>IF($Q937="ekrk",IF($R937="data",IFERROR(INDEX(data!$A:$ALL,MATCH($M937,data!$A:$A,0),MATCH(W$2,data!$1:$1,0)),"#data"),IFERROR(V937*INDEX(indexy_SDcast!$A:$ALI,MATCH($R937,indexy_SDcast!$K:$K,0),MATCH(W$2,indexy_SDcast!$2:$2,0)),"#ekrk")),"#popis")</f>
        <v>-40.337339139956775</v>
      </c>
      <c r="X937" s="365">
        <f>IF($Q937="ekrk",IF($R937="data",IFERROR(INDEX(data!$A:$ALL,MATCH($M937,data!$A:$A,0),MATCH(X$2,data!$1:$1,0)),"#data"),IFERROR(W937*INDEX(indexy_SDcast!$A:$ALI,MATCH($R937,indexy_SDcast!$K:$K,0),MATCH(X$2,indexy_SDcast!$2:$2,0)),"#ekrk")),"#popis")</f>
        <v>-25.909721279738314</v>
      </c>
      <c r="Y937" s="362">
        <f>IF($Q937="ekrk",IF($R937="data",IFERROR(INDEX(data!$A:$ALL,MATCH($M937,data!$A:$A,0),MATCH(Y$2,data!$1:$1,0)),"#data"),IFERROR(X937*INDEX(indexy_SDcast!$A:$ALI,MATCH($R937,indexy_SDcast!$K:$K,0),MATCH(Y$2,indexy_SDcast!$2:$2,0)),"#ekrk")),"#popis")</f>
        <v>-35.051913695135106</v>
      </c>
    </row>
    <row r="938" spans="1:44" x14ac:dyDescent="0.25">
      <c r="A938" s="330">
        <v>718006</v>
      </c>
      <c r="B938" s="329">
        <v>-762.64796999999999</v>
      </c>
      <c r="C938" s="157"/>
      <c r="D938" s="330">
        <v>718006</v>
      </c>
      <c r="E938" s="329">
        <v>-762.64796999999999</v>
      </c>
      <c r="F938" s="157"/>
      <c r="G938" s="330">
        <v>718006</v>
      </c>
      <c r="H938" s="329">
        <v>-762.64796999999999</v>
      </c>
      <c r="I938" s="157"/>
      <c r="J938" s="330">
        <v>718006</v>
      </c>
      <c r="K938" s="329">
        <v>-762.64796999999999</v>
      </c>
      <c r="L938" s="157"/>
      <c r="M938" s="360">
        <f t="shared" si="91"/>
        <v>718006</v>
      </c>
      <c r="N938" s="237">
        <f t="shared" si="92"/>
        <v>-762.64796999999999</v>
      </c>
      <c r="O938" s="361"/>
      <c r="P938" s="361"/>
      <c r="Q938" s="361" t="s">
        <v>698</v>
      </c>
      <c r="R938" s="362">
        <v>35</v>
      </c>
      <c r="S938" s="236"/>
      <c r="T938" s="364">
        <f t="shared" si="89"/>
        <v>718006</v>
      </c>
      <c r="U938" s="365">
        <f>N938</f>
        <v>-762.64796999999999</v>
      </c>
      <c r="V938" s="365">
        <f>IF($Q938="ekrk",IF($R938="data",IFERROR(INDEX(data!$A:$ALL,MATCH($M938,data!$A:$A,0),MATCH(V$2,data!$1:$1,0)),"#data"),IFERROR(U938*INDEX(indexy_SDcast!$A:$ALI,MATCH($R938,indexy_SDcast!$K:$K,0),MATCH(V$2,indexy_SDcast!$2:$2,0)),"#ekrk")),"#popis")</f>
        <v>-976.36644522230381</v>
      </c>
      <c r="W938" s="365">
        <f>IF($Q938="ekrk",IF($R938="data",IFERROR(INDEX(data!$A:$ALL,MATCH($M938,data!$A:$A,0),MATCH(W$2,data!$1:$1,0)),"#data"),IFERROR(V938*INDEX(indexy_SDcast!$A:$ALI,MATCH($R938,indexy_SDcast!$K:$K,0),MATCH(W$2,indexy_SDcast!$2:$2,0)),"#ekrk")),"#popis")</f>
        <v>-987.34207888705021</v>
      </c>
      <c r="X938" s="365">
        <f>IF($Q938="ekrk",IF($R938="data",IFERROR(INDEX(data!$A:$ALL,MATCH($M938,data!$A:$A,0),MATCH(X$2,data!$1:$1,0)),"#data"),IFERROR(W938*INDEX(indexy_SDcast!$A:$ALI,MATCH($R938,indexy_SDcast!$K:$K,0),MATCH(X$2,indexy_SDcast!$2:$2,0)),"#ekrk")),"#popis")</f>
        <v>-634.19547786632415</v>
      </c>
      <c r="Y938" s="362">
        <f>IF($Q938="ekrk",IF($R938="data",IFERROR(INDEX(data!$A:$ALL,MATCH($M938,data!$A:$A,0),MATCH(Y$2,data!$1:$1,0)),"#data"),IFERROR(X938*INDEX(indexy_SDcast!$A:$ALI,MATCH($R938,indexy_SDcast!$K:$K,0),MATCH(Y$2,indexy_SDcast!$2:$2,0)),"#ekrk")),"#popis")</f>
        <v>-857.97006135296726</v>
      </c>
    </row>
    <row r="939" spans="1:44" s="18" customFormat="1" x14ac:dyDescent="0.25">
      <c r="A939" s="333" t="s">
        <v>758</v>
      </c>
      <c r="B939" s="334">
        <v>-0.93262999999999996</v>
      </c>
      <c r="C939" s="164"/>
      <c r="D939" s="333" t="s">
        <v>758</v>
      </c>
      <c r="E939" s="334">
        <v>-0.93262999999999996</v>
      </c>
      <c r="F939" s="164"/>
      <c r="G939" s="333" t="s">
        <v>758</v>
      </c>
      <c r="H939" s="334">
        <v>-0.93262999999999996</v>
      </c>
      <c r="I939" s="164"/>
      <c r="J939" s="333" t="s">
        <v>758</v>
      </c>
      <c r="K939" s="334">
        <v>-0.93262999999999996</v>
      </c>
      <c r="L939" s="164"/>
      <c r="M939" s="358" t="str">
        <f t="shared" si="91"/>
        <v>P5132</v>
      </c>
      <c r="N939" s="239">
        <f t="shared" si="92"/>
        <v>-0.93262999999999996</v>
      </c>
      <c r="O939" s="243"/>
      <c r="P939" s="243">
        <f>MATCH(Q939,Q940:Q$1550,0)</f>
        <v>4</v>
      </c>
      <c r="Q939" s="243" t="s">
        <v>697</v>
      </c>
      <c r="R939" s="359"/>
      <c r="S939" s="240"/>
      <c r="T939" s="363" t="str">
        <f t="shared" si="89"/>
        <v>P5132</v>
      </c>
      <c r="U939" s="244">
        <f>SUM(U940:U940)</f>
        <v>-0.93262999999999996</v>
      </c>
      <c r="V939" s="244">
        <f>SUM(V940:V940)</f>
        <v>-1.1939829038129834</v>
      </c>
      <c r="W939" s="244">
        <f>SUM(W940:W940)</f>
        <v>-1.2074048306093694</v>
      </c>
      <c r="X939" s="244">
        <f>SUM(X940:X940)</f>
        <v>-0.77554750263410499</v>
      </c>
      <c r="Y939" s="359">
        <f>SUM(Y940:Y940)</f>
        <v>-1.0491978603438985</v>
      </c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8"/>
      <c r="AN939" s="58"/>
      <c r="AO939" s="58"/>
      <c r="AP939" s="58"/>
      <c r="AQ939" s="58"/>
      <c r="AR939" s="58"/>
    </row>
    <row r="940" spans="1:44" x14ac:dyDescent="0.25">
      <c r="A940" s="369">
        <v>233001</v>
      </c>
      <c r="B940" s="370">
        <v>-0.93262999999999996</v>
      </c>
      <c r="C940" s="157"/>
      <c r="D940" s="369">
        <v>233001</v>
      </c>
      <c r="E940" s="370">
        <v>-0.93262999999999996</v>
      </c>
      <c r="F940" s="157"/>
      <c r="G940" s="369">
        <v>233001</v>
      </c>
      <c r="H940" s="370">
        <v>-0.93262999999999996</v>
      </c>
      <c r="I940" s="157"/>
      <c r="J940" s="369">
        <v>233001</v>
      </c>
      <c r="K940" s="370">
        <v>-0.93262999999999996</v>
      </c>
      <c r="L940" s="157"/>
      <c r="M940" s="371">
        <f t="shared" si="91"/>
        <v>233001</v>
      </c>
      <c r="N940" s="372">
        <f t="shared" si="92"/>
        <v>-0.93262999999999996</v>
      </c>
      <c r="O940" s="373"/>
      <c r="P940" s="373"/>
      <c r="Q940" s="373" t="s">
        <v>698</v>
      </c>
      <c r="R940" s="368">
        <v>35</v>
      </c>
      <c r="S940" s="236"/>
      <c r="T940" s="366">
        <f t="shared" si="89"/>
        <v>233001</v>
      </c>
      <c r="U940" s="367">
        <f>N940</f>
        <v>-0.93262999999999996</v>
      </c>
      <c r="V940" s="367">
        <f>IF($Q940="ekrk",IF($R940="data",IFERROR(INDEX(data!$A:$ALL,MATCH($M940,data!$A:$A,0),MATCH(V$2,data!$1:$1,0)),"#data"),IFERROR(U940*INDEX(indexy_SDcast!$A:$ALI,MATCH($R940,indexy_SDcast!$K:$K,0),MATCH(V$2,indexy_SDcast!$2:$2,0)),"#ekrk")),"#popis")</f>
        <v>-1.1939829038129834</v>
      </c>
      <c r="W940" s="367">
        <f>IF($Q940="ekrk",IF($R940="data",IFERROR(INDEX(data!$A:$ALL,MATCH($M940,data!$A:$A,0),MATCH(W$2,data!$1:$1,0)),"#data"),IFERROR(V940*INDEX(indexy_SDcast!$A:$ALI,MATCH($R940,indexy_SDcast!$K:$K,0),MATCH(W$2,indexy_SDcast!$2:$2,0)),"#ekrk")),"#popis")</f>
        <v>-1.2074048306093694</v>
      </c>
      <c r="X940" s="367">
        <f>IF($Q940="ekrk",IF($R940="data",IFERROR(INDEX(data!$A:$ALL,MATCH($M940,data!$A:$A,0),MATCH(X$2,data!$1:$1,0)),"#data"),IFERROR(W940*INDEX(indexy_SDcast!$A:$ALI,MATCH($R940,indexy_SDcast!$K:$K,0),MATCH(X$2,indexy_SDcast!$2:$2,0)),"#ekrk")),"#popis")</f>
        <v>-0.77554750263410499</v>
      </c>
      <c r="Y940" s="368">
        <f>IF($Q940="ekrk",IF($R940="data",IFERROR(INDEX(data!$A:$ALL,MATCH($M940,data!$A:$A,0),MATCH(Y$2,data!$1:$1,0)),"#data"),IFERROR(X940*INDEX(indexy_SDcast!$A:$ALI,MATCH($R940,indexy_SDcast!$K:$K,0),MATCH(Y$2,indexy_SDcast!$2:$2,0)),"#ekrk")),"#popis")</f>
        <v>-1.0491978603438985</v>
      </c>
    </row>
    <row r="941" spans="1:44" x14ac:dyDescent="0.25">
      <c r="A941" s="157"/>
      <c r="B941" s="157"/>
      <c r="C941" s="157"/>
      <c r="D941" s="157"/>
      <c r="E941" s="157"/>
      <c r="F941" s="157"/>
      <c r="G941" s="157"/>
      <c r="H941" s="157"/>
      <c r="I941" s="157"/>
      <c r="J941" s="160"/>
      <c r="K941" s="160"/>
      <c r="L941" s="157"/>
      <c r="M941" s="160"/>
      <c r="N941" s="160"/>
      <c r="O941" s="236"/>
      <c r="P941" s="236"/>
      <c r="Q941" s="236"/>
      <c r="R941" s="238"/>
      <c r="S941" s="236"/>
      <c r="T941" s="236"/>
      <c r="U941" s="238"/>
      <c r="V941" s="238"/>
      <c r="W941" s="238"/>
      <c r="X941" s="238"/>
      <c r="Y941" s="238"/>
    </row>
    <row r="942" spans="1:44" x14ac:dyDescent="0.25">
      <c r="A942" s="331" t="s">
        <v>1107</v>
      </c>
      <c r="B942" s="341" t="s">
        <v>1202</v>
      </c>
      <c r="C942" s="157"/>
      <c r="D942" s="331" t="s">
        <v>1107</v>
      </c>
      <c r="E942" s="341" t="s">
        <v>1202</v>
      </c>
      <c r="F942" s="157"/>
      <c r="G942" s="331" t="s">
        <v>1107</v>
      </c>
      <c r="H942" s="341" t="s">
        <v>1202</v>
      </c>
      <c r="I942" s="157"/>
      <c r="J942" s="331" t="s">
        <v>1107</v>
      </c>
      <c r="K942" s="341" t="s">
        <v>1202</v>
      </c>
      <c r="L942" s="157"/>
      <c r="M942" s="331" t="str">
        <f t="shared" si="91"/>
        <v>Časť 7</v>
      </c>
      <c r="N942" s="459" t="str">
        <f t="shared" si="92"/>
        <v>DD starostlivosť</v>
      </c>
      <c r="O942" s="459"/>
      <c r="P942" s="459"/>
      <c r="Q942" s="459"/>
      <c r="R942" s="460"/>
      <c r="S942" s="236"/>
      <c r="T942" s="331" t="str">
        <f t="shared" ref="T942:T971" si="93">M942</f>
        <v>Časť 7</v>
      </c>
      <c r="U942" s="459" t="str">
        <f>N942</f>
        <v>DD starostlivosť</v>
      </c>
      <c r="V942" s="459"/>
      <c r="W942" s="459"/>
      <c r="X942" s="459"/>
      <c r="Y942" s="460"/>
    </row>
    <row r="943" spans="1:44" s="18" customFormat="1" x14ac:dyDescent="0.25">
      <c r="A943" s="333" t="s">
        <v>696</v>
      </c>
      <c r="B943" s="334">
        <v>-98106.556519317804</v>
      </c>
      <c r="C943" s="164"/>
      <c r="D943" s="333" t="s">
        <v>696</v>
      </c>
      <c r="E943" s="334">
        <v>-98106.556519317804</v>
      </c>
      <c r="F943" s="164"/>
      <c r="G943" s="333" t="s">
        <v>696</v>
      </c>
      <c r="H943" s="334">
        <v>-98106.556519317804</v>
      </c>
      <c r="I943" s="164"/>
      <c r="J943" s="333" t="s">
        <v>696</v>
      </c>
      <c r="K943" s="334">
        <v>-98106.556519317804</v>
      </c>
      <c r="L943" s="164"/>
      <c r="M943" s="358" t="str">
        <f t="shared" si="91"/>
        <v>D11PAY</v>
      </c>
      <c r="N943" s="239">
        <f t="shared" si="92"/>
        <v>-98106.556519317804</v>
      </c>
      <c r="O943" s="243"/>
      <c r="P943" s="243">
        <f>MATCH(Q943,Q944:Q$1550,0)</f>
        <v>6</v>
      </c>
      <c r="Q943" s="243" t="s">
        <v>697</v>
      </c>
      <c r="R943" s="359" t="str">
        <f>IF(Q943="ekrk",INDEX(indexy_SDcast!$A:$C,MATCH($M943,indexy_SDcast!$A:$A,0),2),"")</f>
        <v/>
      </c>
      <c r="S943" s="240"/>
      <c r="T943" s="363" t="str">
        <f t="shared" si="93"/>
        <v>D11PAY</v>
      </c>
      <c r="U943" s="244">
        <f>SUM(U944:U948)</f>
        <v>-98106.556519317804</v>
      </c>
      <c r="V943" s="244">
        <f>SUM(V944:V948)</f>
        <v>-105284.91488604539</v>
      </c>
      <c r="W943" s="244">
        <f>SUM(W944:W948)</f>
        <v>-112914.21254021327</v>
      </c>
      <c r="X943" s="244">
        <f>SUM(X944:X948)</f>
        <v>-120212.62551393318</v>
      </c>
      <c r="Y943" s="359">
        <f>SUM(Y944:Y948)</f>
        <v>-127889.36734941931</v>
      </c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8"/>
      <c r="AN943" s="58"/>
      <c r="AO943" s="58"/>
      <c r="AP943" s="58"/>
      <c r="AQ943" s="58"/>
      <c r="AR943" s="58"/>
    </row>
    <row r="944" spans="1:44" x14ac:dyDescent="0.25">
      <c r="A944" s="330">
        <v>611000</v>
      </c>
      <c r="B944" s="329">
        <v>-73435.896276162646</v>
      </c>
      <c r="C944" s="157"/>
      <c r="D944" s="330">
        <v>611000</v>
      </c>
      <c r="E944" s="329">
        <v>-73435.896276162646</v>
      </c>
      <c r="F944" s="157"/>
      <c r="G944" s="330">
        <v>611000</v>
      </c>
      <c r="H944" s="329">
        <v>-73435.896276162646</v>
      </c>
      <c r="I944" s="157"/>
      <c r="J944" s="330">
        <v>611000</v>
      </c>
      <c r="K944" s="329">
        <v>-73435.896276162646</v>
      </c>
      <c r="L944" s="157"/>
      <c r="M944" s="360">
        <f t="shared" si="91"/>
        <v>611000</v>
      </c>
      <c r="N944" s="237">
        <f t="shared" si="92"/>
        <v>-73435.896276162646</v>
      </c>
      <c r="O944" s="361"/>
      <c r="P944" s="361"/>
      <c r="Q944" s="361" t="s">
        <v>698</v>
      </c>
      <c r="R944" s="362">
        <v>49</v>
      </c>
      <c r="S944" s="236"/>
      <c r="T944" s="364">
        <f t="shared" si="93"/>
        <v>611000</v>
      </c>
      <c r="U944" s="365">
        <f>N944</f>
        <v>-73435.896276162646</v>
      </c>
      <c r="V944" s="365">
        <f>IF($Q944="ekrk",IF($R944="data",IFERROR(INDEX(data!$A:$ALL,MATCH($M944,data!$A:$A,0),MATCH(V$2,data!$1:$1,0)),"#data"),IFERROR(U944*INDEX(indexy_SDcast!$A:$ALI,MATCH($R944,indexy_SDcast!$K:$K,0),MATCH(V$2,indexy_SDcast!$2:$2,0)),"#ekrk")),"#popis")</f>
        <v>-78809.127170759704</v>
      </c>
      <c r="W944" s="365">
        <f>IF($Q944="ekrk",IF($R944="data",IFERROR(INDEX(data!$A:$ALL,MATCH($M944,data!$A:$A,0),MATCH(W$2,data!$1:$1,0)),"#data"),IFERROR(V944*INDEX(indexy_SDcast!$A:$ALI,MATCH($R944,indexy_SDcast!$K:$K,0),MATCH(W$2,indexy_SDcast!$2:$2,0)),"#ekrk")),"#popis")</f>
        <v>-84519.900548899052</v>
      </c>
      <c r="X944" s="365">
        <f>IF($Q944="ekrk",IF($R944="data",IFERROR(INDEX(data!$A:$ALL,MATCH($M944,data!$A:$A,0),MATCH(X$2,data!$1:$1,0)),"#data"),IFERROR(W944*INDEX(indexy_SDcast!$A:$ALI,MATCH($R944,indexy_SDcast!$K:$K,0),MATCH(X$2,indexy_SDcast!$2:$2,0)),"#ekrk")),"#popis")</f>
        <v>-89982.996157734946</v>
      </c>
      <c r="Y944" s="362">
        <f>IF($Q944="ekrk",IF($R944="data",IFERROR(INDEX(data!$A:$ALL,MATCH($M944,data!$A:$A,0),MATCH(Y$2,data!$1:$1,0)),"#data"),IFERROR(X944*INDEX(indexy_SDcast!$A:$ALI,MATCH($R944,indexy_SDcast!$K:$K,0),MATCH(Y$2,indexy_SDcast!$2:$2,0)),"#ekrk")),"#popis")</f>
        <v>-95729.283023471929</v>
      </c>
    </row>
    <row r="945" spans="1:44" x14ac:dyDescent="0.25">
      <c r="A945" s="330">
        <v>612001</v>
      </c>
      <c r="B945" s="329">
        <v>-8738.587254032851</v>
      </c>
      <c r="C945" s="157"/>
      <c r="D945" s="330">
        <v>612001</v>
      </c>
      <c r="E945" s="329">
        <v>-8738.587254032851</v>
      </c>
      <c r="F945" s="157"/>
      <c r="G945" s="330">
        <v>612001</v>
      </c>
      <c r="H945" s="329">
        <v>-8738.587254032851</v>
      </c>
      <c r="I945" s="157"/>
      <c r="J945" s="330">
        <v>612001</v>
      </c>
      <c r="K945" s="329">
        <v>-8738.587254032851</v>
      </c>
      <c r="L945" s="157"/>
      <c r="M945" s="360">
        <f t="shared" si="91"/>
        <v>612001</v>
      </c>
      <c r="N945" s="237">
        <f t="shared" si="92"/>
        <v>-8738.587254032851</v>
      </c>
      <c r="O945" s="361"/>
      <c r="P945" s="361"/>
      <c r="Q945" s="361" t="s">
        <v>698</v>
      </c>
      <c r="R945" s="362">
        <v>49</v>
      </c>
      <c r="S945" s="236"/>
      <c r="T945" s="364">
        <f t="shared" si="93"/>
        <v>612001</v>
      </c>
      <c r="U945" s="365">
        <f>N945</f>
        <v>-8738.587254032851</v>
      </c>
      <c r="V945" s="365">
        <f>IF($Q945="ekrk",IF($R945="data",IFERROR(INDEX(data!$A:$ALL,MATCH($M945,data!$A:$A,0),MATCH(V$2,data!$1:$1,0)),"#data"),IFERROR(U945*INDEX(indexy_SDcast!$A:$ALI,MATCH($R945,indexy_SDcast!$K:$K,0),MATCH(V$2,indexy_SDcast!$2:$2,0)),"#ekrk")),"#popis")</f>
        <v>-9377.980921019971</v>
      </c>
      <c r="W945" s="365">
        <f>IF($Q945="ekrk",IF($R945="data",IFERROR(INDEX(data!$A:$ALL,MATCH($M945,data!$A:$A,0),MATCH(W$2,data!$1:$1,0)),"#data"),IFERROR(V945*INDEX(indexy_SDcast!$A:$ALI,MATCH($R945,indexy_SDcast!$K:$K,0),MATCH(W$2,indexy_SDcast!$2:$2,0)),"#ekrk")),"#popis")</f>
        <v>-10057.540836312752</v>
      </c>
      <c r="X945" s="365">
        <f>IF($Q945="ekrk",IF($R945="data",IFERROR(INDEX(data!$A:$ALL,MATCH($M945,data!$A:$A,0),MATCH(X$2,data!$1:$1,0)),"#data"),IFERROR(W945*INDEX(indexy_SDcast!$A:$ALI,MATCH($R945,indexy_SDcast!$K:$K,0),MATCH(X$2,indexy_SDcast!$2:$2,0)),"#ekrk")),"#popis")</f>
        <v>-10707.62805626587</v>
      </c>
      <c r="Y945" s="362">
        <f>IF($Q945="ekrk",IF($R945="data",IFERROR(INDEX(data!$A:$ALL,MATCH($M945,data!$A:$A,0),MATCH(Y$2,data!$1:$1,0)),"#data"),IFERROR(X945*INDEX(indexy_SDcast!$A:$ALI,MATCH($R945,indexy_SDcast!$K:$K,0),MATCH(Y$2,indexy_SDcast!$2:$2,0)),"#ekrk")),"#popis")</f>
        <v>-11391.413939045995</v>
      </c>
    </row>
    <row r="946" spans="1:44" x14ac:dyDescent="0.25">
      <c r="A946" s="330">
        <v>612002</v>
      </c>
      <c r="B946" s="329">
        <v>-6784.7038750633537</v>
      </c>
      <c r="C946" s="157"/>
      <c r="D946" s="330">
        <v>612002</v>
      </c>
      <c r="E946" s="329">
        <v>-6784.7038750633537</v>
      </c>
      <c r="F946" s="157"/>
      <c r="G946" s="330">
        <v>612002</v>
      </c>
      <c r="H946" s="329">
        <v>-6784.7038750633537</v>
      </c>
      <c r="I946" s="157"/>
      <c r="J946" s="330">
        <v>612002</v>
      </c>
      <c r="K946" s="329">
        <v>-6784.7038750633537</v>
      </c>
      <c r="L946" s="157"/>
      <c r="M946" s="360">
        <f t="shared" si="91"/>
        <v>612002</v>
      </c>
      <c r="N946" s="237">
        <f t="shared" si="92"/>
        <v>-6784.7038750633537</v>
      </c>
      <c r="O946" s="361"/>
      <c r="P946" s="361"/>
      <c r="Q946" s="361" t="s">
        <v>698</v>
      </c>
      <c r="R946" s="362">
        <v>49</v>
      </c>
      <c r="S946" s="236"/>
      <c r="T946" s="364">
        <f t="shared" si="93"/>
        <v>612002</v>
      </c>
      <c r="U946" s="365">
        <f>N946</f>
        <v>-6784.7038750633537</v>
      </c>
      <c r="V946" s="365">
        <f>IF($Q946="ekrk",IF($R946="data",IFERROR(INDEX(data!$A:$ALL,MATCH($M946,data!$A:$A,0),MATCH(V$2,data!$1:$1,0)),"#data"),IFERROR(U946*INDEX(indexy_SDcast!$A:$ALI,MATCH($R946,indexy_SDcast!$K:$K,0),MATCH(V$2,indexy_SDcast!$2:$2,0)),"#ekrk")),"#popis")</f>
        <v>-7281.1338544168757</v>
      </c>
      <c r="W946" s="365">
        <f>IF($Q946="ekrk",IF($R946="data",IFERROR(INDEX(data!$A:$ALL,MATCH($M946,data!$A:$A,0),MATCH(W$2,data!$1:$1,0)),"#data"),IFERROR(V946*INDEX(indexy_SDcast!$A:$ALI,MATCH($R946,indexy_SDcast!$K:$K,0),MATCH(W$2,indexy_SDcast!$2:$2,0)),"#ekrk")),"#popis")</f>
        <v>-7808.7492064861553</v>
      </c>
      <c r="X946" s="365">
        <f>IF($Q946="ekrk",IF($R946="data",IFERROR(INDEX(data!$A:$ALL,MATCH($M946,data!$A:$A,0),MATCH(X$2,data!$1:$1,0)),"#data"),IFERROR(W946*INDEX(indexy_SDcast!$A:$ALI,MATCH($R946,indexy_SDcast!$K:$K,0),MATCH(X$2,indexy_SDcast!$2:$2,0)),"#ekrk")),"#popis")</f>
        <v>-8313.4817395749087</v>
      </c>
      <c r="Y946" s="362">
        <f>IF($Q946="ekrk",IF($R946="data",IFERROR(INDEX(data!$A:$ALL,MATCH($M946,data!$A:$A,0),MATCH(Y$2,data!$1:$1,0)),"#data"),IFERROR(X946*INDEX(indexy_SDcast!$A:$ALI,MATCH($R946,indexy_SDcast!$K:$K,0),MATCH(Y$2,indexy_SDcast!$2:$2,0)),"#ekrk")),"#popis")</f>
        <v>-8844.3781641051901</v>
      </c>
    </row>
    <row r="947" spans="1:44" x14ac:dyDescent="0.25">
      <c r="A947" s="330">
        <v>614000</v>
      </c>
      <c r="B947" s="329">
        <v>-4684.3515195039527</v>
      </c>
      <c r="C947" s="157"/>
      <c r="D947" s="330">
        <v>614000</v>
      </c>
      <c r="E947" s="329">
        <v>-4684.3515195039527</v>
      </c>
      <c r="F947" s="157"/>
      <c r="G947" s="330">
        <v>614000</v>
      </c>
      <c r="H947" s="329">
        <v>-4684.3515195039527</v>
      </c>
      <c r="I947" s="157"/>
      <c r="J947" s="330">
        <v>614000</v>
      </c>
      <c r="K947" s="329">
        <v>-4684.3515195039527</v>
      </c>
      <c r="L947" s="157"/>
      <c r="M947" s="360">
        <f t="shared" si="91"/>
        <v>614000</v>
      </c>
      <c r="N947" s="237">
        <f t="shared" si="92"/>
        <v>-4684.3515195039527</v>
      </c>
      <c r="O947" s="361"/>
      <c r="P947" s="361"/>
      <c r="Q947" s="361" t="s">
        <v>698</v>
      </c>
      <c r="R947" s="362">
        <v>49</v>
      </c>
      <c r="S947" s="236"/>
      <c r="T947" s="364">
        <f t="shared" si="93"/>
        <v>614000</v>
      </c>
      <c r="U947" s="365">
        <f>N947</f>
        <v>-4684.3515195039527</v>
      </c>
      <c r="V947" s="365">
        <f>IF($Q947="ekrk",IF($R947="data",IFERROR(INDEX(data!$A:$ALL,MATCH($M947,data!$A:$A,0),MATCH(V$2,data!$1:$1,0)),"#data"),IFERROR(U947*INDEX(indexy_SDcast!$A:$ALI,MATCH($R947,indexy_SDcast!$K:$K,0),MATCH(V$2,indexy_SDcast!$2:$2,0)),"#ekrk")),"#popis")</f>
        <v>-5027.1008230747402</v>
      </c>
      <c r="W947" s="365">
        <f>IF($Q947="ekrk",IF($R947="data",IFERROR(INDEX(data!$A:$ALL,MATCH($M947,data!$A:$A,0),MATCH(W$2,data!$1:$1,0)),"#data"),IFERROR(V947*INDEX(indexy_SDcast!$A:$ALI,MATCH($R947,indexy_SDcast!$K:$K,0),MATCH(W$2,indexy_SDcast!$2:$2,0)),"#ekrk")),"#popis")</f>
        <v>-5391.3813903170749</v>
      </c>
      <c r="X947" s="365">
        <f>IF($Q947="ekrk",IF($R947="data",IFERROR(INDEX(data!$A:$ALL,MATCH($M947,data!$A:$A,0),MATCH(X$2,data!$1:$1,0)),"#data"),IFERROR(W947*INDEX(indexy_SDcast!$A:$ALI,MATCH($R947,indexy_SDcast!$K:$K,0),MATCH(X$2,indexy_SDcast!$2:$2,0)),"#ekrk")),"#popis")</f>
        <v>-5739.8630118963656</v>
      </c>
      <c r="Y947" s="362">
        <f>IF($Q947="ekrk",IF($R947="data",IFERROR(INDEX(data!$A:$ALL,MATCH($M947,data!$A:$A,0),MATCH(Y$2,data!$1:$1,0)),"#data"),IFERROR(X947*INDEX(indexy_SDcast!$A:$ALI,MATCH($R947,indexy_SDcast!$K:$K,0),MATCH(Y$2,indexy_SDcast!$2:$2,0)),"#ekrk")),"#popis")</f>
        <v>-6106.4089243993512</v>
      </c>
    </row>
    <row r="948" spans="1:44" x14ac:dyDescent="0.25">
      <c r="A948" s="330">
        <v>637014</v>
      </c>
      <c r="B948" s="329">
        <v>-4463.0175945549981</v>
      </c>
      <c r="C948" s="157"/>
      <c r="D948" s="330">
        <v>637014</v>
      </c>
      <c r="E948" s="329">
        <v>-4463.0175945549981</v>
      </c>
      <c r="F948" s="157"/>
      <c r="G948" s="330">
        <v>637014</v>
      </c>
      <c r="H948" s="329">
        <v>-4463.0175945549981</v>
      </c>
      <c r="I948" s="157"/>
      <c r="J948" s="330">
        <v>637014</v>
      </c>
      <c r="K948" s="329">
        <v>-4463.0175945549981</v>
      </c>
      <c r="L948" s="157"/>
      <c r="M948" s="360">
        <f t="shared" si="91"/>
        <v>637014</v>
      </c>
      <c r="N948" s="237">
        <f t="shared" si="92"/>
        <v>-4463.0175945549981</v>
      </c>
      <c r="O948" s="361"/>
      <c r="P948" s="361"/>
      <c r="Q948" s="361" t="s">
        <v>698</v>
      </c>
      <c r="R948" s="362">
        <v>49</v>
      </c>
      <c r="S948" s="236"/>
      <c r="T948" s="364">
        <f t="shared" si="93"/>
        <v>637014</v>
      </c>
      <c r="U948" s="365">
        <f>N948</f>
        <v>-4463.0175945549981</v>
      </c>
      <c r="V948" s="365">
        <f>IF($Q948="ekrk",IF($R948="data",IFERROR(INDEX(data!$A:$ALL,MATCH($M948,data!$A:$A,0),MATCH(V$2,data!$1:$1,0)),"#data"),IFERROR(U948*INDEX(indexy_SDcast!$A:$ALI,MATCH($R948,indexy_SDcast!$K:$K,0),MATCH(V$2,indexy_SDcast!$2:$2,0)),"#ekrk")),"#popis")</f>
        <v>-4789.5721167740912</v>
      </c>
      <c r="W948" s="365">
        <f>IF($Q948="ekrk",IF($R948="data",IFERROR(INDEX(data!$A:$ALL,MATCH($M948,data!$A:$A,0),MATCH(W$2,data!$1:$1,0)),"#data"),IFERROR(V948*INDEX(indexy_SDcast!$A:$ALI,MATCH($R948,indexy_SDcast!$K:$K,0),MATCH(W$2,indexy_SDcast!$2:$2,0)),"#ekrk")),"#popis")</f>
        <v>-5136.6405581982253</v>
      </c>
      <c r="X948" s="365">
        <f>IF($Q948="ekrk",IF($R948="data",IFERROR(INDEX(data!$A:$ALL,MATCH($M948,data!$A:$A,0),MATCH(X$2,data!$1:$1,0)),"#data"),IFERROR(W948*INDEX(indexy_SDcast!$A:$ALI,MATCH($R948,indexy_SDcast!$K:$K,0),MATCH(X$2,indexy_SDcast!$2:$2,0)),"#ekrk")),"#popis")</f>
        <v>-5468.6565484610846</v>
      </c>
      <c r="Y948" s="362">
        <f>IF($Q948="ekrk",IF($R948="data",IFERROR(INDEX(data!$A:$ALL,MATCH($M948,data!$A:$A,0),MATCH(Y$2,data!$1:$1,0)),"#data"),IFERROR(X948*INDEX(indexy_SDcast!$A:$ALI,MATCH($R948,indexy_SDcast!$K:$K,0),MATCH(Y$2,indexy_SDcast!$2:$2,0)),"#ekrk")),"#popis")</f>
        <v>-5817.8832983968532</v>
      </c>
    </row>
    <row r="949" spans="1:44" s="18" customFormat="1" x14ac:dyDescent="0.25">
      <c r="A949" s="333" t="s">
        <v>700</v>
      </c>
      <c r="B949" s="334">
        <v>-29787.504805134453</v>
      </c>
      <c r="C949" s="164"/>
      <c r="D949" s="333" t="s">
        <v>700</v>
      </c>
      <c r="E949" s="334">
        <v>-29787.504805134453</v>
      </c>
      <c r="F949" s="164"/>
      <c r="G949" s="333" t="s">
        <v>700</v>
      </c>
      <c r="H949" s="334">
        <v>-29787.504805134453</v>
      </c>
      <c r="I949" s="164"/>
      <c r="J949" s="333" t="s">
        <v>700</v>
      </c>
      <c r="K949" s="334">
        <v>-29787.504805134453</v>
      </c>
      <c r="L949" s="164"/>
      <c r="M949" s="358" t="str">
        <f t="shared" si="91"/>
        <v>D121PAY</v>
      </c>
      <c r="N949" s="239">
        <f t="shared" si="92"/>
        <v>-29787.504805134453</v>
      </c>
      <c r="O949" s="243"/>
      <c r="P949" s="243">
        <f>MATCH(Q949,Q950:Q$1550,0)</f>
        <v>6</v>
      </c>
      <c r="Q949" s="243" t="s">
        <v>697</v>
      </c>
      <c r="R949" s="359"/>
      <c r="S949" s="240"/>
      <c r="T949" s="363" t="str">
        <f t="shared" si="93"/>
        <v>D121PAY</v>
      </c>
      <c r="U949" s="244">
        <f>SUM(U950:U954)</f>
        <v>-29787.504805134453</v>
      </c>
      <c r="V949" s="244">
        <f>SUM(V950:V954)</f>
        <v>-31967.026663082564</v>
      </c>
      <c r="W949" s="244">
        <f>SUM(W950:W954)</f>
        <v>-34283.46450980872</v>
      </c>
      <c r="X949" s="244">
        <f>SUM(X950:X954)</f>
        <v>-36499.437827369096</v>
      </c>
      <c r="Y949" s="359">
        <f>SUM(Y950:Y954)</f>
        <v>-38830.280866053195</v>
      </c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8"/>
      <c r="AN949" s="58"/>
      <c r="AO949" s="58"/>
      <c r="AP949" s="58"/>
      <c r="AQ949" s="58"/>
      <c r="AR949" s="58"/>
    </row>
    <row r="950" spans="1:44" x14ac:dyDescent="0.25">
      <c r="A950" s="330">
        <v>621000</v>
      </c>
      <c r="B950" s="329">
        <v>-6456.1107493114578</v>
      </c>
      <c r="C950" s="157"/>
      <c r="D950" s="330">
        <v>621000</v>
      </c>
      <c r="E950" s="329">
        <v>-6456.1107493114578</v>
      </c>
      <c r="F950" s="157"/>
      <c r="G950" s="330">
        <v>621000</v>
      </c>
      <c r="H950" s="329">
        <v>-6456.1107493114578</v>
      </c>
      <c r="I950" s="157"/>
      <c r="J950" s="330">
        <v>621000</v>
      </c>
      <c r="K950" s="329">
        <v>-6456.1107493114578</v>
      </c>
      <c r="L950" s="157"/>
      <c r="M950" s="360">
        <f t="shared" si="91"/>
        <v>621000</v>
      </c>
      <c r="N950" s="237">
        <f t="shared" si="92"/>
        <v>-6456.1107493114578</v>
      </c>
      <c r="O950" s="361"/>
      <c r="P950" s="361"/>
      <c r="Q950" s="361" t="s">
        <v>698</v>
      </c>
      <c r="R950" s="362">
        <v>49</v>
      </c>
      <c r="S950" s="236"/>
      <c r="T950" s="364">
        <f t="shared" si="93"/>
        <v>621000</v>
      </c>
      <c r="U950" s="365">
        <f>N950</f>
        <v>-6456.1107493114578</v>
      </c>
      <c r="V950" s="365">
        <f>IF($Q950="ekrk",IF($R950="data",IFERROR(INDEX(data!$A:$ALL,MATCH($M950,data!$A:$A,0),MATCH(V$2,data!$1:$1,0)),"#data"),IFERROR(U950*INDEX(indexy_SDcast!$A:$ALI,MATCH($R950,indexy_SDcast!$K:$K,0),MATCH(V$2,indexy_SDcast!$2:$2,0)),"#ekrk")),"#popis")</f>
        <v>-6928.4978991419002</v>
      </c>
      <c r="W950" s="365">
        <f>IF($Q950="ekrk",IF($R950="data",IFERROR(INDEX(data!$A:$ALL,MATCH($M950,data!$A:$A,0),MATCH(W$2,data!$1:$1,0)),"#data"),IFERROR(V950*INDEX(indexy_SDcast!$A:$ALI,MATCH($R950,indexy_SDcast!$K:$K,0),MATCH(W$2,indexy_SDcast!$2:$2,0)),"#ekrk")),"#popis")</f>
        <v>-7430.5600685043646</v>
      </c>
      <c r="X950" s="365">
        <f>IF($Q950="ekrk",IF($R950="data",IFERROR(INDEX(data!$A:$ALL,MATCH($M950,data!$A:$A,0),MATCH(X$2,data!$1:$1,0)),"#data"),IFERROR(W950*INDEX(indexy_SDcast!$A:$ALI,MATCH($R950,indexy_SDcast!$K:$K,0),MATCH(X$2,indexy_SDcast!$2:$2,0)),"#ekrk")),"#popis")</f>
        <v>-7910.8476672569441</v>
      </c>
      <c r="Y950" s="362">
        <f>IF($Q950="ekrk",IF($R950="data",IFERROR(INDEX(data!$A:$ALL,MATCH($M950,data!$A:$A,0),MATCH(Y$2,data!$1:$1,0)),"#data"),IFERROR(X950*INDEX(indexy_SDcast!$A:$ALI,MATCH($R950,indexy_SDcast!$K:$K,0),MATCH(Y$2,indexy_SDcast!$2:$2,0)),"#ekrk")),"#popis")</f>
        <v>-8416.0320019452374</v>
      </c>
    </row>
    <row r="951" spans="1:44" x14ac:dyDescent="0.25">
      <c r="A951" s="330">
        <v>623000</v>
      </c>
      <c r="B951" s="329">
        <v>-2931.0376907477903</v>
      </c>
      <c r="C951" s="157"/>
      <c r="D951" s="330">
        <v>623000</v>
      </c>
      <c r="E951" s="329">
        <v>-2931.0376907477903</v>
      </c>
      <c r="F951" s="157"/>
      <c r="G951" s="330">
        <v>623000</v>
      </c>
      <c r="H951" s="329">
        <v>-2931.0376907477903</v>
      </c>
      <c r="I951" s="157"/>
      <c r="J951" s="330">
        <v>623000</v>
      </c>
      <c r="K951" s="329">
        <v>-2931.0376907477903</v>
      </c>
      <c r="L951" s="157"/>
      <c r="M951" s="360">
        <f t="shared" si="91"/>
        <v>623000</v>
      </c>
      <c r="N951" s="237">
        <f t="shared" si="92"/>
        <v>-2931.0376907477903</v>
      </c>
      <c r="O951" s="361"/>
      <c r="P951" s="361"/>
      <c r="Q951" s="361" t="s">
        <v>698</v>
      </c>
      <c r="R951" s="362">
        <v>49</v>
      </c>
      <c r="S951" s="236"/>
      <c r="T951" s="364">
        <f t="shared" si="93"/>
        <v>623000</v>
      </c>
      <c r="U951" s="365">
        <f>N951</f>
        <v>-2931.0376907477903</v>
      </c>
      <c r="V951" s="365">
        <f>IF($Q951="ekrk",IF($R951="data",IFERROR(INDEX(data!$A:$ALL,MATCH($M951,data!$A:$A,0),MATCH(V$2,data!$1:$1,0)),"#data"),IFERROR(U951*INDEX(indexy_SDcast!$A:$ALI,MATCH($R951,indexy_SDcast!$K:$K,0),MATCH(V$2,indexy_SDcast!$2:$2,0)),"#ekrk")),"#popis")</f>
        <v>-3145.4987795582042</v>
      </c>
      <c r="W951" s="365">
        <f>IF($Q951="ekrk",IF($R951="data",IFERROR(INDEX(data!$A:$ALL,MATCH($M951,data!$A:$A,0),MATCH(W$2,data!$1:$1,0)),"#data"),IFERROR(V951*INDEX(indexy_SDcast!$A:$ALI,MATCH($R951,indexy_SDcast!$K:$K,0),MATCH(W$2,indexy_SDcast!$2:$2,0)),"#ekrk")),"#popis")</f>
        <v>-3373.4321590555933</v>
      </c>
      <c r="X951" s="365">
        <f>IF($Q951="ekrk",IF($R951="data",IFERROR(INDEX(data!$A:$ALL,MATCH($M951,data!$A:$A,0),MATCH(X$2,data!$1:$1,0)),"#data"),IFERROR(W951*INDEX(indexy_SDcast!$A:$ALI,MATCH($R951,indexy_SDcast!$K:$K,0),MATCH(X$2,indexy_SDcast!$2:$2,0)),"#ekrk")),"#popis")</f>
        <v>-3591.4800069015578</v>
      </c>
      <c r="Y951" s="362">
        <f>IF($Q951="ekrk",IF($R951="data",IFERROR(INDEX(data!$A:$ALL,MATCH($M951,data!$A:$A,0),MATCH(Y$2,data!$1:$1,0)),"#data"),IFERROR(X951*INDEX(indexy_SDcast!$A:$ALI,MATCH($R951,indexy_SDcast!$K:$K,0),MATCH(Y$2,indexy_SDcast!$2:$2,0)),"#ekrk")),"#popis")</f>
        <v>-3820.8308317622764</v>
      </c>
    </row>
    <row r="952" spans="1:44" x14ac:dyDescent="0.25">
      <c r="A952" s="330">
        <v>625002</v>
      </c>
      <c r="B952" s="329">
        <v>-13250.664940310566</v>
      </c>
      <c r="C952" s="157"/>
      <c r="D952" s="330">
        <v>625002</v>
      </c>
      <c r="E952" s="329">
        <v>-13250.664940310566</v>
      </c>
      <c r="F952" s="157"/>
      <c r="G952" s="330">
        <v>625002</v>
      </c>
      <c r="H952" s="329">
        <v>-13250.664940310566</v>
      </c>
      <c r="I952" s="157"/>
      <c r="J952" s="330">
        <v>625002</v>
      </c>
      <c r="K952" s="329">
        <v>-13250.664940310566</v>
      </c>
      <c r="L952" s="157"/>
      <c r="M952" s="360">
        <f t="shared" si="91"/>
        <v>625002</v>
      </c>
      <c r="N952" s="237">
        <f t="shared" si="92"/>
        <v>-13250.664940310566</v>
      </c>
      <c r="O952" s="361"/>
      <c r="P952" s="361"/>
      <c r="Q952" s="361" t="s">
        <v>698</v>
      </c>
      <c r="R952" s="362">
        <v>49</v>
      </c>
      <c r="S952" s="236"/>
      <c r="T952" s="364">
        <f t="shared" si="93"/>
        <v>625002</v>
      </c>
      <c r="U952" s="365">
        <f>N952</f>
        <v>-13250.664940310566</v>
      </c>
      <c r="V952" s="365">
        <f>IF($Q952="ekrk",IF($R952="data",IFERROR(INDEX(data!$A:$ALL,MATCH($M952,data!$A:$A,0),MATCH(V$2,data!$1:$1,0)),"#data"),IFERROR(U952*INDEX(indexy_SDcast!$A:$ALI,MATCH($R952,indexy_SDcast!$K:$K,0),MATCH(V$2,indexy_SDcast!$2:$2,0)),"#ekrk")),"#popis")</f>
        <v>-14220.202807234402</v>
      </c>
      <c r="W952" s="365">
        <f>IF($Q952="ekrk",IF($R952="data",IFERROR(INDEX(data!$A:$ALL,MATCH($M952,data!$A:$A,0),MATCH(W$2,data!$1:$1,0)),"#data"),IFERROR(V952*INDEX(indexy_SDcast!$A:$ALI,MATCH($R952,indexy_SDcast!$K:$K,0),MATCH(W$2,indexy_SDcast!$2:$2,0)),"#ekrk")),"#popis")</f>
        <v>-15250.646342630223</v>
      </c>
      <c r="X952" s="365">
        <f>IF($Q952="ekrk",IF($R952="data",IFERROR(INDEX(data!$A:$ALL,MATCH($M952,data!$A:$A,0),MATCH(X$2,data!$1:$1,0)),"#data"),IFERROR(W952*INDEX(indexy_SDcast!$A:$ALI,MATCH($R952,indexy_SDcast!$K:$K,0),MATCH(X$2,indexy_SDcast!$2:$2,0)),"#ekrk")),"#popis")</f>
        <v>-16236.399266205068</v>
      </c>
      <c r="Y952" s="362">
        <f>IF($Q952="ekrk",IF($R952="data",IFERROR(INDEX(data!$A:$ALL,MATCH($M952,data!$A:$A,0),MATCH(Y$2,data!$1:$1,0)),"#data"),IFERROR(X952*INDEX(indexy_SDcast!$A:$ALI,MATCH($R952,indexy_SDcast!$K:$K,0),MATCH(Y$2,indexy_SDcast!$2:$2,0)),"#ekrk")),"#popis")</f>
        <v>-17273.250802985505</v>
      </c>
    </row>
    <row r="953" spans="1:44" x14ac:dyDescent="0.25">
      <c r="A953" s="330">
        <v>625004</v>
      </c>
      <c r="B953" s="329">
        <v>-2665.0003770040939</v>
      </c>
      <c r="C953" s="157"/>
      <c r="D953" s="330">
        <v>625004</v>
      </c>
      <c r="E953" s="329">
        <v>-2665.0003770040939</v>
      </c>
      <c r="F953" s="157"/>
      <c r="G953" s="330">
        <v>625004</v>
      </c>
      <c r="H953" s="329">
        <v>-2665.0003770040939</v>
      </c>
      <c r="I953" s="157"/>
      <c r="J953" s="330">
        <v>625004</v>
      </c>
      <c r="K953" s="329">
        <v>-2665.0003770040939</v>
      </c>
      <c r="L953" s="157"/>
      <c r="M953" s="360">
        <f t="shared" si="91"/>
        <v>625004</v>
      </c>
      <c r="N953" s="237">
        <f t="shared" si="92"/>
        <v>-2665.0003770040939</v>
      </c>
      <c r="O953" s="361"/>
      <c r="P953" s="361"/>
      <c r="Q953" s="361" t="s">
        <v>698</v>
      </c>
      <c r="R953" s="362">
        <v>49</v>
      </c>
      <c r="S953" s="236"/>
      <c r="T953" s="364">
        <f t="shared" si="93"/>
        <v>625004</v>
      </c>
      <c r="U953" s="365">
        <f>N953</f>
        <v>-2665.0003770040939</v>
      </c>
      <c r="V953" s="365">
        <f>IF($Q953="ekrk",IF($R953="data",IFERROR(INDEX(data!$A:$ALL,MATCH($M953,data!$A:$A,0),MATCH(V$2,data!$1:$1,0)),"#data"),IFERROR(U953*INDEX(indexy_SDcast!$A:$ALI,MATCH($R953,indexy_SDcast!$K:$K,0),MATCH(V$2,indexy_SDcast!$2:$2,0)),"#ekrk")),"#popis")</f>
        <v>-2859.9957823298596</v>
      </c>
      <c r="W953" s="365">
        <f>IF($Q953="ekrk",IF($R953="data",IFERROR(INDEX(data!$A:$ALL,MATCH($M953,data!$A:$A,0),MATCH(W$2,data!$1:$1,0)),"#data"),IFERROR(V953*INDEX(indexy_SDcast!$A:$ALI,MATCH($R953,indexy_SDcast!$K:$K,0),MATCH(W$2,indexy_SDcast!$2:$2,0)),"#ekrk")),"#popis")</f>
        <v>-3067.2406581667801</v>
      </c>
      <c r="X953" s="365">
        <f>IF($Q953="ekrk",IF($R953="data",IFERROR(INDEX(data!$A:$ALL,MATCH($M953,data!$A:$A,0),MATCH(X$2,data!$1:$1,0)),"#data"),IFERROR(W953*INDEX(indexy_SDcast!$A:$ALI,MATCH($R953,indexy_SDcast!$K:$K,0),MATCH(X$2,indexy_SDcast!$2:$2,0)),"#ekrk")),"#popis")</f>
        <v>-3265.497268291153</v>
      </c>
      <c r="Y953" s="362">
        <f>IF($Q953="ekrk",IF($R953="data",IFERROR(INDEX(data!$A:$ALL,MATCH($M953,data!$A:$A,0),MATCH(Y$2,data!$1:$1,0)),"#data"),IFERROR(X953*INDEX(indexy_SDcast!$A:$ALI,MATCH($R953,indexy_SDcast!$K:$K,0),MATCH(Y$2,indexy_SDcast!$2:$2,0)),"#ekrk")),"#popis")</f>
        <v>-3474.0309342516462</v>
      </c>
    </row>
    <row r="954" spans="1:44" x14ac:dyDescent="0.25">
      <c r="A954" s="330">
        <v>625007</v>
      </c>
      <c r="B954" s="329">
        <v>-4484.6910477605443</v>
      </c>
      <c r="C954" s="157"/>
      <c r="D954" s="330">
        <v>625007</v>
      </c>
      <c r="E954" s="329">
        <v>-4484.6910477605443</v>
      </c>
      <c r="F954" s="157"/>
      <c r="G954" s="330">
        <v>625007</v>
      </c>
      <c r="H954" s="329">
        <v>-4484.6910477605443</v>
      </c>
      <c r="I954" s="157"/>
      <c r="J954" s="330">
        <v>625007</v>
      </c>
      <c r="K954" s="329">
        <v>-4484.6910477605443</v>
      </c>
      <c r="L954" s="157"/>
      <c r="M954" s="360">
        <f t="shared" si="91"/>
        <v>625007</v>
      </c>
      <c r="N954" s="237">
        <f t="shared" si="92"/>
        <v>-4484.6910477605443</v>
      </c>
      <c r="O954" s="361"/>
      <c r="P954" s="361"/>
      <c r="Q954" s="361" t="s">
        <v>698</v>
      </c>
      <c r="R954" s="362">
        <v>49</v>
      </c>
      <c r="S954" s="236"/>
      <c r="T954" s="364">
        <f t="shared" si="93"/>
        <v>625007</v>
      </c>
      <c r="U954" s="365">
        <f>N954</f>
        <v>-4484.6910477605443</v>
      </c>
      <c r="V954" s="365">
        <f>IF($Q954="ekrk",IF($R954="data",IFERROR(INDEX(data!$A:$ALL,MATCH($M954,data!$A:$A,0),MATCH(V$2,data!$1:$1,0)),"#data"),IFERROR(U954*INDEX(indexy_SDcast!$A:$ALI,MATCH($R954,indexy_SDcast!$K:$K,0),MATCH(V$2,indexy_SDcast!$2:$2,0)),"#ekrk")),"#popis")</f>
        <v>-4812.8313948181976</v>
      </c>
      <c r="W954" s="365">
        <f>IF($Q954="ekrk",IF($R954="data",IFERROR(INDEX(data!$A:$ALL,MATCH($M954,data!$A:$A,0),MATCH(W$2,data!$1:$1,0)),"#data"),IFERROR(V954*INDEX(indexy_SDcast!$A:$ALI,MATCH($R954,indexy_SDcast!$K:$K,0),MATCH(W$2,indexy_SDcast!$2:$2,0)),"#ekrk")),"#popis")</f>
        <v>-5161.5852814517584</v>
      </c>
      <c r="X954" s="365">
        <f>IF($Q954="ekrk",IF($R954="data",IFERROR(INDEX(data!$A:$ALL,MATCH($M954,data!$A:$A,0),MATCH(X$2,data!$1:$1,0)),"#data"),IFERROR(W954*INDEX(indexy_SDcast!$A:$ALI,MATCH($R954,indexy_SDcast!$K:$K,0),MATCH(X$2,indexy_SDcast!$2:$2,0)),"#ekrk")),"#popis")</f>
        <v>-5495.2136187143769</v>
      </c>
      <c r="Y954" s="362">
        <f>IF($Q954="ekrk",IF($R954="data",IFERROR(INDEX(data!$A:$ALL,MATCH($M954,data!$A:$A,0),MATCH(Y$2,data!$1:$1,0)),"#data"),IFERROR(X954*INDEX(indexy_SDcast!$A:$ALI,MATCH($R954,indexy_SDcast!$K:$K,0),MATCH(Y$2,indexy_SDcast!$2:$2,0)),"#ekrk")),"#popis")</f>
        <v>-5846.136295108533</v>
      </c>
    </row>
    <row r="955" spans="1:44" s="18" customFormat="1" x14ac:dyDescent="0.25">
      <c r="A955" s="333" t="s">
        <v>728</v>
      </c>
      <c r="B955" s="334">
        <v>-1954.7175859515203</v>
      </c>
      <c r="C955" s="164"/>
      <c r="D955" s="333" t="s">
        <v>728</v>
      </c>
      <c r="E955" s="334">
        <v>-1954.7175859515203</v>
      </c>
      <c r="F955" s="164"/>
      <c r="G955" s="333" t="s">
        <v>728</v>
      </c>
      <c r="H955" s="334">
        <v>-1954.7175859515203</v>
      </c>
      <c r="I955" s="164"/>
      <c r="J955" s="333" t="s">
        <v>728</v>
      </c>
      <c r="K955" s="334">
        <v>-1954.7175859515203</v>
      </c>
      <c r="L955" s="164"/>
      <c r="M955" s="358" t="str">
        <f t="shared" si="91"/>
        <v>D624PAY</v>
      </c>
      <c r="N955" s="239">
        <f t="shared" si="92"/>
        <v>-1954.7175859515203</v>
      </c>
      <c r="O955" s="243"/>
      <c r="P955" s="243">
        <f>MATCH(Q955,Q956:Q$1550,0)</f>
        <v>2</v>
      </c>
      <c r="Q955" s="243" t="s">
        <v>697</v>
      </c>
      <c r="R955" s="359"/>
      <c r="S955" s="240"/>
      <c r="T955" s="363" t="str">
        <f t="shared" si="93"/>
        <v>D624PAY</v>
      </c>
      <c r="U955" s="244">
        <f>SUM(U956:U956)</f>
        <v>-1954.7175859515203</v>
      </c>
      <c r="V955" s="244">
        <f>SUM(V956:V956)</f>
        <v>-2097.7423116735131</v>
      </c>
      <c r="W955" s="244">
        <f>SUM(W956:W956)</f>
        <v>-2249.7517473540338</v>
      </c>
      <c r="X955" s="244">
        <f>SUM(X956:X956)</f>
        <v>-2395.1684931396012</v>
      </c>
      <c r="Y955" s="359">
        <f>SUM(Y956:Y956)</f>
        <v>-2548.1232272676893</v>
      </c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8"/>
      <c r="AN955" s="58"/>
      <c r="AO955" s="58"/>
      <c r="AP955" s="58"/>
      <c r="AQ955" s="58"/>
      <c r="AR955" s="58"/>
    </row>
    <row r="956" spans="1:44" x14ac:dyDescent="0.25">
      <c r="A956" s="330">
        <v>642014</v>
      </c>
      <c r="B956" s="329">
        <v>-1954.7175859515203</v>
      </c>
      <c r="C956" s="157"/>
      <c r="D956" s="330">
        <v>642014</v>
      </c>
      <c r="E956" s="329">
        <v>-1954.7175859515203</v>
      </c>
      <c r="F956" s="157"/>
      <c r="G956" s="330">
        <v>642014</v>
      </c>
      <c r="H956" s="329">
        <v>-1954.7175859515203</v>
      </c>
      <c r="I956" s="157"/>
      <c r="J956" s="330">
        <v>642014</v>
      </c>
      <c r="K956" s="329">
        <v>-1954.7175859515203</v>
      </c>
      <c r="L956" s="157"/>
      <c r="M956" s="360">
        <f t="shared" si="91"/>
        <v>642014</v>
      </c>
      <c r="N956" s="237">
        <f t="shared" si="92"/>
        <v>-1954.7175859515203</v>
      </c>
      <c r="O956" s="361"/>
      <c r="P956" s="361"/>
      <c r="Q956" s="361" t="s">
        <v>698</v>
      </c>
      <c r="R956" s="362">
        <v>49</v>
      </c>
      <c r="S956" s="236"/>
      <c r="T956" s="364">
        <f t="shared" si="93"/>
        <v>642014</v>
      </c>
      <c r="U956" s="365">
        <f>N956</f>
        <v>-1954.7175859515203</v>
      </c>
      <c r="V956" s="365">
        <f>IF($Q956="ekrk",IF($R956="data",IFERROR(INDEX(data!$A:$ALL,MATCH($M956,data!$A:$A,0),MATCH(V$2,data!$1:$1,0)),"#data"),IFERROR(U956*INDEX(indexy_SDcast!$A:$ALI,MATCH($R956,indexy_SDcast!$K:$K,0),MATCH(V$2,indexy_SDcast!$2:$2,0)),"#ekrk")),"#popis")</f>
        <v>-2097.7423116735131</v>
      </c>
      <c r="W956" s="365">
        <f>IF($Q956="ekrk",IF($R956="data",IFERROR(INDEX(data!$A:$ALL,MATCH($M956,data!$A:$A,0),MATCH(W$2,data!$1:$1,0)),"#data"),IFERROR(V956*INDEX(indexy_SDcast!$A:$ALI,MATCH($R956,indexy_SDcast!$K:$K,0),MATCH(W$2,indexy_SDcast!$2:$2,0)),"#ekrk")),"#popis")</f>
        <v>-2249.7517473540338</v>
      </c>
      <c r="X956" s="365">
        <f>IF($Q956="ekrk",IF($R956="data",IFERROR(INDEX(data!$A:$ALL,MATCH($M956,data!$A:$A,0),MATCH(X$2,data!$1:$1,0)),"#data"),IFERROR(W956*INDEX(indexy_SDcast!$A:$ALI,MATCH($R956,indexy_SDcast!$K:$K,0),MATCH(X$2,indexy_SDcast!$2:$2,0)),"#ekrk")),"#popis")</f>
        <v>-2395.1684931396012</v>
      </c>
      <c r="Y956" s="362">
        <f>IF($Q956="ekrk",IF($R956="data",IFERROR(INDEX(data!$A:$ALL,MATCH($M956,data!$A:$A,0),MATCH(Y$2,data!$1:$1,0)),"#data"),IFERROR(X956*INDEX(indexy_SDcast!$A:$ALI,MATCH($R956,indexy_SDcast!$K:$K,0),MATCH(Y$2,indexy_SDcast!$2:$2,0)),"#ekrk")),"#popis")</f>
        <v>-2548.1232272676893</v>
      </c>
    </row>
    <row r="957" spans="1:44" s="18" customFormat="1" x14ac:dyDescent="0.25">
      <c r="A957" s="333" t="s">
        <v>736</v>
      </c>
      <c r="B957" s="334">
        <v>-25386.318314413835</v>
      </c>
      <c r="C957" s="164"/>
      <c r="D957" s="333" t="s">
        <v>736</v>
      </c>
      <c r="E957" s="334">
        <v>-25386.318314413835</v>
      </c>
      <c r="F957" s="164"/>
      <c r="G957" s="333" t="s">
        <v>736</v>
      </c>
      <c r="H957" s="334">
        <v>-25386.318314413835</v>
      </c>
      <c r="I957" s="164"/>
      <c r="J957" s="333" t="s">
        <v>736</v>
      </c>
      <c r="K957" s="334">
        <v>-25386.318314413835</v>
      </c>
      <c r="L957" s="164"/>
      <c r="M957" s="358" t="str">
        <f t="shared" si="91"/>
        <v>D75PAY</v>
      </c>
      <c r="N957" s="239">
        <f t="shared" si="92"/>
        <v>-25386.318314413835</v>
      </c>
      <c r="O957" s="243"/>
      <c r="P957" s="243">
        <f>MATCH(Q957,Q958:Q$1550,0)</f>
        <v>4</v>
      </c>
      <c r="Q957" s="243" t="s">
        <v>697</v>
      </c>
      <c r="R957" s="359"/>
      <c r="S957" s="240"/>
      <c r="T957" s="363" t="str">
        <f t="shared" si="93"/>
        <v>D75PAY</v>
      </c>
      <c r="U957" s="244">
        <f>SUM(U958:U960)</f>
        <v>-25386.318314413835</v>
      </c>
      <c r="V957" s="244">
        <f>SUM(V958:V960)</f>
        <v>-27243.809770010888</v>
      </c>
      <c r="W957" s="244">
        <f>SUM(W958:W960)</f>
        <v>-29217.987497123137</v>
      </c>
      <c r="X957" s="244">
        <f>SUM(X958:X960)</f>
        <v>-31106.544608027529</v>
      </c>
      <c r="Y957" s="359">
        <f>SUM(Y958:Y960)</f>
        <v>-33092.999120013737</v>
      </c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8"/>
      <c r="AN957" s="58"/>
      <c r="AO957" s="58"/>
      <c r="AP957" s="58"/>
      <c r="AQ957" s="58"/>
      <c r="AR957" s="58"/>
    </row>
    <row r="958" spans="1:44" x14ac:dyDescent="0.25">
      <c r="A958" s="330">
        <v>642001</v>
      </c>
      <c r="B958" s="329">
        <v>-1691.7063188015263</v>
      </c>
      <c r="C958" s="157"/>
      <c r="D958" s="330">
        <v>642001</v>
      </c>
      <c r="E958" s="329">
        <v>-1691.7063188015263</v>
      </c>
      <c r="F958" s="157"/>
      <c r="G958" s="330">
        <v>642001</v>
      </c>
      <c r="H958" s="329">
        <v>-1691.7063188015263</v>
      </c>
      <c r="I958" s="157"/>
      <c r="J958" s="330">
        <v>642001</v>
      </c>
      <c r="K958" s="329">
        <v>-1691.7063188015263</v>
      </c>
      <c r="L958" s="157"/>
      <c r="M958" s="360">
        <f t="shared" si="91"/>
        <v>642001</v>
      </c>
      <c r="N958" s="237">
        <f t="shared" si="92"/>
        <v>-1691.7063188015263</v>
      </c>
      <c r="O958" s="361"/>
      <c r="P958" s="361"/>
      <c r="Q958" s="361" t="s">
        <v>698</v>
      </c>
      <c r="R958" s="362">
        <v>49</v>
      </c>
      <c r="S958" s="236"/>
      <c r="T958" s="364">
        <f t="shared" si="93"/>
        <v>642001</v>
      </c>
      <c r="U958" s="365">
        <f>N958</f>
        <v>-1691.7063188015263</v>
      </c>
      <c r="V958" s="365">
        <f>IF($Q958="ekrk",IF($R958="data",IFERROR(INDEX(data!$A:$ALL,MATCH($M958,data!$A:$A,0),MATCH(V$2,data!$1:$1,0)),"#data"),IFERROR(U958*INDEX(indexy_SDcast!$A:$ALI,MATCH($R958,indexy_SDcast!$K:$K,0),MATCH(V$2,indexy_SDcast!$2:$2,0)),"#ekrk")),"#popis")</f>
        <v>-1815.486773833843</v>
      </c>
      <c r="W958" s="365">
        <f>IF($Q958="ekrk",IF($R958="data",IFERROR(INDEX(data!$A:$ALL,MATCH($M958,data!$A:$A,0),MATCH(W$2,data!$1:$1,0)),"#data"),IFERROR(V958*INDEX(indexy_SDcast!$A:$ALI,MATCH($R958,indexy_SDcast!$K:$K,0),MATCH(W$2,indexy_SDcast!$2:$2,0)),"#ekrk")),"#popis")</f>
        <v>-1947.0430276407135</v>
      </c>
      <c r="X958" s="365">
        <f>IF($Q958="ekrk",IF($R958="data",IFERROR(INDEX(data!$A:$ALL,MATCH($M958,data!$A:$A,0),MATCH(X$2,data!$1:$1,0)),"#data"),IFERROR(W958*INDEX(indexy_SDcast!$A:$ALI,MATCH($R958,indexy_SDcast!$K:$K,0),MATCH(X$2,indexy_SDcast!$2:$2,0)),"#ekrk")),"#popis")</f>
        <v>-2072.8936515226542</v>
      </c>
      <c r="Y958" s="362">
        <f>IF($Q958="ekrk",IF($R958="data",IFERROR(INDEX(data!$A:$ALL,MATCH($M958,data!$A:$A,0),MATCH(Y$2,data!$1:$1,0)),"#data"),IFERROR(X958*INDEX(indexy_SDcast!$A:$ALI,MATCH($R958,indexy_SDcast!$K:$K,0),MATCH(Y$2,indexy_SDcast!$2:$2,0)),"#ekrk")),"#popis")</f>
        <v>-2205.2680119288598</v>
      </c>
    </row>
    <row r="959" spans="1:44" x14ac:dyDescent="0.25">
      <c r="A959" s="330">
        <v>642002</v>
      </c>
      <c r="B959" s="329">
        <v>-22101.876213135278</v>
      </c>
      <c r="C959" s="157"/>
      <c r="D959" s="330">
        <v>642002</v>
      </c>
      <c r="E959" s="329">
        <v>-22101.876213135278</v>
      </c>
      <c r="F959" s="157"/>
      <c r="G959" s="330">
        <v>642002</v>
      </c>
      <c r="H959" s="329">
        <v>-22101.876213135278</v>
      </c>
      <c r="I959" s="157"/>
      <c r="J959" s="330">
        <v>642002</v>
      </c>
      <c r="K959" s="329">
        <v>-22101.876213135278</v>
      </c>
      <c r="L959" s="157"/>
      <c r="M959" s="360">
        <f t="shared" si="91"/>
        <v>642002</v>
      </c>
      <c r="N959" s="237">
        <f t="shared" si="92"/>
        <v>-22101.876213135278</v>
      </c>
      <c r="O959" s="361"/>
      <c r="P959" s="361"/>
      <c r="Q959" s="361" t="s">
        <v>698</v>
      </c>
      <c r="R959" s="362">
        <v>49</v>
      </c>
      <c r="S959" s="236"/>
      <c r="T959" s="364">
        <f t="shared" si="93"/>
        <v>642002</v>
      </c>
      <c r="U959" s="365">
        <f>N959</f>
        <v>-22101.876213135278</v>
      </c>
      <c r="V959" s="365">
        <f>IF($Q959="ekrk",IF($R959="data",IFERROR(INDEX(data!$A:$ALL,MATCH($M959,data!$A:$A,0),MATCH(V$2,data!$1:$1,0)),"#data"),IFERROR(U959*INDEX(indexy_SDcast!$A:$ALI,MATCH($R959,indexy_SDcast!$K:$K,0),MATCH(V$2,indexy_SDcast!$2:$2,0)),"#ekrk")),"#popis")</f>
        <v>-23719.048333570438</v>
      </c>
      <c r="W959" s="365">
        <f>IF($Q959="ekrk",IF($R959="data",IFERROR(INDEX(data!$A:$ALL,MATCH($M959,data!$A:$A,0),MATCH(W$2,data!$1:$1,0)),"#data"),IFERROR(V959*INDEX(indexy_SDcast!$A:$ALI,MATCH($R959,indexy_SDcast!$K:$K,0),MATCH(W$2,indexy_SDcast!$2:$2,0)),"#ekrk")),"#popis")</f>
        <v>-25437.810038476255</v>
      </c>
      <c r="X959" s="365">
        <f>IF($Q959="ekrk",IF($R959="data",IFERROR(INDEX(data!$A:$ALL,MATCH($M959,data!$A:$A,0),MATCH(X$2,data!$1:$1,0)),"#data"),IFERROR(W959*INDEX(indexy_SDcast!$A:$ALI,MATCH($R959,indexy_SDcast!$K:$K,0),MATCH(X$2,indexy_SDcast!$2:$2,0)),"#ekrk")),"#popis")</f>
        <v>-27082.028588392797</v>
      </c>
      <c r="Y959" s="362">
        <f>IF($Q959="ekrk",IF($R959="data",IFERROR(INDEX(data!$A:$ALL,MATCH($M959,data!$A:$A,0),MATCH(Y$2,data!$1:$1,0)),"#data"),IFERROR(X959*INDEX(indexy_SDcast!$A:$ALI,MATCH($R959,indexy_SDcast!$K:$K,0),MATCH(Y$2,indexy_SDcast!$2:$2,0)),"#ekrk")),"#popis")</f>
        <v>-28811.478726974539</v>
      </c>
    </row>
    <row r="960" spans="1:44" x14ac:dyDescent="0.25">
      <c r="A960" s="330">
        <v>642007</v>
      </c>
      <c r="B960" s="329">
        <v>-1592.7357824770284</v>
      </c>
      <c r="C960" s="157"/>
      <c r="D960" s="330">
        <v>642007</v>
      </c>
      <c r="E960" s="329">
        <v>-1592.7357824770284</v>
      </c>
      <c r="F960" s="157"/>
      <c r="G960" s="330">
        <v>642007</v>
      </c>
      <c r="H960" s="329">
        <v>-1592.7357824770284</v>
      </c>
      <c r="I960" s="157"/>
      <c r="J960" s="330">
        <v>642007</v>
      </c>
      <c r="K960" s="329">
        <v>-1592.7357824770284</v>
      </c>
      <c r="L960" s="157"/>
      <c r="M960" s="360">
        <f t="shared" si="91"/>
        <v>642007</v>
      </c>
      <c r="N960" s="237">
        <f t="shared" si="92"/>
        <v>-1592.7357824770284</v>
      </c>
      <c r="O960" s="361"/>
      <c r="P960" s="361"/>
      <c r="Q960" s="361" t="s">
        <v>698</v>
      </c>
      <c r="R960" s="362">
        <v>49</v>
      </c>
      <c r="S960" s="236"/>
      <c r="T960" s="364">
        <f t="shared" si="93"/>
        <v>642007</v>
      </c>
      <c r="U960" s="365">
        <f>N960</f>
        <v>-1592.7357824770284</v>
      </c>
      <c r="V960" s="365">
        <f>IF($Q960="ekrk",IF($R960="data",IFERROR(INDEX(data!$A:$ALL,MATCH($M960,data!$A:$A,0),MATCH(V$2,data!$1:$1,0)),"#data"),IFERROR(U960*INDEX(indexy_SDcast!$A:$ALI,MATCH($R960,indexy_SDcast!$K:$K,0),MATCH(V$2,indexy_SDcast!$2:$2,0)),"#ekrk")),"#popis")</f>
        <v>-1709.2746626066057</v>
      </c>
      <c r="W960" s="365">
        <f>IF($Q960="ekrk",IF($R960="data",IFERROR(INDEX(data!$A:$ALL,MATCH($M960,data!$A:$A,0),MATCH(W$2,data!$1:$1,0)),"#data"),IFERROR(V960*INDEX(indexy_SDcast!$A:$ALI,MATCH($R960,indexy_SDcast!$K:$K,0),MATCH(W$2,indexy_SDcast!$2:$2,0)),"#ekrk")),"#popis")</f>
        <v>-1833.1344310061675</v>
      </c>
      <c r="X960" s="365">
        <f>IF($Q960="ekrk",IF($R960="data",IFERROR(INDEX(data!$A:$ALL,MATCH($M960,data!$A:$A,0),MATCH(X$2,data!$1:$1,0)),"#data"),IFERROR(W960*INDEX(indexy_SDcast!$A:$ALI,MATCH($R960,indexy_SDcast!$K:$K,0),MATCH(X$2,indexy_SDcast!$2:$2,0)),"#ekrk")),"#popis")</f>
        <v>-1951.6223681120769</v>
      </c>
      <c r="Y960" s="362">
        <f>IF($Q960="ekrk",IF($R960="data",IFERROR(INDEX(data!$A:$ALL,MATCH($M960,data!$A:$A,0),MATCH(Y$2,data!$1:$1,0)),"#data"),IFERROR(X960*INDEX(indexy_SDcast!$A:$ALI,MATCH($R960,indexy_SDcast!$K:$K,0),MATCH(Y$2,indexy_SDcast!$2:$2,0)),"#ekrk")),"#popis")</f>
        <v>-2076.2523811103374</v>
      </c>
    </row>
    <row r="961" spans="1:44" s="18" customFormat="1" x14ac:dyDescent="0.25">
      <c r="A961" s="333" t="s">
        <v>753</v>
      </c>
      <c r="B961" s="334">
        <v>-51246.588186577996</v>
      </c>
      <c r="C961" s="164"/>
      <c r="D961" s="333" t="s">
        <v>753</v>
      </c>
      <c r="E961" s="334">
        <v>-51246.588186577996</v>
      </c>
      <c r="F961" s="164"/>
      <c r="G961" s="333" t="s">
        <v>753</v>
      </c>
      <c r="H961" s="334">
        <v>-51246.588186577996</v>
      </c>
      <c r="I961" s="164"/>
      <c r="J961" s="333" t="s">
        <v>753</v>
      </c>
      <c r="K961" s="334">
        <v>-51246.588186577996</v>
      </c>
      <c r="L961" s="164"/>
      <c r="M961" s="358" t="str">
        <f t="shared" si="91"/>
        <v>P2</v>
      </c>
      <c r="N961" s="239">
        <f t="shared" si="92"/>
        <v>-51246.588186577996</v>
      </c>
      <c r="O961" s="243"/>
      <c r="P961" s="243">
        <f>MATCH(Q961,Q962:Q$1550,0)</f>
        <v>7</v>
      </c>
      <c r="Q961" s="243" t="s">
        <v>697</v>
      </c>
      <c r="R961" s="359"/>
      <c r="S961" s="240"/>
      <c r="T961" s="363" t="str">
        <f t="shared" si="93"/>
        <v>P2</v>
      </c>
      <c r="U961" s="244">
        <f>SUM(U962:U967)</f>
        <v>-51246.588186577996</v>
      </c>
      <c r="V961" s="244">
        <f>SUM(V962:V967)</f>
        <v>-54996.249658010121</v>
      </c>
      <c r="W961" s="244">
        <f>SUM(W962:W967)</f>
        <v>-58981.46215457737</v>
      </c>
      <c r="X961" s="244">
        <f>SUM(X962:X967)</f>
        <v>-62793.834918941546</v>
      </c>
      <c r="Y961" s="359">
        <f>SUM(Y962:Y967)</f>
        <v>-66803.830187508225</v>
      </c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8"/>
      <c r="AN961" s="58"/>
      <c r="AO961" s="58"/>
      <c r="AP961" s="58"/>
      <c r="AQ961" s="58"/>
      <c r="AR961" s="58"/>
    </row>
    <row r="962" spans="1:44" x14ac:dyDescent="0.25">
      <c r="A962" s="330">
        <v>632001</v>
      </c>
      <c r="B962" s="329">
        <v>-16813.669332320063</v>
      </c>
      <c r="C962" s="157"/>
      <c r="D962" s="330">
        <v>632001</v>
      </c>
      <c r="E962" s="329">
        <v>-16813.669332320063</v>
      </c>
      <c r="F962" s="157"/>
      <c r="G962" s="330">
        <v>632001</v>
      </c>
      <c r="H962" s="329">
        <v>-16813.669332320063</v>
      </c>
      <c r="I962" s="157"/>
      <c r="J962" s="330">
        <v>632001</v>
      </c>
      <c r="K962" s="329">
        <v>-16813.669332320063</v>
      </c>
      <c r="L962" s="157"/>
      <c r="M962" s="360">
        <f t="shared" si="91"/>
        <v>632001</v>
      </c>
      <c r="N962" s="237">
        <f t="shared" si="92"/>
        <v>-16813.669332320063</v>
      </c>
      <c r="O962" s="361"/>
      <c r="P962" s="361"/>
      <c r="Q962" s="361" t="s">
        <v>698</v>
      </c>
      <c r="R962" s="362">
        <v>49</v>
      </c>
      <c r="S962" s="236"/>
      <c r="T962" s="364">
        <f t="shared" si="93"/>
        <v>632001</v>
      </c>
      <c r="U962" s="365">
        <f t="shared" ref="U962:U967" si="94">N962</f>
        <v>-16813.669332320063</v>
      </c>
      <c r="V962" s="365">
        <f>IF($Q962="ekrk",IF($R962="data",IFERROR(INDEX(data!$A:$ALL,MATCH($M962,data!$A:$A,0),MATCH(V$2,data!$1:$1,0)),"#data"),IFERROR(U962*INDEX(indexy_SDcast!$A:$ALI,MATCH($R962,indexy_SDcast!$K:$K,0),MATCH(V$2,indexy_SDcast!$2:$2,0)),"#ekrk")),"#popis")</f>
        <v>-18043.908657897504</v>
      </c>
      <c r="W962" s="365">
        <f>IF($Q962="ekrk",IF($R962="data",IFERROR(INDEX(data!$A:$ALL,MATCH($M962,data!$A:$A,0),MATCH(W$2,data!$1:$1,0)),"#data"),IFERROR(V962*INDEX(indexy_SDcast!$A:$ALI,MATCH($R962,indexy_SDcast!$K:$K,0),MATCH(W$2,indexy_SDcast!$2:$2,0)),"#ekrk")),"#popis")</f>
        <v>-19351.430729266558</v>
      </c>
      <c r="X962" s="365">
        <f>IF($Q962="ekrk",IF($R962="data",IFERROR(INDEX(data!$A:$ALL,MATCH($M962,data!$A:$A,0),MATCH(X$2,data!$1:$1,0)),"#data"),IFERROR(W962*INDEX(indexy_SDcast!$A:$ALI,MATCH($R962,indexy_SDcast!$K:$K,0),MATCH(X$2,indexy_SDcast!$2:$2,0)),"#ekrk")),"#popis")</f>
        <v>-20602.245218578271</v>
      </c>
      <c r="Y962" s="362">
        <f>IF($Q962="ekrk",IF($R962="data",IFERROR(INDEX(data!$A:$ALL,MATCH($M962,data!$A:$A,0),MATCH(Y$2,data!$1:$1,0)),"#data"),IFERROR(X962*INDEX(indexy_SDcast!$A:$ALI,MATCH($R962,indexy_SDcast!$K:$K,0),MATCH(Y$2,indexy_SDcast!$2:$2,0)),"#ekrk")),"#popis")</f>
        <v>-21917.898354829529</v>
      </c>
    </row>
    <row r="963" spans="1:44" x14ac:dyDescent="0.25">
      <c r="A963" s="330">
        <v>632002</v>
      </c>
      <c r="B963" s="329">
        <v>-2496.2538104178202</v>
      </c>
      <c r="C963" s="157"/>
      <c r="D963" s="330">
        <v>632002</v>
      </c>
      <c r="E963" s="329">
        <v>-2496.2538104178202</v>
      </c>
      <c r="F963" s="157"/>
      <c r="G963" s="330">
        <v>632002</v>
      </c>
      <c r="H963" s="329">
        <v>-2496.2538104178202</v>
      </c>
      <c r="I963" s="157"/>
      <c r="J963" s="330">
        <v>632002</v>
      </c>
      <c r="K963" s="329">
        <v>-2496.2538104178202</v>
      </c>
      <c r="L963" s="157"/>
      <c r="M963" s="360">
        <f t="shared" si="91"/>
        <v>632002</v>
      </c>
      <c r="N963" s="237">
        <f t="shared" si="92"/>
        <v>-2496.2538104178202</v>
      </c>
      <c r="O963" s="361"/>
      <c r="P963" s="361"/>
      <c r="Q963" s="361" t="s">
        <v>698</v>
      </c>
      <c r="R963" s="362">
        <v>49</v>
      </c>
      <c r="S963" s="236"/>
      <c r="T963" s="364">
        <f t="shared" si="93"/>
        <v>632002</v>
      </c>
      <c r="U963" s="365">
        <f t="shared" si="94"/>
        <v>-2496.2538104178202</v>
      </c>
      <c r="V963" s="365">
        <f>IF($Q963="ekrk",IF($R963="data",IFERROR(INDEX(data!$A:$ALL,MATCH($M963,data!$A:$A,0),MATCH(V$2,data!$1:$1,0)),"#data"),IFERROR(U963*INDEX(indexy_SDcast!$A:$ALI,MATCH($R963,indexy_SDcast!$K:$K,0),MATCH(V$2,indexy_SDcast!$2:$2,0)),"#ekrk")),"#popis")</f>
        <v>-2678.9021986726866</v>
      </c>
      <c r="W963" s="365">
        <f>IF($Q963="ekrk",IF($R963="data",IFERROR(INDEX(data!$A:$ALL,MATCH($M963,data!$A:$A,0),MATCH(W$2,data!$1:$1,0)),"#data"),IFERROR(V963*INDEX(indexy_SDcast!$A:$ALI,MATCH($R963,indexy_SDcast!$K:$K,0),MATCH(W$2,indexy_SDcast!$2:$2,0)),"#ekrk")),"#popis")</f>
        <v>-2873.0244267449589</v>
      </c>
      <c r="X963" s="365">
        <f>IF($Q963="ekrk",IF($R963="data",IFERROR(INDEX(data!$A:$ALL,MATCH($M963,data!$A:$A,0),MATCH(X$2,data!$1:$1,0)),"#data"),IFERROR(W963*INDEX(indexy_SDcast!$A:$ALI,MATCH($R963,indexy_SDcast!$K:$K,0),MATCH(X$2,indexy_SDcast!$2:$2,0)),"#ekrk")),"#popis")</f>
        <v>-3058.7275218491459</v>
      </c>
      <c r="Y963" s="362">
        <f>IF($Q963="ekrk",IF($R963="data",IFERROR(INDEX(data!$A:$ALL,MATCH($M963,data!$A:$A,0),MATCH(Y$2,data!$1:$1,0)),"#data"),IFERROR(X963*INDEX(indexy_SDcast!$A:$ALI,MATCH($R963,indexy_SDcast!$K:$K,0),MATCH(Y$2,indexy_SDcast!$2:$2,0)),"#ekrk")),"#popis")</f>
        <v>-3254.0569344623882</v>
      </c>
    </row>
    <row r="964" spans="1:44" x14ac:dyDescent="0.25">
      <c r="A964" s="330">
        <v>633006</v>
      </c>
      <c r="B964" s="329">
        <v>-4298.6584838660483</v>
      </c>
      <c r="C964" s="157"/>
      <c r="D964" s="330">
        <v>633006</v>
      </c>
      <c r="E964" s="329">
        <v>-4298.6584838660483</v>
      </c>
      <c r="F964" s="157"/>
      <c r="G964" s="330">
        <v>633006</v>
      </c>
      <c r="H964" s="329">
        <v>-4298.6584838660483</v>
      </c>
      <c r="I964" s="157"/>
      <c r="J964" s="330">
        <v>633006</v>
      </c>
      <c r="K964" s="329">
        <v>-4298.6584838660483</v>
      </c>
      <c r="L964" s="157"/>
      <c r="M964" s="360">
        <f t="shared" si="91"/>
        <v>633006</v>
      </c>
      <c r="N964" s="237">
        <f t="shared" si="92"/>
        <v>-4298.6584838660483</v>
      </c>
      <c r="O964" s="361"/>
      <c r="P964" s="361"/>
      <c r="Q964" s="361" t="s">
        <v>698</v>
      </c>
      <c r="R964" s="362">
        <v>49</v>
      </c>
      <c r="S964" s="236"/>
      <c r="T964" s="364">
        <f t="shared" si="93"/>
        <v>633006</v>
      </c>
      <c r="U964" s="365">
        <f t="shared" si="94"/>
        <v>-4298.6584838660483</v>
      </c>
      <c r="V964" s="365">
        <f>IF($Q964="ekrk",IF($R964="data",IFERROR(INDEX(data!$A:$ALL,MATCH($M964,data!$A:$A,0),MATCH(V$2,data!$1:$1,0)),"#data"),IFERROR(U964*INDEX(indexy_SDcast!$A:$ALI,MATCH($R964,indexy_SDcast!$K:$K,0),MATCH(V$2,indexy_SDcast!$2:$2,0)),"#ekrk")),"#popis")</f>
        <v>-4613.1870147628424</v>
      </c>
      <c r="W964" s="365">
        <f>IF($Q964="ekrk",IF($R964="data",IFERROR(INDEX(data!$A:$ALL,MATCH($M964,data!$A:$A,0),MATCH(W$2,data!$1:$1,0)),"#data"),IFERROR(V964*INDEX(indexy_SDcast!$A:$ALI,MATCH($R964,indexy_SDcast!$K:$K,0),MATCH(W$2,indexy_SDcast!$2:$2,0)),"#ekrk")),"#popis")</f>
        <v>-4947.4740007765686</v>
      </c>
      <c r="X964" s="365">
        <f>IF($Q964="ekrk",IF($R964="data",IFERROR(INDEX(data!$A:$ALL,MATCH($M964,data!$A:$A,0),MATCH(X$2,data!$1:$1,0)),"#data"),IFERROR(W964*INDEX(indexy_SDcast!$A:$ALI,MATCH($R964,indexy_SDcast!$K:$K,0),MATCH(X$2,indexy_SDcast!$2:$2,0)),"#ekrk")),"#popis")</f>
        <v>-5267.2628707697941</v>
      </c>
      <c r="Y964" s="362">
        <f>IF($Q964="ekrk",IF($R964="data",IFERROR(INDEX(data!$A:$ALL,MATCH($M964,data!$A:$A,0),MATCH(Y$2,data!$1:$1,0)),"#data"),IFERROR(X964*INDEX(indexy_SDcast!$A:$ALI,MATCH($R964,indexy_SDcast!$K:$K,0),MATCH(Y$2,indexy_SDcast!$2:$2,0)),"#ekrk")),"#popis")</f>
        <v>-5603.6286814795412</v>
      </c>
    </row>
    <row r="965" spans="1:44" x14ac:dyDescent="0.25">
      <c r="A965" s="330">
        <v>633011</v>
      </c>
      <c r="B965" s="329">
        <v>-20451.495252568548</v>
      </c>
      <c r="C965" s="157"/>
      <c r="D965" s="330">
        <v>633011</v>
      </c>
      <c r="E965" s="329">
        <v>-20451.495252568548</v>
      </c>
      <c r="F965" s="157"/>
      <c r="G965" s="330">
        <v>633011</v>
      </c>
      <c r="H965" s="329">
        <v>-20451.495252568548</v>
      </c>
      <c r="I965" s="157"/>
      <c r="J965" s="330">
        <v>633011</v>
      </c>
      <c r="K965" s="329">
        <v>-20451.495252568548</v>
      </c>
      <c r="L965" s="157"/>
      <c r="M965" s="360">
        <f t="shared" si="91"/>
        <v>633011</v>
      </c>
      <c r="N965" s="237">
        <f t="shared" si="92"/>
        <v>-20451.495252568548</v>
      </c>
      <c r="O965" s="361"/>
      <c r="P965" s="361"/>
      <c r="Q965" s="361" t="s">
        <v>698</v>
      </c>
      <c r="R965" s="362">
        <v>49</v>
      </c>
      <c r="S965" s="236"/>
      <c r="T965" s="364">
        <f t="shared" si="93"/>
        <v>633011</v>
      </c>
      <c r="U965" s="365">
        <f t="shared" si="94"/>
        <v>-20451.495252568548</v>
      </c>
      <c r="V965" s="365">
        <f>IF($Q965="ekrk",IF($R965="data",IFERROR(INDEX(data!$A:$ALL,MATCH($M965,data!$A:$A,0),MATCH(V$2,data!$1:$1,0)),"#data"),IFERROR(U965*INDEX(indexy_SDcast!$A:$ALI,MATCH($R965,indexy_SDcast!$K:$K,0),MATCH(V$2,indexy_SDcast!$2:$2,0)),"#ekrk")),"#popis")</f>
        <v>-21947.910652995506</v>
      </c>
      <c r="W965" s="365">
        <f>IF($Q965="ekrk",IF($R965="data",IFERROR(INDEX(data!$A:$ALL,MATCH($M965,data!$A:$A,0),MATCH(W$2,data!$1:$1,0)),"#data"),IFERROR(V965*INDEX(indexy_SDcast!$A:$ALI,MATCH($R965,indexy_SDcast!$K:$K,0),MATCH(W$2,indexy_SDcast!$2:$2,0)),"#ekrk")),"#popis")</f>
        <v>-23538.329787968643</v>
      </c>
      <c r="X965" s="365">
        <f>IF($Q965="ekrk",IF($R965="data",IFERROR(INDEX(data!$A:$ALL,MATCH($M965,data!$A:$A,0),MATCH(X$2,data!$1:$1,0)),"#data"),IFERROR(W965*INDEX(indexy_SDcast!$A:$ALI,MATCH($R965,indexy_SDcast!$K:$K,0),MATCH(X$2,indexy_SDcast!$2:$2,0)),"#ekrk")),"#popis")</f>
        <v>-25059.772019548003</v>
      </c>
      <c r="Y965" s="362">
        <f>IF($Q965="ekrk",IF($R965="data",IFERROR(INDEX(data!$A:$ALL,MATCH($M965,data!$A:$A,0),MATCH(Y$2,data!$1:$1,0)),"#data"),IFERROR(X965*INDEX(indexy_SDcast!$A:$ALI,MATCH($R965,indexy_SDcast!$K:$K,0),MATCH(Y$2,indexy_SDcast!$2:$2,0)),"#ekrk")),"#popis")</f>
        <v>-26660.081466478034</v>
      </c>
    </row>
    <row r="966" spans="1:44" x14ac:dyDescent="0.25">
      <c r="A966" s="330">
        <v>635006</v>
      </c>
      <c r="B966" s="329">
        <v>-3509.8336626497694</v>
      </c>
      <c r="C966" s="157"/>
      <c r="D966" s="330">
        <v>635006</v>
      </c>
      <c r="E966" s="329">
        <v>-3509.8336626497694</v>
      </c>
      <c r="F966" s="157"/>
      <c r="G966" s="330">
        <v>635006</v>
      </c>
      <c r="H966" s="329">
        <v>-3509.8336626497694</v>
      </c>
      <c r="I966" s="157"/>
      <c r="J966" s="330">
        <v>635006</v>
      </c>
      <c r="K966" s="329">
        <v>-3509.8336626497694</v>
      </c>
      <c r="L966" s="157"/>
      <c r="M966" s="360">
        <f t="shared" si="91"/>
        <v>635006</v>
      </c>
      <c r="N966" s="237">
        <f t="shared" si="92"/>
        <v>-3509.8336626497694</v>
      </c>
      <c r="O966" s="361"/>
      <c r="P966" s="361"/>
      <c r="Q966" s="361" t="s">
        <v>698</v>
      </c>
      <c r="R966" s="362">
        <v>49</v>
      </c>
      <c r="S966" s="236"/>
      <c r="T966" s="364">
        <f t="shared" si="93"/>
        <v>635006</v>
      </c>
      <c r="U966" s="365">
        <f t="shared" si="94"/>
        <v>-3509.8336626497694</v>
      </c>
      <c r="V966" s="365">
        <f>IF($Q966="ekrk",IF($R966="data",IFERROR(INDEX(data!$A:$ALL,MATCH($M966,data!$A:$A,0),MATCH(V$2,data!$1:$1,0)),"#data"),IFERROR(U966*INDEX(indexy_SDcast!$A:$ALI,MATCH($R966,indexy_SDcast!$K:$K,0),MATCH(V$2,indexy_SDcast!$2:$2,0)),"#ekrk")),"#popis")</f>
        <v>-3766.6446723516851</v>
      </c>
      <c r="W966" s="365">
        <f>IF($Q966="ekrk",IF($R966="data",IFERROR(INDEX(data!$A:$ALL,MATCH($M966,data!$A:$A,0),MATCH(W$2,data!$1:$1,0)),"#data"),IFERROR(V966*INDEX(indexy_SDcast!$A:$ALI,MATCH($R966,indexy_SDcast!$K:$K,0),MATCH(W$2,indexy_SDcast!$2:$2,0)),"#ekrk")),"#popis")</f>
        <v>-4039.5883641802802</v>
      </c>
      <c r="X966" s="365">
        <f>IF($Q966="ekrk",IF($R966="data",IFERROR(INDEX(data!$A:$ALL,MATCH($M966,data!$A:$A,0),MATCH(X$2,data!$1:$1,0)),"#data"),IFERROR(W966*INDEX(indexy_SDcast!$A:$ALI,MATCH($R966,indexy_SDcast!$K:$K,0),MATCH(X$2,indexy_SDcast!$2:$2,0)),"#ekrk")),"#popis")</f>
        <v>-4300.6944150693253</v>
      </c>
      <c r="Y966" s="362">
        <f>IF($Q966="ekrk",IF($R966="data",IFERROR(INDEX(data!$A:$ALL,MATCH($M966,data!$A:$A,0),MATCH(Y$2,data!$1:$1,0)),"#data"),IFERROR(X966*INDEX(indexy_SDcast!$A:$ALI,MATCH($R966,indexy_SDcast!$K:$K,0),MATCH(Y$2,indexy_SDcast!$2:$2,0)),"#ekrk")),"#popis")</f>
        <v>-4575.3354571117661</v>
      </c>
    </row>
    <row r="967" spans="1:44" x14ac:dyDescent="0.25">
      <c r="A967" s="330">
        <v>637004</v>
      </c>
      <c r="B967" s="329">
        <v>-3676.6776447557436</v>
      </c>
      <c r="C967" s="157"/>
      <c r="D967" s="330">
        <v>637004</v>
      </c>
      <c r="E967" s="329">
        <v>-3676.6776447557436</v>
      </c>
      <c r="F967" s="157"/>
      <c r="G967" s="330">
        <v>637004</v>
      </c>
      <c r="H967" s="329">
        <v>-3676.6776447557436</v>
      </c>
      <c r="I967" s="157"/>
      <c r="J967" s="330">
        <v>637004</v>
      </c>
      <c r="K967" s="329">
        <v>-3676.6776447557436</v>
      </c>
      <c r="L967" s="157"/>
      <c r="M967" s="360">
        <f t="shared" si="91"/>
        <v>637004</v>
      </c>
      <c r="N967" s="237">
        <f t="shared" si="92"/>
        <v>-3676.6776447557436</v>
      </c>
      <c r="O967" s="361"/>
      <c r="P967" s="361"/>
      <c r="Q967" s="361" t="s">
        <v>698</v>
      </c>
      <c r="R967" s="362">
        <v>49</v>
      </c>
      <c r="S967" s="236"/>
      <c r="T967" s="364">
        <f t="shared" si="93"/>
        <v>637004</v>
      </c>
      <c r="U967" s="365">
        <f t="shared" si="94"/>
        <v>-3676.6776447557436</v>
      </c>
      <c r="V967" s="365">
        <f>IF($Q967="ekrk",IF($R967="data",IFERROR(INDEX(data!$A:$ALL,MATCH($M967,data!$A:$A,0),MATCH(V$2,data!$1:$1,0)),"#data"),IFERROR(U967*INDEX(indexy_SDcast!$A:$ALI,MATCH($R967,indexy_SDcast!$K:$K,0),MATCH(V$2,indexy_SDcast!$2:$2,0)),"#ekrk")),"#popis")</f>
        <v>-3945.6964613299019</v>
      </c>
      <c r="W967" s="365">
        <f>IF($Q967="ekrk",IF($R967="data",IFERROR(INDEX(data!$A:$ALL,MATCH($M967,data!$A:$A,0),MATCH(W$2,data!$1:$1,0)),"#data"),IFERROR(V967*INDEX(indexy_SDcast!$A:$ALI,MATCH($R967,indexy_SDcast!$K:$K,0),MATCH(W$2,indexy_SDcast!$2:$2,0)),"#ekrk")),"#popis")</f>
        <v>-4231.6148456403644</v>
      </c>
      <c r="X967" s="365">
        <f>IF($Q967="ekrk",IF($R967="data",IFERROR(INDEX(data!$A:$ALL,MATCH($M967,data!$A:$A,0),MATCH(X$2,data!$1:$1,0)),"#data"),IFERROR(W967*INDEX(indexy_SDcast!$A:$ALI,MATCH($R967,indexy_SDcast!$K:$K,0),MATCH(X$2,indexy_SDcast!$2:$2,0)),"#ekrk")),"#popis")</f>
        <v>-4505.1328731270141</v>
      </c>
      <c r="Y967" s="362">
        <f>IF($Q967="ekrk",IF($R967="data",IFERROR(INDEX(data!$A:$ALL,MATCH($M967,data!$A:$A,0),MATCH(Y$2,data!$1:$1,0)),"#data"),IFERROR(X967*INDEX(indexy_SDcast!$A:$ALI,MATCH($R967,indexy_SDcast!$K:$K,0),MATCH(Y$2,indexy_SDcast!$2:$2,0)),"#ekrk")),"#popis")</f>
        <v>-4792.8292931469687</v>
      </c>
    </row>
    <row r="968" spans="1:44" s="18" customFormat="1" x14ac:dyDescent="0.25">
      <c r="A968" s="333" t="s">
        <v>754</v>
      </c>
      <c r="B968" s="334">
        <v>-11835.027588604411</v>
      </c>
      <c r="C968" s="164"/>
      <c r="D968" s="333" t="s">
        <v>754</v>
      </c>
      <c r="E968" s="334">
        <v>-11835.027588604411</v>
      </c>
      <c r="F968" s="164"/>
      <c r="G968" s="333" t="s">
        <v>754</v>
      </c>
      <c r="H968" s="334">
        <v>-11835.027588604411</v>
      </c>
      <c r="I968" s="164"/>
      <c r="J968" s="333" t="s">
        <v>754</v>
      </c>
      <c r="K968" s="334">
        <v>-11835.027588604411</v>
      </c>
      <c r="L968" s="164"/>
      <c r="M968" s="358" t="str">
        <f t="shared" si="91"/>
        <v>P5111</v>
      </c>
      <c r="N968" s="239">
        <f t="shared" si="92"/>
        <v>-11835.027588604411</v>
      </c>
      <c r="O968" s="243"/>
      <c r="P968" s="243">
        <f>MATCH(Q968,Q969:Q$1550,0)</f>
        <v>6</v>
      </c>
      <c r="Q968" s="243" t="s">
        <v>697</v>
      </c>
      <c r="R968" s="359"/>
      <c r="S968" s="240"/>
      <c r="T968" s="363" t="str">
        <f t="shared" si="93"/>
        <v>P5111</v>
      </c>
      <c r="U968" s="244">
        <f>SUM(U969:U971)</f>
        <v>-11835.027588604411</v>
      </c>
      <c r="V968" s="244">
        <f>SUM(V969:V971)</f>
        <v>-12700.984689997342</v>
      </c>
      <c r="W968" s="244">
        <f>SUM(W969:W971)</f>
        <v>-13621.340590991302</v>
      </c>
      <c r="X968" s="244">
        <f>SUM(X969:X971)</f>
        <v>-14501.78041032178</v>
      </c>
      <c r="Y968" s="359">
        <f>SUM(Y969:Y971)</f>
        <v>-15427.859712633064</v>
      </c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8"/>
      <c r="AN968" s="58"/>
      <c r="AO968" s="58"/>
      <c r="AP968" s="58"/>
      <c r="AQ968" s="58"/>
      <c r="AR968" s="58"/>
    </row>
    <row r="969" spans="1:44" x14ac:dyDescent="0.25">
      <c r="A969" s="330">
        <v>717001</v>
      </c>
      <c r="B969" s="329">
        <v>-1819.6995981399707</v>
      </c>
      <c r="C969" s="157"/>
      <c r="D969" s="330">
        <v>717001</v>
      </c>
      <c r="E969" s="329">
        <v>-1819.6995981399707</v>
      </c>
      <c r="F969" s="157"/>
      <c r="G969" s="330">
        <v>717001</v>
      </c>
      <c r="H969" s="329">
        <v>-1819.6995981399707</v>
      </c>
      <c r="I969" s="157"/>
      <c r="J969" s="330">
        <v>717001</v>
      </c>
      <c r="K969" s="329">
        <v>-1819.6995981399707</v>
      </c>
      <c r="L969" s="157"/>
      <c r="M969" s="360">
        <f t="shared" si="91"/>
        <v>717001</v>
      </c>
      <c r="N969" s="237">
        <f t="shared" si="92"/>
        <v>-1819.6995981399707</v>
      </c>
      <c r="O969" s="361"/>
      <c r="P969" s="361"/>
      <c r="Q969" s="361" t="s">
        <v>698</v>
      </c>
      <c r="R969" s="362">
        <v>49</v>
      </c>
      <c r="S969" s="236"/>
      <c r="T969" s="364">
        <f t="shared" si="93"/>
        <v>717001</v>
      </c>
      <c r="U969" s="365">
        <f>N969</f>
        <v>-1819.6995981399707</v>
      </c>
      <c r="V969" s="365">
        <f>IF($Q969="ekrk",IF($R969="data",IFERROR(INDEX(data!$A:$ALL,MATCH($M969,data!$A:$A,0),MATCH(V$2,data!$1:$1,0)),"#data"),IFERROR(U969*INDEX(indexy_SDcast!$A:$ALI,MATCH($R969,indexy_SDcast!$K:$K,0),MATCH(V$2,indexy_SDcast!$2:$2,0)),"#ekrk")),"#popis")</f>
        <v>-1952.8451930795586</v>
      </c>
      <c r="W969" s="365">
        <f>IF($Q969="ekrk",IF($R969="data",IFERROR(INDEX(data!$A:$ALL,MATCH($M969,data!$A:$A,0),MATCH(W$2,data!$1:$1,0)),"#data"),IFERROR(V969*INDEX(indexy_SDcast!$A:$ALI,MATCH($R969,indexy_SDcast!$K:$K,0),MATCH(W$2,indexy_SDcast!$2:$2,0)),"#ekrk")),"#popis")</f>
        <v>-2094.3548981179351</v>
      </c>
      <c r="X969" s="365">
        <f>IF($Q969="ekrk",IF($R969="data",IFERROR(INDEX(data!$A:$ALL,MATCH($M969,data!$A:$A,0),MATCH(X$2,data!$1:$1,0)),"#data"),IFERROR(W969*INDEX(indexy_SDcast!$A:$ALI,MATCH($R969,indexy_SDcast!$K:$K,0),MATCH(X$2,indexy_SDcast!$2:$2,0)),"#ekrk")),"#popis")</f>
        <v>-2229.7272893884674</v>
      </c>
      <c r="Y969" s="362">
        <f>IF($Q969="ekrk",IF($R969="data",IFERROR(INDEX(data!$A:$ALL,MATCH($M969,data!$A:$A,0),MATCH(Y$2,data!$1:$1,0)),"#data"),IFERROR(X969*INDEX(indexy_SDcast!$A:$ALI,MATCH($R969,indexy_SDcast!$K:$K,0),MATCH(Y$2,indexy_SDcast!$2:$2,0)),"#ekrk")),"#popis")</f>
        <v>-2372.116998381136</v>
      </c>
    </row>
    <row r="970" spans="1:44" x14ac:dyDescent="0.25">
      <c r="A970" s="330">
        <v>717002</v>
      </c>
      <c r="B970" s="329">
        <v>-8015.1837958276974</v>
      </c>
      <c r="C970" s="157"/>
      <c r="D970" s="330">
        <v>717002</v>
      </c>
      <c r="E970" s="329">
        <v>-8015.1837958276974</v>
      </c>
      <c r="F970" s="157"/>
      <c r="G970" s="330">
        <v>717002</v>
      </c>
      <c r="H970" s="329">
        <v>-8015.1837958276974</v>
      </c>
      <c r="I970" s="157"/>
      <c r="J970" s="330">
        <v>717002</v>
      </c>
      <c r="K970" s="329">
        <v>-8015.1837958276974</v>
      </c>
      <c r="L970" s="157"/>
      <c r="M970" s="360">
        <f t="shared" si="91"/>
        <v>717002</v>
      </c>
      <c r="N970" s="237">
        <f t="shared" si="92"/>
        <v>-8015.1837958276974</v>
      </c>
      <c r="O970" s="361"/>
      <c r="P970" s="361"/>
      <c r="Q970" s="361" t="s">
        <v>698</v>
      </c>
      <c r="R970" s="362">
        <v>49</v>
      </c>
      <c r="S970" s="236"/>
      <c r="T970" s="364">
        <f t="shared" si="93"/>
        <v>717002</v>
      </c>
      <c r="U970" s="365">
        <f>N970</f>
        <v>-8015.1837958276974</v>
      </c>
      <c r="V970" s="365">
        <f>IF($Q970="ekrk",IF($R970="data",IFERROR(INDEX(data!$A:$ALL,MATCH($M970,data!$A:$A,0),MATCH(V$2,data!$1:$1,0)),"#data"),IFERROR(U970*INDEX(indexy_SDcast!$A:$ALI,MATCH($R970,indexy_SDcast!$K:$K,0),MATCH(V$2,indexy_SDcast!$2:$2,0)),"#ekrk")),"#popis")</f>
        <v>-8601.646757151897</v>
      </c>
      <c r="W970" s="365">
        <f>IF($Q970="ekrk",IF($R970="data",IFERROR(INDEX(data!$A:$ALL,MATCH($M970,data!$A:$A,0),MATCH(W$2,data!$1:$1,0)),"#data"),IFERROR(V970*INDEX(indexy_SDcast!$A:$ALI,MATCH($R970,indexy_SDcast!$K:$K,0),MATCH(W$2,indexy_SDcast!$2:$2,0)),"#ekrk")),"#popis")</f>
        <v>-9224.9508980855535</v>
      </c>
      <c r="X970" s="365">
        <f>IF($Q970="ekrk",IF($R970="data",IFERROR(INDEX(data!$A:$ALL,MATCH($M970,data!$A:$A,0),MATCH(X$2,data!$1:$1,0)),"#data"),IFERROR(W970*INDEX(indexy_SDcast!$A:$ALI,MATCH($R970,indexy_SDcast!$K:$K,0),MATCH(X$2,indexy_SDcast!$2:$2,0)),"#ekrk")),"#popis")</f>
        <v>-9821.2221716644999</v>
      </c>
      <c r="Y970" s="362">
        <f>IF($Q970="ekrk",IF($R970="data",IFERROR(INDEX(data!$A:$ALL,MATCH($M970,data!$A:$A,0),MATCH(Y$2,data!$1:$1,0)),"#data"),IFERROR(X970*INDEX(indexy_SDcast!$A:$ALI,MATCH($R970,indexy_SDcast!$K:$K,0),MATCH(Y$2,indexy_SDcast!$2:$2,0)),"#ekrk")),"#popis")</f>
        <v>-10448.402443274843</v>
      </c>
    </row>
    <row r="971" spans="1:44" x14ac:dyDescent="0.25">
      <c r="A971" s="369">
        <v>717003</v>
      </c>
      <c r="B971" s="370">
        <v>-2000.1441946367422</v>
      </c>
      <c r="C971" s="157"/>
      <c r="D971" s="369">
        <v>717003</v>
      </c>
      <c r="E971" s="370">
        <v>-2000.1441946367422</v>
      </c>
      <c r="F971" s="157"/>
      <c r="G971" s="369">
        <v>717003</v>
      </c>
      <c r="H971" s="370">
        <v>-2000.1441946367422</v>
      </c>
      <c r="I971" s="157"/>
      <c r="J971" s="369">
        <v>717003</v>
      </c>
      <c r="K971" s="370">
        <v>-2000.1441946367422</v>
      </c>
      <c r="L971" s="157"/>
      <c r="M971" s="371">
        <f t="shared" si="91"/>
        <v>717003</v>
      </c>
      <c r="N971" s="372">
        <f t="shared" si="92"/>
        <v>-2000.1441946367422</v>
      </c>
      <c r="O971" s="373"/>
      <c r="P971" s="373"/>
      <c r="Q971" s="373" t="s">
        <v>698</v>
      </c>
      <c r="R971" s="368">
        <v>49</v>
      </c>
      <c r="S971" s="236"/>
      <c r="T971" s="366">
        <f t="shared" si="93"/>
        <v>717003</v>
      </c>
      <c r="U971" s="367">
        <f>N971</f>
        <v>-2000.1441946367422</v>
      </c>
      <c r="V971" s="367">
        <f>IF($Q971="ekrk",IF($R971="data",IFERROR(INDEX(data!$A:$ALL,MATCH($M971,data!$A:$A,0),MATCH(V$2,data!$1:$1,0)),"#data"),IFERROR(U971*INDEX(indexy_SDcast!$A:$ALI,MATCH($R971,indexy_SDcast!$K:$K,0),MATCH(V$2,indexy_SDcast!$2:$2,0)),"#ekrk")),"#popis")</f>
        <v>-2146.4927397658857</v>
      </c>
      <c r="W971" s="367">
        <f>IF($Q971="ekrk",IF($R971="data",IFERROR(INDEX(data!$A:$ALL,MATCH($M971,data!$A:$A,0),MATCH(W$2,data!$1:$1,0)),"#data"),IFERROR(V971*INDEX(indexy_SDcast!$A:$ALI,MATCH($R971,indexy_SDcast!$K:$K,0),MATCH(W$2,indexy_SDcast!$2:$2,0)),"#ekrk")),"#popis")</f>
        <v>-2302.0347947878136</v>
      </c>
      <c r="X971" s="367">
        <f>IF($Q971="ekrk",IF($R971="data",IFERROR(INDEX(data!$A:$ALL,MATCH($M971,data!$A:$A,0),MATCH(X$2,data!$1:$1,0)),"#data"),IFERROR(W971*INDEX(indexy_SDcast!$A:$ALI,MATCH($R971,indexy_SDcast!$K:$K,0),MATCH(X$2,indexy_SDcast!$2:$2,0)),"#ekrk")),"#popis")</f>
        <v>-2450.8309492688136</v>
      </c>
      <c r="Y971" s="368">
        <f>IF($Q971="ekrk",IF($R971="data",IFERROR(INDEX(data!$A:$ALL,MATCH($M971,data!$A:$A,0),MATCH(Y$2,data!$1:$1,0)),"#data"),IFERROR(X971*INDEX(indexy_SDcast!$A:$ALI,MATCH($R971,indexy_SDcast!$K:$K,0),MATCH(Y$2,indexy_SDcast!$2:$2,0)),"#ekrk")),"#popis")</f>
        <v>-2607.3402709770849</v>
      </c>
    </row>
    <row r="972" spans="1:44" x14ac:dyDescent="0.25">
      <c r="A972" s="157"/>
      <c r="B972" s="157"/>
      <c r="C972" s="157"/>
      <c r="D972" s="157"/>
      <c r="E972" s="157"/>
      <c r="F972" s="157"/>
      <c r="G972" s="157"/>
      <c r="H972" s="157"/>
      <c r="I972" s="157"/>
      <c r="J972" s="160"/>
      <c r="K972" s="160"/>
      <c r="L972" s="157"/>
      <c r="M972" s="160"/>
      <c r="N972" s="160"/>
      <c r="O972" s="236"/>
      <c r="P972" s="236"/>
      <c r="Q972" s="236"/>
      <c r="R972" s="238"/>
      <c r="S972" s="236"/>
      <c r="T972" s="236"/>
      <c r="U972" s="238"/>
      <c r="V972" s="238"/>
      <c r="W972" s="238"/>
      <c r="X972" s="238"/>
      <c r="Y972" s="238"/>
    </row>
    <row r="973" spans="1:44" x14ac:dyDescent="0.25">
      <c r="A973" s="331" t="s">
        <v>1108</v>
      </c>
      <c r="B973" s="341" t="s">
        <v>146</v>
      </c>
      <c r="C973" s="157"/>
      <c r="D973" s="331" t="s">
        <v>1108</v>
      </c>
      <c r="E973" s="341" t="s">
        <v>146</v>
      </c>
      <c r="F973" s="157"/>
      <c r="G973" s="331" t="s">
        <v>1108</v>
      </c>
      <c r="H973" s="341" t="s">
        <v>146</v>
      </c>
      <c r="I973" s="157"/>
      <c r="J973" s="331" t="s">
        <v>1108</v>
      </c>
      <c r="K973" s="341" t="s">
        <v>146</v>
      </c>
      <c r="L973" s="157"/>
      <c r="M973" s="331" t="str">
        <f t="shared" si="91"/>
        <v>Časť 8</v>
      </c>
      <c r="N973" s="459" t="str">
        <f t="shared" si="92"/>
        <v>Ostatné</v>
      </c>
      <c r="O973" s="459"/>
      <c r="P973" s="459"/>
      <c r="Q973" s="459"/>
      <c r="R973" s="460"/>
      <c r="S973" s="236"/>
      <c r="T973" s="331" t="str">
        <f t="shared" ref="T973:T994" si="95">M973</f>
        <v>Časť 8</v>
      </c>
      <c r="U973" s="459" t="str">
        <f>N973</f>
        <v>Ostatné</v>
      </c>
      <c r="V973" s="459"/>
      <c r="W973" s="459"/>
      <c r="X973" s="459"/>
      <c r="Y973" s="460"/>
    </row>
    <row r="974" spans="1:44" s="18" customFormat="1" x14ac:dyDescent="0.25">
      <c r="A974" s="333" t="s">
        <v>696</v>
      </c>
      <c r="B974" s="334">
        <v>-2456246.5955506857</v>
      </c>
      <c r="C974" s="164"/>
      <c r="D974" s="333" t="s">
        <v>696</v>
      </c>
      <c r="E974" s="334">
        <v>-2456246.5955506857</v>
      </c>
      <c r="F974" s="164"/>
      <c r="G974" s="333" t="s">
        <v>696</v>
      </c>
      <c r="H974" s="334">
        <v>-2456246.5955506857</v>
      </c>
      <c r="I974" s="164"/>
      <c r="J974" s="333" t="s">
        <v>696</v>
      </c>
      <c r="K974" s="334">
        <v>-2456246.5955506857</v>
      </c>
      <c r="L974" s="164"/>
      <c r="M974" s="358" t="str">
        <f t="shared" ref="M974:M1036" si="96">J974</f>
        <v>D11PAY</v>
      </c>
      <c r="N974" s="239">
        <f t="shared" ref="N974:N1036" si="97">K974</f>
        <v>-2456246.5955506857</v>
      </c>
      <c r="O974" s="243"/>
      <c r="P974" s="243">
        <f>MATCH(Q974,Q975:Q$1550,0)</f>
        <v>24</v>
      </c>
      <c r="Q974" s="243" t="s">
        <v>697</v>
      </c>
      <c r="R974" s="359" t="str">
        <f>IF(Q974="ekrk",INDEX(indexy_SDcast!$A:$C,MATCH($M974,indexy_SDcast!$A:$A,0),2),"")</f>
        <v/>
      </c>
      <c r="S974" s="240"/>
      <c r="T974" s="363" t="str">
        <f t="shared" si="95"/>
        <v>D11PAY</v>
      </c>
      <c r="U974" s="244">
        <f>SUM(U975:U997)</f>
        <v>-2456246.5955506857</v>
      </c>
      <c r="V974" s="244">
        <f>SUM(V975:V997)</f>
        <v>-2524314.6151479944</v>
      </c>
      <c r="W974" s="244">
        <f>SUM(W975:W997)</f>
        <v>-2615486.0066229883</v>
      </c>
      <c r="X974" s="244">
        <f>SUM(X975:X997)</f>
        <v>-2724465.6136130495</v>
      </c>
      <c r="Y974" s="359">
        <f>SUM(Y975:Y997)</f>
        <v>-2846777.2772262995</v>
      </c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8"/>
      <c r="AN974" s="58"/>
      <c r="AO974" s="58"/>
      <c r="AP974" s="58"/>
      <c r="AQ974" s="58"/>
      <c r="AR974" s="58"/>
    </row>
    <row r="975" spans="1:44" x14ac:dyDescent="0.25">
      <c r="A975" s="330">
        <v>611000</v>
      </c>
      <c r="B975" s="329">
        <v>-1530278.6741438401</v>
      </c>
      <c r="C975" s="157"/>
      <c r="D975" s="330">
        <v>611000</v>
      </c>
      <c r="E975" s="329">
        <v>-1530278.6741438401</v>
      </c>
      <c r="F975" s="157"/>
      <c r="G975" s="330">
        <v>611000</v>
      </c>
      <c r="H975" s="356">
        <f>E975+E995</f>
        <v>-1680038.6741438401</v>
      </c>
      <c r="I975" s="157"/>
      <c r="J975" s="330">
        <v>611000</v>
      </c>
      <c r="K975" s="329">
        <f>H975+H995</f>
        <v>-1680038.6741438401</v>
      </c>
      <c r="L975" s="157"/>
      <c r="M975" s="360">
        <f t="shared" si="96"/>
        <v>611000</v>
      </c>
      <c r="N975" s="237">
        <f t="shared" si="97"/>
        <v>-1680038.6741438401</v>
      </c>
      <c r="O975" s="361"/>
      <c r="P975" s="361"/>
      <c r="Q975" s="361" t="s">
        <v>698</v>
      </c>
      <c r="R975" s="362">
        <f>IF(Q975="ekrk",INDEX(indexy_SDcast!$A:$C,MATCH($M975,indexy_SDcast!$A:$A,0),2),"")</f>
        <v>39</v>
      </c>
      <c r="S975" s="236"/>
      <c r="T975" s="364">
        <f t="shared" si="95"/>
        <v>611000</v>
      </c>
      <c r="U975" s="365">
        <f t="shared" ref="U975:U994" si="98">N975</f>
        <v>-1680038.6741438401</v>
      </c>
      <c r="V975" s="365">
        <f>IF($Q975="ekrk",IF($R975="data",IFERROR(INDEX(data!$A:$ALL,MATCH($M975,data!$A:$A,0),MATCH(V$2,data!$1:$1,0)),"#data"),IFERROR(U975*INDEX(indexy_SDcast!$A:$ALI,MATCH($R975,indexy_SDcast!$K:$K,0),MATCH(V$2,indexy_SDcast!$2:$2,0)),"#ekrk")),"#popis")</f>
        <v>-1728736.9480805856</v>
      </c>
      <c r="W975" s="365">
        <f>IF($Q975="ekrk",IF($R975="data",IFERROR(INDEX(data!$A:$ALL,MATCH($M975,data!$A:$A,0),MATCH(W$2,data!$1:$1,0)),"#data"),IFERROR(V975*INDEX(indexy_SDcast!$A:$ALI,MATCH($R975,indexy_SDcast!$K:$K,0),MATCH(W$2,indexy_SDcast!$2:$2,0)),"#ekrk")),"#popis")</f>
        <v>-1792660.5563008811</v>
      </c>
      <c r="X975" s="365">
        <f>IF($Q975="ekrk",IF($R975="data",IFERROR(INDEX(data!$A:$ALL,MATCH($M975,data!$A:$A,0),MATCH(X$2,data!$1:$1,0)),"#data"),IFERROR(W975*INDEX(indexy_SDcast!$A:$ALI,MATCH($R975,indexy_SDcast!$K:$K,0),MATCH(X$2,indexy_SDcast!$2:$2,0)),"#ekrk")),"#popis")</f>
        <v>-1869266.8988919747</v>
      </c>
      <c r="Y975" s="362">
        <f>IF($Q975="ekrk",IF($R975="data",IFERROR(INDEX(data!$A:$ALL,MATCH($M975,data!$A:$A,0),MATCH(Y$2,data!$1:$1,0)),"#data"),IFERROR(X975*INDEX(indexy_SDcast!$A:$ALI,MATCH($R975,indexy_SDcast!$K:$K,0),MATCH(Y$2,indexy_SDcast!$2:$2,0)),"#ekrk")),"#popis")</f>
        <v>-1955429.6565423789</v>
      </c>
    </row>
    <row r="976" spans="1:44" x14ac:dyDescent="0.25">
      <c r="A976" s="330">
        <v>612000</v>
      </c>
      <c r="B976" s="329">
        <v>-408.58947000000001</v>
      </c>
      <c r="C976" s="157"/>
      <c r="D976" s="330">
        <v>612000</v>
      </c>
      <c r="E976" s="329">
        <v>-408.58947000000001</v>
      </c>
      <c r="F976" s="157"/>
      <c r="G976" s="330">
        <v>612000</v>
      </c>
      <c r="H976" s="329">
        <v>-408.58947000000001</v>
      </c>
      <c r="I976" s="157"/>
      <c r="J976" s="330">
        <v>612000</v>
      </c>
      <c r="K976" s="329">
        <v>-408.58947000000001</v>
      </c>
      <c r="L976" s="157"/>
      <c r="M976" s="360">
        <f t="shared" si="96"/>
        <v>612000</v>
      </c>
      <c r="N976" s="237">
        <f t="shared" si="97"/>
        <v>-408.58947000000001</v>
      </c>
      <c r="O976" s="361"/>
      <c r="P976" s="361"/>
      <c r="Q976" s="361" t="s">
        <v>698</v>
      </c>
      <c r="R976" s="362">
        <f>IF(Q976="ekrk",INDEX(indexy_SDcast!$A:$C,MATCH($M976,indexy_SDcast!$A:$A,0),2),"")</f>
        <v>39</v>
      </c>
      <c r="S976" s="236"/>
      <c r="T976" s="364">
        <f t="shared" si="95"/>
        <v>612000</v>
      </c>
      <c r="U976" s="365">
        <f t="shared" si="98"/>
        <v>-408.58947000000001</v>
      </c>
      <c r="V976" s="365">
        <f>IF($Q976="ekrk",IF($R976="data",IFERROR(INDEX(data!$A:$ALL,MATCH($M976,data!$A:$A,0),MATCH(V$2,data!$1:$1,0)),"#data"),IFERROR(U976*INDEX(indexy_SDcast!$A:$ALI,MATCH($R976,indexy_SDcast!$K:$K,0),MATCH(V$2,indexy_SDcast!$2:$2,0)),"#ekrk")),"#popis")</f>
        <v>-420.43300803514052</v>
      </c>
      <c r="W976" s="365">
        <f>IF($Q976="ekrk",IF($R976="data",IFERROR(INDEX(data!$A:$ALL,MATCH($M976,data!$A:$A,0),MATCH(W$2,data!$1:$1,0)),"#data"),IFERROR(V976*INDEX(indexy_SDcast!$A:$ALI,MATCH($R976,indexy_SDcast!$K:$K,0),MATCH(W$2,indexy_SDcast!$2:$2,0)),"#ekrk")),"#popis")</f>
        <v>-435.97938420206322</v>
      </c>
      <c r="X976" s="365">
        <f>IF($Q976="ekrk",IF($R976="data",IFERROR(INDEX(data!$A:$ALL,MATCH($M976,data!$A:$A,0),MATCH(X$2,data!$1:$1,0)),"#data"),IFERROR(W976*INDEX(indexy_SDcast!$A:$ALI,MATCH($R976,indexy_SDcast!$K:$K,0),MATCH(X$2,indexy_SDcast!$2:$2,0)),"#ekrk")),"#popis")</f>
        <v>-454.61023205077976</v>
      </c>
      <c r="Y976" s="362">
        <f>IF($Q976="ekrk",IF($R976="data",IFERROR(INDEX(data!$A:$ALL,MATCH($M976,data!$A:$A,0),MATCH(Y$2,data!$1:$1,0)),"#data"),IFERROR(X976*INDEX(indexy_SDcast!$A:$ALI,MATCH($R976,indexy_SDcast!$K:$K,0),MATCH(Y$2,indexy_SDcast!$2:$2,0)),"#ekrk")),"#popis")</f>
        <v>-475.56522316136119</v>
      </c>
    </row>
    <row r="977" spans="1:25" x14ac:dyDescent="0.25">
      <c r="A977" s="330">
        <v>612001</v>
      </c>
      <c r="B977" s="329">
        <v>-212734.39512596696</v>
      </c>
      <c r="C977" s="157"/>
      <c r="D977" s="330">
        <v>612001</v>
      </c>
      <c r="E977" s="329">
        <v>-212734.39512596696</v>
      </c>
      <c r="F977" s="157"/>
      <c r="G977" s="330">
        <v>612001</v>
      </c>
      <c r="H977" s="329">
        <v>-212734.39512596696</v>
      </c>
      <c r="I977" s="157"/>
      <c r="J977" s="330">
        <v>612001</v>
      </c>
      <c r="K977" s="329">
        <v>-212734.39512596696</v>
      </c>
      <c r="L977" s="157"/>
      <c r="M977" s="360">
        <f t="shared" si="96"/>
        <v>612001</v>
      </c>
      <c r="N977" s="237">
        <f t="shared" si="97"/>
        <v>-212734.39512596696</v>
      </c>
      <c r="O977" s="361"/>
      <c r="P977" s="361"/>
      <c r="Q977" s="361" t="s">
        <v>698</v>
      </c>
      <c r="R977" s="362">
        <f>IF(Q977="ekrk",INDEX(indexy_SDcast!$A:$C,MATCH($M977,indexy_SDcast!$A:$A,0),2),"")</f>
        <v>39</v>
      </c>
      <c r="S977" s="236"/>
      <c r="T977" s="364">
        <f t="shared" si="95"/>
        <v>612001</v>
      </c>
      <c r="U977" s="365">
        <f t="shared" si="98"/>
        <v>-212734.39512596696</v>
      </c>
      <c r="V977" s="365">
        <f>IF($Q977="ekrk",IF($R977="data",IFERROR(INDEX(data!$A:$ALL,MATCH($M977,data!$A:$A,0),MATCH(V$2,data!$1:$1,0)),"#data"),IFERROR(U977*INDEX(indexy_SDcast!$A:$ALI,MATCH($R977,indexy_SDcast!$K:$K,0),MATCH(V$2,indexy_SDcast!$2:$2,0)),"#ekrk")),"#popis")</f>
        <v>-218900.79951239668</v>
      </c>
      <c r="W977" s="365">
        <f>IF($Q977="ekrk",IF($R977="data",IFERROR(INDEX(data!$A:$ALL,MATCH($M977,data!$A:$A,0),MATCH(W$2,data!$1:$1,0)),"#data"),IFERROR(V977*INDEX(indexy_SDcast!$A:$ALI,MATCH($R977,indexy_SDcast!$K:$K,0),MATCH(W$2,indexy_SDcast!$2:$2,0)),"#ekrk")),"#popis")</f>
        <v>-226995.10730322413</v>
      </c>
      <c r="X977" s="365">
        <f>IF($Q977="ekrk",IF($R977="data",IFERROR(INDEX(data!$A:$ALL,MATCH($M977,data!$A:$A,0),MATCH(X$2,data!$1:$1,0)),"#data"),IFERROR(W977*INDEX(indexy_SDcast!$A:$ALI,MATCH($R977,indexy_SDcast!$K:$K,0),MATCH(X$2,indexy_SDcast!$2:$2,0)),"#ekrk")),"#popis")</f>
        <v>-236695.36254421365</v>
      </c>
      <c r="Y977" s="362">
        <f>IF($Q977="ekrk",IF($R977="data",IFERROR(INDEX(data!$A:$ALL,MATCH($M977,data!$A:$A,0),MATCH(Y$2,data!$1:$1,0)),"#data"),IFERROR(X977*INDEX(indexy_SDcast!$A:$ALI,MATCH($R977,indexy_SDcast!$K:$K,0),MATCH(Y$2,indexy_SDcast!$2:$2,0)),"#ekrk")),"#popis")</f>
        <v>-247605.69598667743</v>
      </c>
    </row>
    <row r="978" spans="1:25" x14ac:dyDescent="0.25">
      <c r="A978" s="330">
        <v>612002</v>
      </c>
      <c r="B978" s="329">
        <v>-141651.54888493704</v>
      </c>
      <c r="C978" s="157"/>
      <c r="D978" s="330">
        <v>612002</v>
      </c>
      <c r="E978" s="329">
        <v>-141651.54888493704</v>
      </c>
      <c r="F978" s="157"/>
      <c r="G978" s="330">
        <v>612002</v>
      </c>
      <c r="H978" s="329">
        <v>-141651.54888493704</v>
      </c>
      <c r="I978" s="157"/>
      <c r="J978" s="330">
        <v>612002</v>
      </c>
      <c r="K978" s="329">
        <v>-141651.54888493704</v>
      </c>
      <c r="L978" s="157"/>
      <c r="M978" s="360">
        <f t="shared" si="96"/>
        <v>612002</v>
      </c>
      <c r="N978" s="237">
        <f t="shared" si="97"/>
        <v>-141651.54888493704</v>
      </c>
      <c r="O978" s="361"/>
      <c r="P978" s="361"/>
      <c r="Q978" s="361" t="s">
        <v>698</v>
      </c>
      <c r="R978" s="362">
        <f>IF(Q978="ekrk",INDEX(indexy_SDcast!$A:$C,MATCH($M978,indexy_SDcast!$A:$A,0),2),"")</f>
        <v>39</v>
      </c>
      <c r="S978" s="236"/>
      <c r="T978" s="364">
        <f t="shared" si="95"/>
        <v>612002</v>
      </c>
      <c r="U978" s="365">
        <f t="shared" si="98"/>
        <v>-141651.54888493704</v>
      </c>
      <c r="V978" s="365">
        <f>IF($Q978="ekrk",IF($R978="data",IFERROR(INDEX(data!$A:$ALL,MATCH($M978,data!$A:$A,0),MATCH(V$2,data!$1:$1,0)),"#data"),IFERROR(U978*INDEX(indexy_SDcast!$A:$ALI,MATCH($R978,indexy_SDcast!$K:$K,0),MATCH(V$2,indexy_SDcast!$2:$2,0)),"#ekrk")),"#popis")</f>
        <v>-145757.51741847591</v>
      </c>
      <c r="W978" s="365">
        <f>IF($Q978="ekrk",IF($R978="data",IFERROR(INDEX(data!$A:$ALL,MATCH($M978,data!$A:$A,0),MATCH(W$2,data!$1:$1,0)),"#data"),IFERROR(V978*INDEX(indexy_SDcast!$A:$ALI,MATCH($R978,indexy_SDcast!$K:$K,0),MATCH(W$2,indexy_SDcast!$2:$2,0)),"#ekrk")),"#popis")</f>
        <v>-151147.20174781623</v>
      </c>
      <c r="X978" s="365">
        <f>IF($Q978="ekrk",IF($R978="data",IFERROR(INDEX(data!$A:$ALL,MATCH($M978,data!$A:$A,0),MATCH(X$2,data!$1:$1,0)),"#data"),IFERROR(W978*INDEX(indexy_SDcast!$A:$ALI,MATCH($R978,indexy_SDcast!$K:$K,0),MATCH(X$2,indexy_SDcast!$2:$2,0)),"#ekrk")),"#popis")</f>
        <v>-157606.22394143834</v>
      </c>
      <c r="Y978" s="362">
        <f>IF($Q978="ekrk",IF($R978="data",IFERROR(INDEX(data!$A:$ALL,MATCH($M978,data!$A:$A,0),MATCH(Y$2,data!$1:$1,0)),"#data"),IFERROR(X978*INDEX(indexy_SDcast!$A:$ALI,MATCH($R978,indexy_SDcast!$K:$K,0),MATCH(Y$2,indexy_SDcast!$2:$2,0)),"#ekrk")),"#popis")</f>
        <v>-164870.99008356125</v>
      </c>
    </row>
    <row r="979" spans="1:25" x14ac:dyDescent="0.25">
      <c r="A979" s="330">
        <v>613000</v>
      </c>
      <c r="B979" s="329">
        <v>-14151.560389999995</v>
      </c>
      <c r="C979" s="157"/>
      <c r="D979" s="330">
        <v>613000</v>
      </c>
      <c r="E979" s="329">
        <v>-14151.560389999995</v>
      </c>
      <c r="F979" s="157"/>
      <c r="G979" s="330">
        <v>613000</v>
      </c>
      <c r="H979" s="329">
        <v>-14151.560389999995</v>
      </c>
      <c r="I979" s="157"/>
      <c r="J979" s="330">
        <v>613000</v>
      </c>
      <c r="K979" s="329">
        <v>-14151.560389999995</v>
      </c>
      <c r="L979" s="157"/>
      <c r="M979" s="360">
        <f t="shared" si="96"/>
        <v>613000</v>
      </c>
      <c r="N979" s="237">
        <f t="shared" si="97"/>
        <v>-14151.560389999995</v>
      </c>
      <c r="O979" s="361"/>
      <c r="P979" s="361"/>
      <c r="Q979" s="361" t="s">
        <v>698</v>
      </c>
      <c r="R979" s="362">
        <f>IF(Q979="ekrk",INDEX(indexy_SDcast!$A:$C,MATCH($M979,indexy_SDcast!$A:$A,0),2),"")</f>
        <v>39</v>
      </c>
      <c r="S979" s="236"/>
      <c r="T979" s="364">
        <f t="shared" si="95"/>
        <v>613000</v>
      </c>
      <c r="U979" s="365">
        <f t="shared" si="98"/>
        <v>-14151.560389999995</v>
      </c>
      <c r="V979" s="365">
        <f>IF($Q979="ekrk",IF($R979="data",IFERROR(INDEX(data!$A:$ALL,MATCH($M979,data!$A:$A,0),MATCH(V$2,data!$1:$1,0)),"#data"),IFERROR(U979*INDEX(indexy_SDcast!$A:$ALI,MATCH($R979,indexy_SDcast!$K:$K,0),MATCH(V$2,indexy_SDcast!$2:$2,0)),"#ekrk")),"#popis")</f>
        <v>-14561.763187775357</v>
      </c>
      <c r="W979" s="365">
        <f>IF($Q979="ekrk",IF($R979="data",IFERROR(INDEX(data!$A:$ALL,MATCH($M979,data!$A:$A,0),MATCH(W$2,data!$1:$1,0)),"#data"),IFERROR(V979*INDEX(indexy_SDcast!$A:$ALI,MATCH($R979,indexy_SDcast!$K:$K,0),MATCH(W$2,indexy_SDcast!$2:$2,0)),"#ekrk")),"#popis")</f>
        <v>-15100.214365119364</v>
      </c>
      <c r="X979" s="365">
        <f>IF($Q979="ekrk",IF($R979="data",IFERROR(INDEX(data!$A:$ALL,MATCH($M979,data!$A:$A,0),MATCH(X$2,data!$1:$1,0)),"#data"),IFERROR(W979*INDEX(indexy_SDcast!$A:$ALI,MATCH($R979,indexy_SDcast!$K:$K,0),MATCH(X$2,indexy_SDcast!$2:$2,0)),"#ekrk")),"#popis")</f>
        <v>-15745.496703031826</v>
      </c>
      <c r="Y979" s="362">
        <f>IF($Q979="ekrk",IF($R979="data",IFERROR(INDEX(data!$A:$ALL,MATCH($M979,data!$A:$A,0),MATCH(Y$2,data!$1:$1,0)),"#data"),IFERROR(X979*INDEX(indexy_SDcast!$A:$ALI,MATCH($R979,indexy_SDcast!$K:$K,0),MATCH(Y$2,indexy_SDcast!$2:$2,0)),"#ekrk")),"#popis")</f>
        <v>-16471.276107413702</v>
      </c>
    </row>
    <row r="980" spans="1:25" x14ac:dyDescent="0.25">
      <c r="A980" s="330">
        <v>614000</v>
      </c>
      <c r="B980" s="329">
        <v>-108335.27756049603</v>
      </c>
      <c r="C980" s="157"/>
      <c r="D980" s="330">
        <v>614000</v>
      </c>
      <c r="E980" s="329">
        <v>-108335.27756049603</v>
      </c>
      <c r="F980" s="157"/>
      <c r="G980" s="330">
        <v>614000</v>
      </c>
      <c r="H980" s="329">
        <v>-108335.27756049603</v>
      </c>
      <c r="I980" s="157"/>
      <c r="J980" s="330">
        <v>614000</v>
      </c>
      <c r="K980" s="329">
        <v>-108335.27756049603</v>
      </c>
      <c r="L980" s="157"/>
      <c r="M980" s="360">
        <f t="shared" si="96"/>
        <v>614000</v>
      </c>
      <c r="N980" s="237">
        <f t="shared" si="97"/>
        <v>-108335.27756049603</v>
      </c>
      <c r="O980" s="361"/>
      <c r="P980" s="361"/>
      <c r="Q980" s="361" t="s">
        <v>698</v>
      </c>
      <c r="R980" s="362">
        <f>IF(Q980="ekrk",INDEX(indexy_SDcast!$A:$C,MATCH($M980,indexy_SDcast!$A:$A,0),2),"")</f>
        <v>39</v>
      </c>
      <c r="S980" s="236"/>
      <c r="T980" s="364">
        <f t="shared" si="95"/>
        <v>614000</v>
      </c>
      <c r="U980" s="365">
        <f t="shared" si="98"/>
        <v>-108335.27756049603</v>
      </c>
      <c r="V980" s="365">
        <f>IF($Q980="ekrk",IF($R980="data",IFERROR(INDEX(data!$A:$ALL,MATCH($M980,data!$A:$A,0),MATCH(V$2,data!$1:$1,0)),"#data"),IFERROR(U980*INDEX(indexy_SDcast!$A:$ALI,MATCH($R980,indexy_SDcast!$K:$K,0),MATCH(V$2,indexy_SDcast!$2:$2,0)),"#ekrk")),"#popis")</f>
        <v>-111475.5273088198</v>
      </c>
      <c r="W980" s="365">
        <f>IF($Q980="ekrk",IF($R980="data",IFERROR(INDEX(data!$A:$ALL,MATCH($M980,data!$A:$A,0),MATCH(W$2,data!$1:$1,0)),"#data"),IFERROR(V980*INDEX(indexy_SDcast!$A:$ALI,MATCH($R980,indexy_SDcast!$K:$K,0),MATCH(W$2,indexy_SDcast!$2:$2,0)),"#ekrk")),"#popis")</f>
        <v>-115597.56446534136</v>
      </c>
      <c r="X980" s="365">
        <f>IF($Q980="ekrk",IF($R980="data",IFERROR(INDEX(data!$A:$ALL,MATCH($M980,data!$A:$A,0),MATCH(X$2,data!$1:$1,0)),"#data"),IFERROR(W980*INDEX(indexy_SDcast!$A:$ALI,MATCH($R980,indexy_SDcast!$K:$K,0),MATCH(X$2,indexy_SDcast!$2:$2,0)),"#ekrk")),"#popis")</f>
        <v>-120537.43252625364</v>
      </c>
      <c r="Y980" s="362">
        <f>IF($Q980="ekrk",IF($R980="data",IFERROR(INDEX(data!$A:$ALL,MATCH($M980,data!$A:$A,0),MATCH(Y$2,data!$1:$1,0)),"#data"),IFERROR(X980*INDEX(indexy_SDcast!$A:$ALI,MATCH($R980,indexy_SDcast!$K:$K,0),MATCH(Y$2,indexy_SDcast!$2:$2,0)),"#ekrk")),"#popis")</f>
        <v>-126093.53454288801</v>
      </c>
    </row>
    <row r="981" spans="1:25" x14ac:dyDescent="0.25">
      <c r="A981" s="330">
        <v>615000</v>
      </c>
      <c r="B981" s="329">
        <v>-21301.546340000008</v>
      </c>
      <c r="C981" s="157"/>
      <c r="D981" s="330">
        <v>615000</v>
      </c>
      <c r="E981" s="329">
        <v>-21301.546340000008</v>
      </c>
      <c r="F981" s="157"/>
      <c r="G981" s="330">
        <v>615000</v>
      </c>
      <c r="H981" s="329">
        <v>-21301.546340000008</v>
      </c>
      <c r="I981" s="157"/>
      <c r="J981" s="330">
        <v>615000</v>
      </c>
      <c r="K981" s="329">
        <v>-21301.546340000008</v>
      </c>
      <c r="L981" s="157"/>
      <c r="M981" s="360">
        <f t="shared" si="96"/>
        <v>615000</v>
      </c>
      <c r="N981" s="237">
        <f t="shared" si="97"/>
        <v>-21301.546340000008</v>
      </c>
      <c r="O981" s="361"/>
      <c r="P981" s="361"/>
      <c r="Q981" s="361" t="s">
        <v>698</v>
      </c>
      <c r="R981" s="362">
        <f>IF(Q981="ekrk",INDEX(indexy_SDcast!$A:$C,MATCH($M981,indexy_SDcast!$A:$A,0),2),"")</f>
        <v>39</v>
      </c>
      <c r="S981" s="236"/>
      <c r="T981" s="364">
        <f t="shared" si="95"/>
        <v>615000</v>
      </c>
      <c r="U981" s="365">
        <f t="shared" si="98"/>
        <v>-21301.546340000008</v>
      </c>
      <c r="V981" s="365">
        <f>IF($Q981="ekrk",IF($R981="data",IFERROR(INDEX(data!$A:$ALL,MATCH($M981,data!$A:$A,0),MATCH(V$2,data!$1:$1,0)),"#data"),IFERROR(U981*INDEX(indexy_SDcast!$A:$ALI,MATCH($R981,indexy_SDcast!$K:$K,0),MATCH(V$2,indexy_SDcast!$2:$2,0)),"#ekrk")),"#popis")</f>
        <v>-21919.00149440009</v>
      </c>
      <c r="W981" s="365">
        <f>IF($Q981="ekrk",IF($R981="data",IFERROR(INDEX(data!$A:$ALL,MATCH($M981,data!$A:$A,0),MATCH(W$2,data!$1:$1,0)),"#data"),IFERROR(V981*INDEX(indexy_SDcast!$A:$ALI,MATCH($R981,indexy_SDcast!$K:$K,0),MATCH(W$2,indexy_SDcast!$2:$2,0)),"#ekrk")),"#popis")</f>
        <v>-22729.501707092248</v>
      </c>
      <c r="X981" s="365">
        <f>IF($Q981="ekrk",IF($R981="data",IFERROR(INDEX(data!$A:$ALL,MATCH($M981,data!$A:$A,0),MATCH(X$2,data!$1:$1,0)),"#data"),IFERROR(W981*INDEX(indexy_SDcast!$A:$ALI,MATCH($R981,indexy_SDcast!$K:$K,0),MATCH(X$2,indexy_SDcast!$2:$2,0)),"#ekrk")),"#popis")</f>
        <v>-23700.808845288746</v>
      </c>
      <c r="Y981" s="362">
        <f>IF($Q981="ekrk",IF($R981="data",IFERROR(INDEX(data!$A:$ALL,MATCH($M981,data!$A:$A,0),MATCH(Y$2,data!$1:$1,0)),"#data"),IFERROR(X981*INDEX(indexy_SDcast!$A:$ALI,MATCH($R981,indexy_SDcast!$K:$K,0),MATCH(Y$2,indexy_SDcast!$2:$2,0)),"#ekrk")),"#popis")</f>
        <v>-24793.283681207395</v>
      </c>
    </row>
    <row r="982" spans="1:25" x14ac:dyDescent="0.25">
      <c r="A982" s="330">
        <v>616000</v>
      </c>
      <c r="B982" s="329">
        <v>-19737.725919999997</v>
      </c>
      <c r="C982" s="157"/>
      <c r="D982" s="330">
        <v>616000</v>
      </c>
      <c r="E982" s="329">
        <v>-19737.725919999997</v>
      </c>
      <c r="F982" s="157"/>
      <c r="G982" s="330">
        <v>616000</v>
      </c>
      <c r="H982" s="329">
        <v>-19737.725919999997</v>
      </c>
      <c r="I982" s="157"/>
      <c r="J982" s="330">
        <v>616000</v>
      </c>
      <c r="K982" s="329">
        <v>-19737.725919999997</v>
      </c>
      <c r="L982" s="157"/>
      <c r="M982" s="360">
        <f t="shared" si="96"/>
        <v>616000</v>
      </c>
      <c r="N982" s="237">
        <f t="shared" si="97"/>
        <v>-19737.725919999997</v>
      </c>
      <c r="O982" s="361"/>
      <c r="P982" s="361"/>
      <c r="Q982" s="361" t="s">
        <v>698</v>
      </c>
      <c r="R982" s="362">
        <f>IF(Q982="ekrk",INDEX(indexy_SDcast!$A:$C,MATCH($M982,indexy_SDcast!$A:$A,0),2),"")</f>
        <v>39</v>
      </c>
      <c r="S982" s="236"/>
      <c r="T982" s="364">
        <f t="shared" si="95"/>
        <v>616000</v>
      </c>
      <c r="U982" s="365">
        <f t="shared" si="98"/>
        <v>-19737.725919999997</v>
      </c>
      <c r="V982" s="365">
        <f>IF($Q982="ekrk",IF($R982="data",IFERROR(INDEX(data!$A:$ALL,MATCH($M982,data!$A:$A,0),MATCH(V$2,data!$1:$1,0)),"#data"),IFERROR(U982*INDEX(indexy_SDcast!$A:$ALI,MATCH($R982,indexy_SDcast!$K:$K,0),MATCH(V$2,indexy_SDcast!$2:$2,0)),"#ekrk")),"#popis")</f>
        <v>-20309.851549328378</v>
      </c>
      <c r="W982" s="365">
        <f>IF($Q982="ekrk",IF($R982="data",IFERROR(INDEX(data!$A:$ALL,MATCH($M982,data!$A:$A,0),MATCH(W$2,data!$1:$1,0)),"#data"),IFERROR(V982*INDEX(indexy_SDcast!$A:$ALI,MATCH($R982,indexy_SDcast!$K:$K,0),MATCH(W$2,indexy_SDcast!$2:$2,0)),"#ekrk")),"#popis")</f>
        <v>-21060.850129472747</v>
      </c>
      <c r="X982" s="365">
        <f>IF($Q982="ekrk",IF($R982="data",IFERROR(INDEX(data!$A:$ALL,MATCH($M982,data!$A:$A,0),MATCH(X$2,data!$1:$1,0)),"#data"),IFERROR(W982*INDEX(indexy_SDcast!$A:$ALI,MATCH($R982,indexy_SDcast!$K:$K,0),MATCH(X$2,indexy_SDcast!$2:$2,0)),"#ekrk")),"#popis")</f>
        <v>-21960.850240819691</v>
      </c>
      <c r="Y982" s="362">
        <f>IF($Q982="ekrk",IF($R982="data",IFERROR(INDEX(data!$A:$ALL,MATCH($M982,data!$A:$A,0),MATCH(Y$2,data!$1:$1,0)),"#data"),IFERROR(X982*INDEX(indexy_SDcast!$A:$ALI,MATCH($R982,indexy_SDcast!$K:$K,0),MATCH(Y$2,indexy_SDcast!$2:$2,0)),"#ekrk")),"#popis")</f>
        <v>-22973.122708822091</v>
      </c>
    </row>
    <row r="983" spans="1:25" x14ac:dyDescent="0.25">
      <c r="A983" s="330">
        <v>631000</v>
      </c>
      <c r="B983" s="329">
        <v>-9.9761300000000013</v>
      </c>
      <c r="C983" s="157"/>
      <c r="D983" s="330">
        <v>631000</v>
      </c>
      <c r="E983" s="329">
        <v>-9.9761300000000013</v>
      </c>
      <c r="F983" s="157"/>
      <c r="G983" s="330">
        <v>631000</v>
      </c>
      <c r="H983" s="329">
        <v>-9.9761300000000013</v>
      </c>
      <c r="I983" s="157"/>
      <c r="J983" s="330">
        <v>631000</v>
      </c>
      <c r="K983" s="329">
        <v>-9.9761300000000013</v>
      </c>
      <c r="L983" s="157"/>
      <c r="M983" s="360">
        <f t="shared" si="96"/>
        <v>631000</v>
      </c>
      <c r="N983" s="237">
        <f t="shared" si="97"/>
        <v>-9.9761300000000013</v>
      </c>
      <c r="O983" s="361"/>
      <c r="P983" s="361"/>
      <c r="Q983" s="361" t="s">
        <v>698</v>
      </c>
      <c r="R983" s="362">
        <f>IF(Q983="ekrk",INDEX(indexy_SDcast!$A:$C,MATCH($M983,indexy_SDcast!$A:$A,0),2),"")</f>
        <v>25</v>
      </c>
      <c r="S983" s="236"/>
      <c r="T983" s="364">
        <f t="shared" si="95"/>
        <v>631000</v>
      </c>
      <c r="U983" s="365">
        <f t="shared" si="98"/>
        <v>-9.9761300000000013</v>
      </c>
      <c r="V983" s="365">
        <f>IF($Q983="ekrk",IF($R983="data",IFERROR(INDEX(data!$A:$ALL,MATCH($M983,data!$A:$A,0),MATCH(V$2,data!$1:$1,0)),"#data"),IFERROR(U983*INDEX(indexy_SDcast!$A:$ALI,MATCH($R983,indexy_SDcast!$K:$K,0),MATCH(V$2,indexy_SDcast!$2:$2,0)),"#ekrk")),"#popis")</f>
        <v>-10.051424786329994</v>
      </c>
      <c r="W983" s="365">
        <f>IF($Q983="ekrk",IF($R983="data",IFERROR(INDEX(data!$A:$ALL,MATCH($M983,data!$A:$A,0),MATCH(W$2,data!$1:$1,0)),"#data"),IFERROR(V983*INDEX(indexy_SDcast!$A:$ALI,MATCH($R983,indexy_SDcast!$K:$K,0),MATCH(W$2,indexy_SDcast!$2:$2,0)),"#ekrk")),"#popis")</f>
        <v>-10.259988135581168</v>
      </c>
      <c r="X983" s="365">
        <f>IF($Q983="ekrk",IF($R983="data",IFERROR(INDEX(data!$A:$ALL,MATCH($M983,data!$A:$A,0),MATCH(X$2,data!$1:$1,0)),"#data"),IFERROR(W983*INDEX(indexy_SDcast!$A:$ALI,MATCH($R983,indexy_SDcast!$K:$K,0),MATCH(X$2,indexy_SDcast!$2:$2,0)),"#ekrk")),"#popis")</f>
        <v>-10.493378357627471</v>
      </c>
      <c r="Y983" s="362">
        <f>IF($Q983="ekrk",IF($R983="data",IFERROR(INDEX(data!$A:$ALL,MATCH($M983,data!$A:$A,0),MATCH(Y$2,data!$1:$1,0)),"#data"),IFERROR(X983*INDEX(indexy_SDcast!$A:$ALI,MATCH($R983,indexy_SDcast!$K:$K,0),MATCH(Y$2,indexy_SDcast!$2:$2,0)),"#ekrk")),"#popis")</f>
        <v>-10.740532592186376</v>
      </c>
    </row>
    <row r="984" spans="1:25" x14ac:dyDescent="0.25">
      <c r="A984" s="330">
        <v>631001</v>
      </c>
      <c r="B984" s="329">
        <v>-4501.7051100000017</v>
      </c>
      <c r="C984" s="157"/>
      <c r="D984" s="330">
        <v>631001</v>
      </c>
      <c r="E984" s="329">
        <v>-4501.7051100000017</v>
      </c>
      <c r="F984" s="157"/>
      <c r="G984" s="330">
        <v>631001</v>
      </c>
      <c r="H984" s="329">
        <v>-4501.7051100000017</v>
      </c>
      <c r="I984" s="157"/>
      <c r="J984" s="330">
        <v>631001</v>
      </c>
      <c r="K984" s="329">
        <v>-4501.7051100000017</v>
      </c>
      <c r="L984" s="157"/>
      <c r="M984" s="360">
        <f t="shared" si="96"/>
        <v>631001</v>
      </c>
      <c r="N984" s="237">
        <f t="shared" si="97"/>
        <v>-4501.7051100000017</v>
      </c>
      <c r="O984" s="361"/>
      <c r="P984" s="361"/>
      <c r="Q984" s="361" t="s">
        <v>698</v>
      </c>
      <c r="R984" s="362">
        <f>IF(Q984="ekrk",INDEX(indexy_SDcast!$A:$C,MATCH($M984,indexy_SDcast!$A:$A,0),2),"")</f>
        <v>25</v>
      </c>
      <c r="S984" s="236"/>
      <c r="T984" s="364">
        <f t="shared" si="95"/>
        <v>631001</v>
      </c>
      <c r="U984" s="365">
        <f t="shared" si="98"/>
        <v>-4501.7051100000017</v>
      </c>
      <c r="V984" s="365">
        <f>IF($Q984="ekrk",IF($R984="data",IFERROR(INDEX(data!$A:$ALL,MATCH($M984,data!$A:$A,0),MATCH(V$2,data!$1:$1,0)),"#data"),IFERROR(U984*INDEX(indexy_SDcast!$A:$ALI,MATCH($R984,indexy_SDcast!$K:$K,0),MATCH(V$2,indexy_SDcast!$2:$2,0)),"#ekrk")),"#popis")</f>
        <v>-4535.6817045690459</v>
      </c>
      <c r="W984" s="365">
        <f>IF($Q984="ekrk",IF($R984="data",IFERROR(INDEX(data!$A:$ALL,MATCH($M984,data!$A:$A,0),MATCH(W$2,data!$1:$1,0)),"#data"),IFERROR(V984*INDEX(indexy_SDcast!$A:$ALI,MATCH($R984,indexy_SDcast!$K:$K,0),MATCH(W$2,indexy_SDcast!$2:$2,0)),"#ekrk")),"#popis")</f>
        <v>-4629.7954235244651</v>
      </c>
      <c r="X984" s="365">
        <f>IF($Q984="ekrk",IF($R984="data",IFERROR(INDEX(data!$A:$ALL,MATCH($M984,data!$A:$A,0),MATCH(X$2,data!$1:$1,0)),"#data"),IFERROR(W984*INDEX(indexy_SDcast!$A:$ALI,MATCH($R984,indexy_SDcast!$K:$K,0),MATCH(X$2,indexy_SDcast!$2:$2,0)),"#ekrk")),"#popis")</f>
        <v>-4735.112210215284</v>
      </c>
      <c r="Y984" s="362">
        <f>IF($Q984="ekrk",IF($R984="data",IFERROR(INDEX(data!$A:$ALL,MATCH($M984,data!$A:$A,0),MATCH(Y$2,data!$1:$1,0)),"#data"),IFERROR(X984*INDEX(indexy_SDcast!$A:$ALI,MATCH($R984,indexy_SDcast!$K:$K,0),MATCH(Y$2,indexy_SDcast!$2:$2,0)),"#ekrk")),"#popis")</f>
        <v>-4846.6399750571582</v>
      </c>
    </row>
    <row r="985" spans="1:25" x14ac:dyDescent="0.25">
      <c r="A985" s="330">
        <v>631002</v>
      </c>
      <c r="B985" s="329">
        <v>-8276.2285500000071</v>
      </c>
      <c r="C985" s="157"/>
      <c r="D985" s="330">
        <v>631002</v>
      </c>
      <c r="E985" s="329">
        <v>-8276.2285500000071</v>
      </c>
      <c r="F985" s="157"/>
      <c r="G985" s="330">
        <v>631002</v>
      </c>
      <c r="H985" s="329">
        <v>-8276.2285500000071</v>
      </c>
      <c r="I985" s="157"/>
      <c r="J985" s="330">
        <v>631002</v>
      </c>
      <c r="K985" s="329">
        <v>-8276.2285500000071</v>
      </c>
      <c r="L985" s="157"/>
      <c r="M985" s="360">
        <f t="shared" si="96"/>
        <v>631002</v>
      </c>
      <c r="N985" s="237">
        <f t="shared" si="97"/>
        <v>-8276.2285500000071</v>
      </c>
      <c r="O985" s="361"/>
      <c r="P985" s="361"/>
      <c r="Q985" s="361" t="s">
        <v>698</v>
      </c>
      <c r="R985" s="362">
        <f>IF(Q985="ekrk",INDEX(indexy_SDcast!$A:$C,MATCH($M985,indexy_SDcast!$A:$A,0),2),"")</f>
        <v>25</v>
      </c>
      <c r="S985" s="236"/>
      <c r="T985" s="364">
        <f t="shared" si="95"/>
        <v>631002</v>
      </c>
      <c r="U985" s="365">
        <f t="shared" si="98"/>
        <v>-8276.2285500000071</v>
      </c>
      <c r="V985" s="365">
        <f>IF($Q985="ekrk",IF($R985="data",IFERROR(INDEX(data!$A:$ALL,MATCH($M985,data!$A:$A,0),MATCH(V$2,data!$1:$1,0)),"#data"),IFERROR(U985*INDEX(indexy_SDcast!$A:$ALI,MATCH($R985,indexy_SDcast!$K:$K,0),MATCH(V$2,indexy_SDcast!$2:$2,0)),"#ekrk")),"#popis")</f>
        <v>-8338.6933394815424</v>
      </c>
      <c r="W985" s="365">
        <f>IF($Q985="ekrk",IF($R985="data",IFERROR(INDEX(data!$A:$ALL,MATCH($M985,data!$A:$A,0),MATCH(W$2,data!$1:$1,0)),"#data"),IFERROR(V985*INDEX(indexy_SDcast!$A:$ALI,MATCH($R985,indexy_SDcast!$K:$K,0),MATCH(W$2,indexy_SDcast!$2:$2,0)),"#ekrk")),"#popis")</f>
        <v>-8511.7181442461351</v>
      </c>
      <c r="X985" s="365">
        <f>IF($Q985="ekrk",IF($R985="data",IFERROR(INDEX(data!$A:$ALL,MATCH($M985,data!$A:$A,0),MATCH(X$2,data!$1:$1,0)),"#data"),IFERROR(W985*INDEX(indexy_SDcast!$A:$ALI,MATCH($R985,indexy_SDcast!$K:$K,0),MATCH(X$2,indexy_SDcast!$2:$2,0)),"#ekrk")),"#popis")</f>
        <v>-8705.339400082863</v>
      </c>
      <c r="Y985" s="362">
        <f>IF($Q985="ekrk",IF($R985="data",IFERROR(INDEX(data!$A:$ALL,MATCH($M985,data!$A:$A,0),MATCH(Y$2,data!$1:$1,0)),"#data"),IFERROR(X985*INDEX(indexy_SDcast!$A:$ALI,MATCH($R985,indexy_SDcast!$K:$K,0),MATCH(Y$2,indexy_SDcast!$2:$2,0)),"#ekrk")),"#popis")</f>
        <v>-8910.379323611307</v>
      </c>
    </row>
    <row r="986" spans="1:25" x14ac:dyDescent="0.25">
      <c r="A986" s="330">
        <v>631003</v>
      </c>
      <c r="B986" s="329">
        <v>-868.2820099999999</v>
      </c>
      <c r="C986" s="157"/>
      <c r="D986" s="330">
        <v>631003</v>
      </c>
      <c r="E986" s="329">
        <v>-868.2820099999999</v>
      </c>
      <c r="F986" s="157"/>
      <c r="G986" s="330">
        <v>631003</v>
      </c>
      <c r="H986" s="329">
        <v>-868.2820099999999</v>
      </c>
      <c r="I986" s="157"/>
      <c r="J986" s="330">
        <v>631003</v>
      </c>
      <c r="K986" s="329">
        <v>-868.2820099999999</v>
      </c>
      <c r="L986" s="157"/>
      <c r="M986" s="360">
        <f t="shared" si="96"/>
        <v>631003</v>
      </c>
      <c r="N986" s="237">
        <f t="shared" si="97"/>
        <v>-868.2820099999999</v>
      </c>
      <c r="O986" s="361"/>
      <c r="P986" s="361"/>
      <c r="Q986" s="361" t="s">
        <v>698</v>
      </c>
      <c r="R986" s="362">
        <f>IF(Q986="ekrk",INDEX(indexy_SDcast!$A:$C,MATCH($M986,indexy_SDcast!$A:$A,0),2),"")</f>
        <v>25</v>
      </c>
      <c r="S986" s="236"/>
      <c r="T986" s="364">
        <f t="shared" si="95"/>
        <v>631003</v>
      </c>
      <c r="U986" s="365">
        <f t="shared" si="98"/>
        <v>-868.2820099999999</v>
      </c>
      <c r="V986" s="365">
        <f>IF($Q986="ekrk",IF($R986="data",IFERROR(INDEX(data!$A:$ALL,MATCH($M986,data!$A:$A,0),MATCH(V$2,data!$1:$1,0)),"#data"),IFERROR(U986*INDEX(indexy_SDcast!$A:$ALI,MATCH($R986,indexy_SDcast!$K:$K,0),MATCH(V$2,indexy_SDcast!$2:$2,0)),"#ekrk")),"#popis")</f>
        <v>-874.8353636969872</v>
      </c>
      <c r="W986" s="365">
        <f>IF($Q986="ekrk",IF($R986="data",IFERROR(INDEX(data!$A:$ALL,MATCH($M986,data!$A:$A,0),MATCH(W$2,data!$1:$1,0)),"#data"),IFERROR(V986*INDEX(indexy_SDcast!$A:$ALI,MATCH($R986,indexy_SDcast!$K:$K,0),MATCH(W$2,indexy_SDcast!$2:$2,0)),"#ekrk")),"#popis")</f>
        <v>-892.98787414945139</v>
      </c>
      <c r="X986" s="365">
        <f>IF($Q986="ekrk",IF($R986="data",IFERROR(INDEX(data!$A:$ALL,MATCH($M986,data!$A:$A,0),MATCH(X$2,data!$1:$1,0)),"#data"),IFERROR(W986*INDEX(indexy_SDcast!$A:$ALI,MATCH($R986,indexy_SDcast!$K:$K,0),MATCH(X$2,indexy_SDcast!$2:$2,0)),"#ekrk")),"#popis")</f>
        <v>-913.30121520582406</v>
      </c>
      <c r="Y986" s="362">
        <f>IF($Q986="ekrk",IF($R986="data",IFERROR(INDEX(data!$A:$ALL,MATCH($M986,data!$A:$A,0),MATCH(Y$2,data!$1:$1,0)),"#data"),IFERROR(X986*INDEX(indexy_SDcast!$A:$ALI,MATCH($R986,indexy_SDcast!$K:$K,0),MATCH(Y$2,indexy_SDcast!$2:$2,0)),"#ekrk")),"#popis")</f>
        <v>-934.81252024723972</v>
      </c>
    </row>
    <row r="987" spans="1:25" x14ac:dyDescent="0.25">
      <c r="A987" s="330">
        <v>631004</v>
      </c>
      <c r="B987" s="329">
        <v>-5.8645499999999986</v>
      </c>
      <c r="C987" s="157"/>
      <c r="D987" s="330">
        <v>631004</v>
      </c>
      <c r="E987" s="329">
        <v>-5.8645499999999986</v>
      </c>
      <c r="F987" s="157"/>
      <c r="G987" s="330">
        <v>631004</v>
      </c>
      <c r="H987" s="329">
        <v>-5.8645499999999986</v>
      </c>
      <c r="I987" s="157"/>
      <c r="J987" s="330">
        <v>631004</v>
      </c>
      <c r="K987" s="329">
        <v>-5.8645499999999986</v>
      </c>
      <c r="L987" s="157"/>
      <c r="M987" s="360">
        <f t="shared" si="96"/>
        <v>631004</v>
      </c>
      <c r="N987" s="237">
        <f t="shared" si="97"/>
        <v>-5.8645499999999986</v>
      </c>
      <c r="O987" s="361"/>
      <c r="P987" s="361"/>
      <c r="Q987" s="361" t="s">
        <v>698</v>
      </c>
      <c r="R987" s="362">
        <f>IF(Q987="ekrk",INDEX(indexy_SDcast!$A:$C,MATCH($M987,indexy_SDcast!$A:$A,0),2),"")</f>
        <v>25</v>
      </c>
      <c r="S987" s="236"/>
      <c r="T987" s="364">
        <f t="shared" si="95"/>
        <v>631004</v>
      </c>
      <c r="U987" s="365">
        <f t="shared" si="98"/>
        <v>-5.8645499999999986</v>
      </c>
      <c r="V987" s="365">
        <f>IF($Q987="ekrk",IF($R987="data",IFERROR(INDEX(data!$A:$ALL,MATCH($M987,data!$A:$A,0),MATCH(V$2,data!$1:$1,0)),"#data"),IFERROR(U987*INDEX(indexy_SDcast!$A:$ALI,MATCH($R987,indexy_SDcast!$K:$K,0),MATCH(V$2,indexy_SDcast!$2:$2,0)),"#ekrk")),"#popis")</f>
        <v>-5.9088126588839094</v>
      </c>
      <c r="W987" s="365">
        <f>IF($Q987="ekrk",IF($R987="data",IFERROR(INDEX(data!$A:$ALL,MATCH($M987,data!$A:$A,0),MATCH(W$2,data!$1:$1,0)),"#data"),IFERROR(V987*INDEX(indexy_SDcast!$A:$ALI,MATCH($R987,indexy_SDcast!$K:$K,0),MATCH(W$2,indexy_SDcast!$2:$2,0)),"#ekrk")),"#popis")</f>
        <v>-6.0314183376241601</v>
      </c>
      <c r="X987" s="365">
        <f>IF($Q987="ekrk",IF($R987="data",IFERROR(INDEX(data!$A:$ALL,MATCH($M987,data!$A:$A,0),MATCH(X$2,data!$1:$1,0)),"#data"),IFERROR(W987*INDEX(indexy_SDcast!$A:$ALI,MATCH($R987,indexy_SDcast!$K:$K,0),MATCH(X$2,indexy_SDcast!$2:$2,0)),"#ekrk")),"#popis")</f>
        <v>-6.1686186975534767</v>
      </c>
      <c r="Y987" s="362">
        <f>IF($Q987="ekrk",IF($R987="data",IFERROR(INDEX(data!$A:$ALL,MATCH($M987,data!$A:$A,0),MATCH(Y$2,data!$1:$1,0)),"#data"),IFERROR(X987*INDEX(indexy_SDcast!$A:$ALI,MATCH($R987,indexy_SDcast!$K:$K,0),MATCH(Y$2,indexy_SDcast!$2:$2,0)),"#ekrk")),"#popis")</f>
        <v>-6.3139103453449978</v>
      </c>
    </row>
    <row r="988" spans="1:25" x14ac:dyDescent="0.25">
      <c r="A988" s="330">
        <v>637006</v>
      </c>
      <c r="B988" s="329">
        <v>-28599.608460000025</v>
      </c>
      <c r="C988" s="157"/>
      <c r="D988" s="330">
        <v>637006</v>
      </c>
      <c r="E988" s="329">
        <v>-28599.608460000025</v>
      </c>
      <c r="F988" s="157"/>
      <c r="G988" s="330">
        <v>637006</v>
      </c>
      <c r="H988" s="329">
        <v>-28599.608460000025</v>
      </c>
      <c r="I988" s="157"/>
      <c r="J988" s="330">
        <v>637006</v>
      </c>
      <c r="K988" s="329">
        <v>-28599.608460000025</v>
      </c>
      <c r="L988" s="157"/>
      <c r="M988" s="360">
        <f t="shared" si="96"/>
        <v>637006</v>
      </c>
      <c r="N988" s="237">
        <f t="shared" si="97"/>
        <v>-28599.608460000025</v>
      </c>
      <c r="O988" s="361"/>
      <c r="P988" s="361"/>
      <c r="Q988" s="361" t="s">
        <v>698</v>
      </c>
      <c r="R988" s="362">
        <f>IF(Q988="ekrk",INDEX(indexy_SDcast!$A:$C,MATCH($M988,indexy_SDcast!$A:$A,0),2),"")</f>
        <v>25</v>
      </c>
      <c r="S988" s="236"/>
      <c r="T988" s="364">
        <f t="shared" si="95"/>
        <v>637006</v>
      </c>
      <c r="U988" s="365">
        <f t="shared" si="98"/>
        <v>-28599.608460000025</v>
      </c>
      <c r="V988" s="365">
        <f>IF($Q988="ekrk",IF($R988="data",IFERROR(INDEX(data!$A:$ALL,MATCH($M988,data!$A:$A,0),MATCH(V$2,data!$1:$1,0)),"#data"),IFERROR(U988*INDEX(indexy_SDcast!$A:$ALI,MATCH($R988,indexy_SDcast!$K:$K,0),MATCH(V$2,indexy_SDcast!$2:$2,0)),"#ekrk")),"#popis")</f>
        <v>-28815.463847621992</v>
      </c>
      <c r="W988" s="365">
        <f>IF($Q988="ekrk",IF($R988="data",IFERROR(INDEX(data!$A:$ALL,MATCH($M988,data!$A:$A,0),MATCH(W$2,data!$1:$1,0)),"#data"),IFERROR(V988*INDEX(indexy_SDcast!$A:$ALI,MATCH($R988,indexy_SDcast!$K:$K,0),MATCH(W$2,indexy_SDcast!$2:$2,0)),"#ekrk")),"#popis")</f>
        <v>-29413.374072096794</v>
      </c>
      <c r="X988" s="365">
        <f>IF($Q988="ekrk",IF($R988="data",IFERROR(INDEX(data!$A:$ALL,MATCH($M988,data!$A:$A,0),MATCH(X$2,data!$1:$1,0)),"#data"),IFERROR(W988*INDEX(indexy_SDcast!$A:$ALI,MATCH($R988,indexy_SDcast!$K:$K,0),MATCH(X$2,indexy_SDcast!$2:$2,0)),"#ekrk")),"#popis")</f>
        <v>-30082.458072497426</v>
      </c>
      <c r="Y988" s="362">
        <f>IF($Q988="ekrk",IF($R988="data",IFERROR(INDEX(data!$A:$ALL,MATCH($M988,data!$A:$A,0),MATCH(Y$2,data!$1:$1,0)),"#data"),IFERROR(X988*INDEX(indexy_SDcast!$A:$ALI,MATCH($R988,indexy_SDcast!$K:$K,0),MATCH(Y$2,indexy_SDcast!$2:$2,0)),"#ekrk")),"#popis")</f>
        <v>-30791.00079774416</v>
      </c>
    </row>
    <row r="989" spans="1:25" x14ac:dyDescent="0.25">
      <c r="A989" s="330">
        <v>637007</v>
      </c>
      <c r="B989" s="329">
        <v>-3438.3283299999998</v>
      </c>
      <c r="C989" s="157"/>
      <c r="D989" s="330">
        <v>637007</v>
      </c>
      <c r="E989" s="329">
        <v>-3438.3283299999998</v>
      </c>
      <c r="F989" s="157"/>
      <c r="G989" s="330">
        <v>637007</v>
      </c>
      <c r="H989" s="329">
        <v>-3438.3283299999998</v>
      </c>
      <c r="I989" s="157"/>
      <c r="J989" s="330">
        <v>637007</v>
      </c>
      <c r="K989" s="329">
        <v>-3438.3283299999998</v>
      </c>
      <c r="L989" s="157"/>
      <c r="M989" s="360">
        <f t="shared" si="96"/>
        <v>637007</v>
      </c>
      <c r="N989" s="237">
        <f t="shared" si="97"/>
        <v>-3438.3283299999998</v>
      </c>
      <c r="O989" s="361"/>
      <c r="P989" s="361"/>
      <c r="Q989" s="361" t="s">
        <v>698</v>
      </c>
      <c r="R989" s="362">
        <f>IF(Q989="ekrk",INDEX(indexy_SDcast!$A:$C,MATCH($M989,indexy_SDcast!$A:$A,0),2),"")</f>
        <v>25</v>
      </c>
      <c r="S989" s="236"/>
      <c r="T989" s="364">
        <f t="shared" si="95"/>
        <v>637007</v>
      </c>
      <c r="U989" s="365">
        <f t="shared" si="98"/>
        <v>-3438.3283299999998</v>
      </c>
      <c r="V989" s="365">
        <f>IF($Q989="ekrk",IF($R989="data",IFERROR(INDEX(data!$A:$ALL,MATCH($M989,data!$A:$A,0),MATCH(V$2,data!$1:$1,0)),"#data"),IFERROR(U989*INDEX(indexy_SDcast!$A:$ALI,MATCH($R989,indexy_SDcast!$K:$K,0),MATCH(V$2,indexy_SDcast!$2:$2,0)),"#ekrk")),"#popis")</f>
        <v>-3464.2790941680396</v>
      </c>
      <c r="W989" s="365">
        <f>IF($Q989="ekrk",IF($R989="data",IFERROR(INDEX(data!$A:$ALL,MATCH($M989,data!$A:$A,0),MATCH(W$2,data!$1:$1,0)),"#data"),IFERROR(V989*INDEX(indexy_SDcast!$A:$ALI,MATCH($R989,indexy_SDcast!$K:$K,0),MATCH(W$2,indexy_SDcast!$2:$2,0)),"#ekrk")),"#popis")</f>
        <v>-3536.1616049542858</v>
      </c>
      <c r="X989" s="365">
        <f>IF($Q989="ekrk",IF($R989="data",IFERROR(INDEX(data!$A:$ALL,MATCH($M989,data!$A:$A,0),MATCH(X$2,data!$1:$1,0)),"#data"),IFERROR(W989*INDEX(indexy_SDcast!$A:$ALI,MATCH($R989,indexy_SDcast!$K:$K,0),MATCH(X$2,indexy_SDcast!$2:$2,0)),"#ekrk")),"#popis")</f>
        <v>-3616.6008346362164</v>
      </c>
      <c r="Y989" s="362">
        <f>IF($Q989="ekrk",IF($R989="data",IFERROR(INDEX(data!$A:$ALL,MATCH($M989,data!$A:$A,0),MATCH(Y$2,data!$1:$1,0)),"#data"),IFERROR(X989*INDEX(indexy_SDcast!$A:$ALI,MATCH($R989,indexy_SDcast!$K:$K,0),MATCH(Y$2,indexy_SDcast!$2:$2,0)),"#ekrk")),"#popis")</f>
        <v>-3701.7839072869688</v>
      </c>
    </row>
    <row r="990" spans="1:25" x14ac:dyDescent="0.25">
      <c r="A990" s="330">
        <v>637009</v>
      </c>
      <c r="B990" s="329">
        <v>-1771.7259499999998</v>
      </c>
      <c r="C990" s="157"/>
      <c r="D990" s="330">
        <v>637009</v>
      </c>
      <c r="E990" s="329">
        <v>-1771.7259499999998</v>
      </c>
      <c r="F990" s="157"/>
      <c r="G990" s="330">
        <v>637009</v>
      </c>
      <c r="H990" s="329">
        <v>-1771.7259499999998</v>
      </c>
      <c r="I990" s="157"/>
      <c r="J990" s="330">
        <v>637009</v>
      </c>
      <c r="K990" s="329">
        <v>-1771.7259499999998</v>
      </c>
      <c r="L990" s="157"/>
      <c r="M990" s="360">
        <f t="shared" si="96"/>
        <v>637009</v>
      </c>
      <c r="N990" s="237">
        <f t="shared" si="97"/>
        <v>-1771.7259499999998</v>
      </c>
      <c r="O990" s="361"/>
      <c r="P990" s="361"/>
      <c r="Q990" s="361" t="s">
        <v>698</v>
      </c>
      <c r="R990" s="362">
        <f>IF(Q990="ekrk",INDEX(indexy_SDcast!$A:$C,MATCH($M990,indexy_SDcast!$A:$A,0),2),"")</f>
        <v>39</v>
      </c>
      <c r="S990" s="236"/>
      <c r="T990" s="364">
        <f t="shared" si="95"/>
        <v>637009</v>
      </c>
      <c r="U990" s="365">
        <f t="shared" si="98"/>
        <v>-1771.7259499999998</v>
      </c>
      <c r="V990" s="365">
        <f>IF($Q990="ekrk",IF($R990="data",IFERROR(INDEX(data!$A:$ALL,MATCH($M990,data!$A:$A,0),MATCH(V$2,data!$1:$1,0)),"#data"),IFERROR(U990*INDEX(indexy_SDcast!$A:$ALI,MATCH($R990,indexy_SDcast!$K:$K,0),MATCH(V$2,indexy_SDcast!$2:$2,0)),"#ekrk")),"#popis")</f>
        <v>-1823.0819080394238</v>
      </c>
      <c r="W990" s="365">
        <f>IF($Q990="ekrk",IF($R990="data",IFERROR(INDEX(data!$A:$ALL,MATCH($M990,data!$A:$A,0),MATCH(W$2,data!$1:$1,0)),"#data"),IFERROR(V990*INDEX(indexy_SDcast!$A:$ALI,MATCH($R990,indexy_SDcast!$K:$K,0),MATCH(W$2,indexy_SDcast!$2:$2,0)),"#ekrk")),"#popis")</f>
        <v>-1890.4941154156895</v>
      </c>
      <c r="X990" s="365">
        <f>IF($Q990="ekrk",IF($R990="data",IFERROR(INDEX(data!$A:$ALL,MATCH($M990,data!$A:$A,0),MATCH(X$2,data!$1:$1,0)),"#data"),IFERROR(W990*INDEX(indexy_SDcast!$A:$ALI,MATCH($R990,indexy_SDcast!$K:$K,0),MATCH(X$2,indexy_SDcast!$2:$2,0)),"#ekrk")),"#popis")</f>
        <v>-1971.2812110891848</v>
      </c>
      <c r="Y990" s="362">
        <f>IF($Q990="ekrk",IF($R990="data",IFERROR(INDEX(data!$A:$ALL,MATCH($M990,data!$A:$A,0),MATCH(Y$2,data!$1:$1,0)),"#data"),IFERROR(X990*INDEX(indexy_SDcast!$A:$ALI,MATCH($R990,indexy_SDcast!$K:$K,0),MATCH(Y$2,indexy_SDcast!$2:$2,0)),"#ekrk")),"#popis")</f>
        <v>-2062.1462584254177</v>
      </c>
    </row>
    <row r="991" spans="1:25" x14ac:dyDescent="0.25">
      <c r="A991" s="330">
        <v>637013</v>
      </c>
      <c r="B991" s="329">
        <v>-523.08436000000006</v>
      </c>
      <c r="C991" s="157"/>
      <c r="D991" s="330">
        <v>637013</v>
      </c>
      <c r="E991" s="329">
        <v>-523.08436000000006</v>
      </c>
      <c r="F991" s="157"/>
      <c r="G991" s="330">
        <v>637013</v>
      </c>
      <c r="H991" s="329">
        <v>-523.08436000000006</v>
      </c>
      <c r="I991" s="157"/>
      <c r="J991" s="330">
        <v>637013</v>
      </c>
      <c r="K991" s="329">
        <v>-523.08436000000006</v>
      </c>
      <c r="L991" s="157"/>
      <c r="M991" s="360">
        <f t="shared" si="96"/>
        <v>637013</v>
      </c>
      <c r="N991" s="237">
        <f t="shared" si="97"/>
        <v>-523.08436000000006</v>
      </c>
      <c r="O991" s="361"/>
      <c r="P991" s="361"/>
      <c r="Q991" s="361" t="s">
        <v>698</v>
      </c>
      <c r="R991" s="362">
        <f>IF(Q991="ekrk",INDEX(indexy_SDcast!$A:$C,MATCH($M991,indexy_SDcast!$A:$A,0),2),"")</f>
        <v>39</v>
      </c>
      <c r="S991" s="236"/>
      <c r="T991" s="364">
        <f t="shared" si="95"/>
        <v>637013</v>
      </c>
      <c r="U991" s="365">
        <f t="shared" si="98"/>
        <v>-523.08436000000006</v>
      </c>
      <c r="V991" s="365">
        <f>IF($Q991="ekrk",IF($R991="data",IFERROR(INDEX(data!$A:$ALL,MATCH($M991,data!$A:$A,0),MATCH(V$2,data!$1:$1,0)),"#data"),IFERROR(U991*INDEX(indexy_SDcast!$A:$ALI,MATCH($R991,indexy_SDcast!$K:$K,0),MATCH(V$2,indexy_SDcast!$2:$2,0)),"#ekrk")),"#popis")</f>
        <v>-538.24669277682642</v>
      </c>
      <c r="W991" s="365">
        <f>IF($Q991="ekrk",IF($R991="data",IFERROR(INDEX(data!$A:$ALL,MATCH($M991,data!$A:$A,0),MATCH(W$2,data!$1:$1,0)),"#data"),IFERROR(V991*INDEX(indexy_SDcast!$A:$ALI,MATCH($R991,indexy_SDcast!$K:$K,0),MATCH(W$2,indexy_SDcast!$2:$2,0)),"#ekrk")),"#popis")</f>
        <v>-558.14947252196771</v>
      </c>
      <c r="X991" s="365">
        <f>IF($Q991="ekrk",IF($R991="data",IFERROR(INDEX(data!$A:$ALL,MATCH($M991,data!$A:$A,0),MATCH(X$2,data!$1:$1,0)),"#data"),IFERROR(W991*INDEX(indexy_SDcast!$A:$ALI,MATCH($R991,indexy_SDcast!$K:$K,0),MATCH(X$2,indexy_SDcast!$2:$2,0)),"#ekrk")),"#popis")</f>
        <v>-582.00105421643298</v>
      </c>
      <c r="Y991" s="362">
        <f>IF($Q991="ekrk",IF($R991="data",IFERROR(INDEX(data!$A:$ALL,MATCH($M991,data!$A:$A,0),MATCH(Y$2,data!$1:$1,0)),"#data"),IFERROR(X991*INDEX(indexy_SDcast!$A:$ALI,MATCH($R991,indexy_SDcast!$K:$K,0),MATCH(Y$2,indexy_SDcast!$2:$2,0)),"#ekrk")),"#popis")</f>
        <v>-608.82805030589213</v>
      </c>
    </row>
    <row r="992" spans="1:25" x14ac:dyDescent="0.25">
      <c r="A992" s="330">
        <v>637014</v>
      </c>
      <c r="B992" s="329">
        <v>-93028.975115445108</v>
      </c>
      <c r="C992" s="157"/>
      <c r="D992" s="330">
        <v>637014</v>
      </c>
      <c r="E992" s="329">
        <v>-93028.975115445108</v>
      </c>
      <c r="F992" s="157"/>
      <c r="G992" s="330">
        <v>637014</v>
      </c>
      <c r="H992" s="329">
        <v>-93028.975115445108</v>
      </c>
      <c r="I992" s="157"/>
      <c r="J992" s="330">
        <v>637014</v>
      </c>
      <c r="K992" s="329">
        <v>-93028.975115445108</v>
      </c>
      <c r="L992" s="157"/>
      <c r="M992" s="360">
        <f t="shared" si="96"/>
        <v>637014</v>
      </c>
      <c r="N992" s="237">
        <f t="shared" si="97"/>
        <v>-93028.975115445108</v>
      </c>
      <c r="O992" s="361"/>
      <c r="P992" s="361"/>
      <c r="Q992" s="361" t="s">
        <v>698</v>
      </c>
      <c r="R992" s="362">
        <f>IF(Q992="ekrk",INDEX(indexy_SDcast!$A:$C,MATCH($M992,indexy_SDcast!$A:$A,0),2),"")</f>
        <v>25</v>
      </c>
      <c r="S992" s="236"/>
      <c r="T992" s="364">
        <f t="shared" si="95"/>
        <v>637014</v>
      </c>
      <c r="U992" s="365">
        <f t="shared" si="98"/>
        <v>-93028.975115445108</v>
      </c>
      <c r="V992" s="365">
        <f>IF($Q992="ekrk",IF($R992="data",IFERROR(INDEX(data!$A:$ALL,MATCH($M992,data!$A:$A,0),MATCH(V$2,data!$1:$1,0)),"#data"),IFERROR(U992*INDEX(indexy_SDcast!$A:$ALI,MATCH($R992,indexy_SDcast!$K:$K,0),MATCH(V$2,indexy_SDcast!$2:$2,0)),"#ekrk")),"#popis")</f>
        <v>-93731.110793690634</v>
      </c>
      <c r="W992" s="365">
        <f>IF($Q992="ekrk",IF($R992="data",IFERROR(INDEX(data!$A:$ALL,MATCH($M992,data!$A:$A,0),MATCH(W$2,data!$1:$1,0)),"#data"),IFERROR(V992*INDEX(indexy_SDcast!$A:$ALI,MATCH($R992,indexy_SDcast!$K:$K,0),MATCH(W$2,indexy_SDcast!$2:$2,0)),"#ekrk")),"#popis")</f>
        <v>-95675.996699094976</v>
      </c>
      <c r="X992" s="365">
        <f>IF($Q992="ekrk",IF($R992="data",IFERROR(INDEX(data!$A:$ALL,MATCH($M992,data!$A:$A,0),MATCH(X$2,data!$1:$1,0)),"#data"),IFERROR(W992*INDEX(indexy_SDcast!$A:$ALI,MATCH($R992,indexy_SDcast!$K:$K,0),MATCH(X$2,indexy_SDcast!$2:$2,0)),"#ekrk")),"#popis")</f>
        <v>-97852.397082704032</v>
      </c>
      <c r="Y992" s="362">
        <f>IF($Q992="ekrk",IF($R992="data",IFERROR(INDEX(data!$A:$ALL,MATCH($M992,data!$A:$A,0),MATCH(Y$2,data!$1:$1,0)),"#data"),IFERROR(X992*INDEX(indexy_SDcast!$A:$ALI,MATCH($R992,indexy_SDcast!$K:$K,0),MATCH(Y$2,indexy_SDcast!$2:$2,0)),"#ekrk")),"#popis")</f>
        <v>-100157.14903927009</v>
      </c>
    </row>
    <row r="993" spans="1:44" x14ac:dyDescent="0.25">
      <c r="A993" s="330">
        <v>637026</v>
      </c>
      <c r="B993" s="329">
        <v>-39258.34214000003</v>
      </c>
      <c r="C993" s="157"/>
      <c r="D993" s="330">
        <v>637026</v>
      </c>
      <c r="E993" s="329">
        <v>-39258.34214000003</v>
      </c>
      <c r="F993" s="157"/>
      <c r="G993" s="330">
        <v>637026</v>
      </c>
      <c r="H993" s="329">
        <v>-39258.34214000003</v>
      </c>
      <c r="I993" s="157"/>
      <c r="J993" s="330">
        <v>637026</v>
      </c>
      <c r="K993" s="329">
        <v>-39258.34214000003</v>
      </c>
      <c r="L993" s="157"/>
      <c r="M993" s="360">
        <f t="shared" si="96"/>
        <v>637026</v>
      </c>
      <c r="N993" s="237">
        <f t="shared" si="97"/>
        <v>-39258.34214000003</v>
      </c>
      <c r="O993" s="361"/>
      <c r="P993" s="361"/>
      <c r="Q993" s="361" t="s">
        <v>698</v>
      </c>
      <c r="R993" s="362">
        <f>IF(Q993="ekrk",INDEX(indexy_SDcast!$A:$C,MATCH($M993,indexy_SDcast!$A:$A,0),2),"")</f>
        <v>39</v>
      </c>
      <c r="S993" s="236"/>
      <c r="T993" s="364">
        <f t="shared" si="95"/>
        <v>637026</v>
      </c>
      <c r="U993" s="365">
        <f t="shared" si="98"/>
        <v>-39258.34214000003</v>
      </c>
      <c r="V993" s="365">
        <f>IF($Q993="ekrk",IF($R993="data",IFERROR(INDEX(data!$A:$ALL,MATCH($M993,data!$A:$A,0),MATCH(V$2,data!$1:$1,0)),"#data"),IFERROR(U993*INDEX(indexy_SDcast!$A:$ALI,MATCH($R993,indexy_SDcast!$K:$K,0),MATCH(V$2,indexy_SDcast!$2:$2,0)),"#ekrk")),"#popis")</f>
        <v>-40396.300169930779</v>
      </c>
      <c r="W993" s="365">
        <f>IF($Q993="ekrk",IF($R993="data",IFERROR(INDEX(data!$A:$ALL,MATCH($M993,data!$A:$A,0),MATCH(W$2,data!$1:$1,0)),"#data"),IFERROR(V993*INDEX(indexy_SDcast!$A:$ALI,MATCH($R993,indexy_SDcast!$K:$K,0),MATCH(W$2,indexy_SDcast!$2:$2,0)),"#ekrk")),"#popis")</f>
        <v>-41890.036546930889</v>
      </c>
      <c r="X993" s="365">
        <f>IF($Q993="ekrk",IF($R993="data",IFERROR(INDEX(data!$A:$ALL,MATCH($M993,data!$A:$A,0),MATCH(X$2,data!$1:$1,0)),"#data"),IFERROR(W993*INDEX(indexy_SDcast!$A:$ALI,MATCH($R993,indexy_SDcast!$K:$K,0),MATCH(X$2,indexy_SDcast!$2:$2,0)),"#ekrk")),"#popis")</f>
        <v>-43680.137009390673</v>
      </c>
      <c r="Y993" s="362">
        <f>IF($Q993="ekrk",IF($R993="data",IFERROR(INDEX(data!$A:$ALL,MATCH($M993,data!$A:$A,0),MATCH(Y$2,data!$1:$1,0)),"#data"),IFERROR(X993*INDEX(indexy_SDcast!$A:$ALI,MATCH($R993,indexy_SDcast!$K:$K,0),MATCH(Y$2,indexy_SDcast!$2:$2,0)),"#ekrk")),"#popis")</f>
        <v>-45693.547219301036</v>
      </c>
    </row>
    <row r="994" spans="1:44" x14ac:dyDescent="0.25">
      <c r="A994" s="330">
        <v>637027</v>
      </c>
      <c r="B994" s="329">
        <v>-37744.157009999988</v>
      </c>
      <c r="C994" s="157"/>
      <c r="D994" s="330">
        <v>637027</v>
      </c>
      <c r="E994" s="329">
        <v>-37744.157009999988</v>
      </c>
      <c r="F994" s="157"/>
      <c r="G994" s="330">
        <v>637027</v>
      </c>
      <c r="H994" s="329">
        <v>-37744.157009999988</v>
      </c>
      <c r="I994" s="157"/>
      <c r="J994" s="330">
        <v>637027</v>
      </c>
      <c r="K994" s="329">
        <v>-37744.157009999988</v>
      </c>
      <c r="L994" s="157"/>
      <c r="M994" s="360">
        <f t="shared" si="96"/>
        <v>637027</v>
      </c>
      <c r="N994" s="237">
        <f t="shared" si="97"/>
        <v>-37744.157009999988</v>
      </c>
      <c r="O994" s="361"/>
      <c r="P994" s="361"/>
      <c r="Q994" s="361" t="s">
        <v>698</v>
      </c>
      <c r="R994" s="362">
        <f>IF(Q994="ekrk",INDEX(indexy_SDcast!$A:$C,MATCH($M994,indexy_SDcast!$A:$A,0),2),"")</f>
        <v>39</v>
      </c>
      <c r="S994" s="236"/>
      <c r="T994" s="364">
        <f t="shared" si="95"/>
        <v>637027</v>
      </c>
      <c r="U994" s="365">
        <f t="shared" si="98"/>
        <v>-37744.157009999988</v>
      </c>
      <c r="V994" s="365">
        <f>IF($Q994="ekrk",IF($R994="data",IFERROR(INDEX(data!$A:$ALL,MATCH($M994,data!$A:$A,0),MATCH(V$2,data!$1:$1,0)),"#data"),IFERROR(U994*INDEX(indexy_SDcast!$A:$ALI,MATCH($R994,indexy_SDcast!$K:$K,0),MATCH(V$2,indexy_SDcast!$2:$2,0)),"#ekrk")),"#popis")</f>
        <v>-38838.224263256052</v>
      </c>
      <c r="W994" s="365">
        <f>IF($Q994="ekrk",IF($R994="data",IFERROR(INDEX(data!$A:$ALL,MATCH($M994,data!$A:$A,0),MATCH(W$2,data!$1:$1,0)),"#data"),IFERROR(V994*INDEX(indexy_SDcast!$A:$ALI,MATCH($R994,indexy_SDcast!$K:$K,0),MATCH(W$2,indexy_SDcast!$2:$2,0)),"#ekrk")),"#popis")</f>
        <v>-40274.347575442371</v>
      </c>
      <c r="X994" s="365">
        <f>IF($Q994="ekrk",IF($R994="data",IFERROR(INDEX(data!$A:$ALL,MATCH($M994,data!$A:$A,0),MATCH(X$2,data!$1:$1,0)),"#data"),IFERROR(W994*INDEX(indexy_SDcast!$A:$ALI,MATCH($R994,indexy_SDcast!$K:$K,0),MATCH(X$2,indexy_SDcast!$2:$2,0)),"#ekrk")),"#popis")</f>
        <v>-41995.404279207585</v>
      </c>
      <c r="Y994" s="362">
        <f>IF($Q994="ekrk",IF($R994="data",IFERROR(INDEX(data!$A:$ALL,MATCH($M994,data!$A:$A,0),MATCH(Y$2,data!$1:$1,0)),"#data"),IFERROR(X994*INDEX(indexy_SDcast!$A:$ALI,MATCH($R994,indexy_SDcast!$K:$K,0),MATCH(Y$2,indexy_SDcast!$2:$2,0)),"#ekrk")),"#popis")</f>
        <v>-43931.157725376768</v>
      </c>
    </row>
    <row r="995" spans="1:44" x14ac:dyDescent="0.25">
      <c r="A995" s="330" t="s">
        <v>699</v>
      </c>
      <c r="B995" s="329">
        <v>-149760</v>
      </c>
      <c r="C995" s="157"/>
      <c r="D995" s="348">
        <v>611000</v>
      </c>
      <c r="E995" s="329">
        <v>-149760</v>
      </c>
      <c r="F995" s="157"/>
      <c r="G995" s="330"/>
      <c r="H995" s="329"/>
      <c r="I995" s="157"/>
      <c r="J995" s="330"/>
      <c r="K995" s="329"/>
      <c r="L995" s="157"/>
      <c r="M995" s="360">
        <f t="shared" si="96"/>
        <v>0</v>
      </c>
      <c r="N995" s="237">
        <f t="shared" si="97"/>
        <v>0</v>
      </c>
      <c r="O995" s="361"/>
      <c r="P995" s="361"/>
      <c r="Q995" s="361"/>
      <c r="R995" s="362"/>
      <c r="S995" s="236"/>
      <c r="T995" s="364"/>
      <c r="U995" s="365"/>
      <c r="V995" s="365"/>
      <c r="W995" s="365"/>
      <c r="X995" s="365"/>
      <c r="Y995" s="362"/>
    </row>
    <row r="996" spans="1:44" x14ac:dyDescent="0.25">
      <c r="A996" s="330" t="s">
        <v>992</v>
      </c>
      <c r="B996" s="329">
        <v>14877</v>
      </c>
      <c r="C996" s="157"/>
      <c r="D996" s="348">
        <v>292000</v>
      </c>
      <c r="E996" s="329">
        <v>14877</v>
      </c>
      <c r="F996" s="157"/>
      <c r="G996" s="330">
        <v>292000</v>
      </c>
      <c r="H996" s="329">
        <v>14877</v>
      </c>
      <c r="I996" s="157"/>
      <c r="J996" s="330">
        <v>292000</v>
      </c>
      <c r="K996" s="329">
        <v>14877</v>
      </c>
      <c r="L996" s="157"/>
      <c r="M996" s="360">
        <f t="shared" si="96"/>
        <v>292000</v>
      </c>
      <c r="N996" s="237">
        <f t="shared" si="97"/>
        <v>14877</v>
      </c>
      <c r="O996" s="361"/>
      <c r="P996" s="361"/>
      <c r="Q996" s="361" t="s">
        <v>698</v>
      </c>
      <c r="R996" s="362">
        <f>IF(Q996="ekrk",INDEX(indexy_SDcast!$A:$C,MATCH($M996,indexy_SDcast!$A:$A,0),2),"")</f>
        <v>22</v>
      </c>
      <c r="S996" s="236"/>
      <c r="T996" s="364">
        <f>M996</f>
        <v>292000</v>
      </c>
      <c r="U996" s="365">
        <f>N996</f>
        <v>14877</v>
      </c>
      <c r="V996" s="365">
        <f>IF($Q996="ekrk",IF($R996="data",IFERROR(INDEX(data!$A:$ALL,MATCH($M996,data!$A:$A,0),MATCH(V$2,data!$1:$1,0)),"#data"),IFERROR(U996*INDEX(indexy_SDcast!$A:$ALI,MATCH($R996,indexy_SDcast!$K:$K,0),MATCH(V$2,indexy_SDcast!$2:$2,0)),"#ekrk")),"#popis")</f>
        <v>14877</v>
      </c>
      <c r="W996" s="365">
        <f>IF($Q996="ekrk",IF($R996="data",IFERROR(INDEX(data!$A:$ALL,MATCH($M996,data!$A:$A,0),MATCH(W$2,data!$1:$1,0)),"#data"),IFERROR(V996*INDEX(indexy_SDcast!$A:$ALI,MATCH($R996,indexy_SDcast!$K:$K,0),MATCH(W$2,indexy_SDcast!$2:$2,0)),"#ekrk")),"#popis")</f>
        <v>14877</v>
      </c>
      <c r="X996" s="365">
        <f>IF($Q996="ekrk",IF($R996="data",IFERROR(INDEX(data!$A:$ALL,MATCH($M996,data!$A:$A,0),MATCH(X$2,data!$1:$1,0)),"#data"),IFERROR(W996*INDEX(indexy_SDcast!$A:$ALI,MATCH($R996,indexy_SDcast!$K:$K,0),MATCH(X$2,indexy_SDcast!$2:$2,0)),"#ekrk")),"#popis")</f>
        <v>14877</v>
      </c>
      <c r="Y996" s="362">
        <f>IF($Q996="ekrk",IF($R996="data",IFERROR(INDEX(data!$A:$ALL,MATCH($M996,data!$A:$A,0),MATCH(Y$2,data!$1:$1,0)),"#data"),IFERROR(X996*INDEX(indexy_SDcast!$A:$ALI,MATCH($R996,indexy_SDcast!$K:$K,0),MATCH(Y$2,indexy_SDcast!$2:$2,0)),"#ekrk")),"#popis")</f>
        <v>14877</v>
      </c>
    </row>
    <row r="997" spans="1:44" x14ac:dyDescent="0.25">
      <c r="A997" s="330" t="s">
        <v>993</v>
      </c>
      <c r="B997" s="329">
        <v>-54738</v>
      </c>
      <c r="C997" s="157"/>
      <c r="D997" s="348">
        <v>637005</v>
      </c>
      <c r="E997" s="329">
        <v>-54738</v>
      </c>
      <c r="F997" s="157"/>
      <c r="G997" s="330">
        <v>637005</v>
      </c>
      <c r="H997" s="329">
        <v>-54738</v>
      </c>
      <c r="I997" s="157"/>
      <c r="J997" s="330">
        <v>637005</v>
      </c>
      <c r="K997" s="329">
        <v>-54738</v>
      </c>
      <c r="L997" s="157"/>
      <c r="M997" s="360">
        <f t="shared" si="96"/>
        <v>637005</v>
      </c>
      <c r="N997" s="237">
        <f t="shared" si="97"/>
        <v>-54738</v>
      </c>
      <c r="O997" s="361"/>
      <c r="P997" s="361"/>
      <c r="Q997" s="361" t="s">
        <v>698</v>
      </c>
      <c r="R997" s="362">
        <f>IF(Q997="ekrk",INDEX(indexy_SDcast!$A:$C,MATCH($M997,indexy_SDcast!$A:$A,0),2),"")</f>
        <v>6</v>
      </c>
      <c r="S997" s="236"/>
      <c r="T997" s="364">
        <f>M997</f>
        <v>637005</v>
      </c>
      <c r="U997" s="365">
        <f>N997</f>
        <v>-54738</v>
      </c>
      <c r="V997" s="365">
        <f>IF($Q997="ekrk",IF($R997="data",IFERROR(INDEX(data!$A:$ALL,MATCH($M997,data!$A:$A,0),MATCH(V$2,data!$1:$1,0)),"#data"),IFERROR(U997*INDEX(indexy_SDcast!$A:$ALI,MATCH($R997,indexy_SDcast!$K:$K,0),MATCH(V$2,indexy_SDcast!$2:$2,0)),"#ekrk")),"#popis")</f>
        <v>-55737.896173501489</v>
      </c>
      <c r="W997" s="365">
        <f>IF($Q997="ekrk",IF($R997="data",IFERROR(INDEX(data!$A:$ALL,MATCH($M997,data!$A:$A,0),MATCH(W$2,data!$1:$1,0)),"#data"),IFERROR(V997*INDEX(indexy_SDcast!$A:$ALI,MATCH($R997,indexy_SDcast!$K:$K,0),MATCH(W$2,indexy_SDcast!$2:$2,0)),"#ekrk")),"#popis")</f>
        <v>-57346.678284989481</v>
      </c>
      <c r="X997" s="365">
        <f>IF($Q997="ekrk",IF($R997="data",IFERROR(INDEX(data!$A:$ALL,MATCH($M997,data!$A:$A,0),MATCH(X$2,data!$1:$1,0)),"#data"),IFERROR(W997*INDEX(indexy_SDcast!$A:$ALI,MATCH($R997,indexy_SDcast!$K:$K,0),MATCH(X$2,indexy_SDcast!$2:$2,0)),"#ekrk")),"#popis")</f>
        <v>-59224.235321677406</v>
      </c>
      <c r="Y997" s="362">
        <f>IF($Q997="ekrk",IF($R997="data",IFERROR(INDEX(data!$A:$ALL,MATCH($M997,data!$A:$A,0),MATCH(Y$2,data!$1:$1,0)),"#data"),IFERROR(X997*INDEX(indexy_SDcast!$A:$ALI,MATCH($R997,indexy_SDcast!$K:$K,0),MATCH(Y$2,indexy_SDcast!$2:$2,0)),"#ekrk")),"#popis")</f>
        <v>-61286.653090625521</v>
      </c>
    </row>
    <row r="998" spans="1:44" s="18" customFormat="1" x14ac:dyDescent="0.25">
      <c r="A998" s="333" t="s">
        <v>700</v>
      </c>
      <c r="B998" s="334">
        <v>-811739.5140648653</v>
      </c>
      <c r="C998" s="164"/>
      <c r="D998" s="333" t="s">
        <v>700</v>
      </c>
      <c r="E998" s="334">
        <v>-811739.5140648653</v>
      </c>
      <c r="F998" s="164"/>
      <c r="G998" s="333" t="s">
        <v>700</v>
      </c>
      <c r="H998" s="334">
        <v>-811739.5140648653</v>
      </c>
      <c r="I998" s="164"/>
      <c r="J998" s="333" t="s">
        <v>700</v>
      </c>
      <c r="K998" s="334">
        <v>-811739.5140648653</v>
      </c>
      <c r="L998" s="164"/>
      <c r="M998" s="358" t="str">
        <f t="shared" si="96"/>
        <v>D121PAY</v>
      </c>
      <c r="N998" s="239">
        <f t="shared" si="97"/>
        <v>-811739.5140648653</v>
      </c>
      <c r="O998" s="243"/>
      <c r="P998" s="243">
        <f>MATCH(Q998,Q999:Q$1550,0)</f>
        <v>20</v>
      </c>
      <c r="Q998" s="243" t="s">
        <v>697</v>
      </c>
      <c r="R998" s="359" t="str">
        <f>IF(Q998="ekrk",INDEX(indexy_SDcast!$A:$C,MATCH($M998,indexy_SDcast!$A:$A,0),2),"")</f>
        <v/>
      </c>
      <c r="S998" s="240"/>
      <c r="T998" s="363" t="str">
        <f t="shared" ref="T998:T1016" si="99">M998</f>
        <v>D121PAY</v>
      </c>
      <c r="U998" s="244">
        <f>SUM(U999:U1017)</f>
        <v>-811739.5140648653</v>
      </c>
      <c r="V998" s="244">
        <f>SUM(V999:V1017)</f>
        <v>-835268.92075626552</v>
      </c>
      <c r="W998" s="244">
        <f>SUM(W999:W1017)</f>
        <v>-866154.70896614646</v>
      </c>
      <c r="X998" s="244">
        <f>SUM(X999:X1017)</f>
        <v>-903168.37791687495</v>
      </c>
      <c r="Y998" s="359">
        <f>SUM(Y999:Y1017)</f>
        <v>-944799.39278697653</v>
      </c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8"/>
      <c r="AN998" s="58"/>
      <c r="AO998" s="58"/>
      <c r="AP998" s="58"/>
      <c r="AQ998" s="58"/>
      <c r="AR998" s="58"/>
    </row>
    <row r="999" spans="1:44" x14ac:dyDescent="0.25">
      <c r="A999" s="330">
        <v>620000</v>
      </c>
      <c r="B999" s="329">
        <v>30960</v>
      </c>
      <c r="C999" s="157"/>
      <c r="D999" s="330">
        <v>620000</v>
      </c>
      <c r="E999" s="329">
        <v>30960</v>
      </c>
      <c r="F999" s="157"/>
      <c r="G999" s="330">
        <v>620000</v>
      </c>
      <c r="H999" s="329">
        <v>30960</v>
      </c>
      <c r="I999" s="157"/>
      <c r="J999" s="330">
        <v>620000</v>
      </c>
      <c r="K999" s="329">
        <v>30960</v>
      </c>
      <c r="L999" s="157"/>
      <c r="M999" s="360">
        <f t="shared" si="96"/>
        <v>620000</v>
      </c>
      <c r="N999" s="237">
        <f t="shared" si="97"/>
        <v>30960</v>
      </c>
      <c r="O999" s="361"/>
      <c r="P999" s="361"/>
      <c r="Q999" s="361" t="s">
        <v>698</v>
      </c>
      <c r="R999" s="362">
        <f>IF(Q999="ekrk",INDEX(indexy_SDcast!$A:$C,MATCH($M999,indexy_SDcast!$A:$A,0),2),"")</f>
        <v>39</v>
      </c>
      <c r="S999" s="236"/>
      <c r="T999" s="364">
        <f t="shared" si="99"/>
        <v>620000</v>
      </c>
      <c r="U999" s="365">
        <f t="shared" ref="U999:U1016" si="100">N999</f>
        <v>30960</v>
      </c>
      <c r="V999" s="365">
        <f>IF($Q999="ekrk",IF($R999="data",IFERROR(INDEX(data!$A:$ALL,MATCH($M999,data!$A:$A,0),MATCH(V$2,data!$1:$1,0)),"#data"),IFERROR(U999*INDEX(indexy_SDcast!$A:$ALI,MATCH($R999,indexy_SDcast!$K:$K,0),MATCH(V$2,indexy_SDcast!$2:$2,0)),"#ekrk")),"#popis")</f>
        <v>31857.418960816463</v>
      </c>
      <c r="W999" s="365">
        <f>IF($Q999="ekrk",IF($R999="data",IFERROR(INDEX(data!$A:$ALL,MATCH($M999,data!$A:$A,0),MATCH(W$2,data!$1:$1,0)),"#data"),IFERROR(V999*INDEX(indexy_SDcast!$A:$ALI,MATCH($R999,indexy_SDcast!$K:$K,0),MATCH(W$2,indexy_SDcast!$2:$2,0)),"#ekrk")),"#popis")</f>
        <v>33035.41262308076</v>
      </c>
      <c r="X999" s="365">
        <f>IF($Q999="ekrk",IF($R999="data",IFERROR(INDEX(data!$A:$ALL,MATCH($M999,data!$A:$A,0),MATCH(X$2,data!$1:$1,0)),"#data"),IFERROR(W999*INDEX(indexy_SDcast!$A:$ALI,MATCH($R999,indexy_SDcast!$K:$K,0),MATCH(X$2,indexy_SDcast!$2:$2,0)),"#ekrk")),"#popis")</f>
        <v>34447.125581313048</v>
      </c>
      <c r="Y999" s="362">
        <f>IF($Q999="ekrk",IF($R999="data",IFERROR(INDEX(data!$A:$ALL,MATCH($M999,data!$A:$A,0),MATCH(Y$2,data!$1:$1,0)),"#data"),IFERROR(X999*INDEX(indexy_SDcast!$A:$ALI,MATCH($R999,indexy_SDcast!$K:$K,0),MATCH(Y$2,indexy_SDcast!$2:$2,0)),"#ekrk")),"#popis")</f>
        <v>36034.945563026231</v>
      </c>
    </row>
    <row r="1000" spans="1:44" x14ac:dyDescent="0.25">
      <c r="A1000" s="330">
        <v>621000</v>
      </c>
      <c r="B1000" s="329">
        <v>-176888.91002068869</v>
      </c>
      <c r="C1000" s="157"/>
      <c r="D1000" s="330">
        <v>621000</v>
      </c>
      <c r="E1000" s="329">
        <v>-176888.91002068869</v>
      </c>
      <c r="F1000" s="157"/>
      <c r="G1000" s="330">
        <v>621000</v>
      </c>
      <c r="H1000" s="356">
        <f>E1000+E1017</f>
        <v>-232631.91002068869</v>
      </c>
      <c r="I1000" s="157"/>
      <c r="J1000" s="330">
        <v>621000</v>
      </c>
      <c r="K1000" s="329">
        <f>H1000+H1017</f>
        <v>-232631.91002068869</v>
      </c>
      <c r="L1000" s="157"/>
      <c r="M1000" s="360">
        <f t="shared" si="96"/>
        <v>621000</v>
      </c>
      <c r="N1000" s="237">
        <f t="shared" si="97"/>
        <v>-232631.91002068869</v>
      </c>
      <c r="O1000" s="361"/>
      <c r="P1000" s="361"/>
      <c r="Q1000" s="361" t="s">
        <v>698</v>
      </c>
      <c r="R1000" s="362">
        <f>IF(Q1000="ekrk",INDEX(indexy_SDcast!$A:$C,MATCH($M1000,indexy_SDcast!$A:$A,0),2),"")</f>
        <v>39</v>
      </c>
      <c r="S1000" s="236"/>
      <c r="T1000" s="364">
        <f t="shared" si="99"/>
        <v>621000</v>
      </c>
      <c r="U1000" s="365">
        <f t="shared" si="100"/>
        <v>-232631.91002068869</v>
      </c>
      <c r="V1000" s="365">
        <f>IF($Q1000="ekrk",IF($R1000="data",IFERROR(INDEX(data!$A:$ALL,MATCH($M1000,data!$A:$A,0),MATCH(V$2,data!$1:$1,0)),"#data"),IFERROR(U1000*INDEX(indexy_SDcast!$A:$ALI,MATCH($R1000,indexy_SDcast!$K:$K,0),MATCH(V$2,indexy_SDcast!$2:$2,0)),"#ekrk")),"#popis")</f>
        <v>-239375.07174367047</v>
      </c>
      <c r="W1000" s="365">
        <f>IF($Q1000="ekrk",IF($R1000="data",IFERROR(INDEX(data!$A:$ALL,MATCH($M1000,data!$A:$A,0),MATCH(W$2,data!$1:$1,0)),"#data"),IFERROR(V1000*INDEX(indexy_SDcast!$A:$ALI,MATCH($R1000,indexy_SDcast!$K:$K,0),MATCH(W$2,indexy_SDcast!$2:$2,0)),"#ekrk")),"#popis")</f>
        <v>-248226.45790790848</v>
      </c>
      <c r="X1000" s="365">
        <f>IF($Q1000="ekrk",IF($R1000="data",IFERROR(INDEX(data!$A:$ALL,MATCH($M1000,data!$A:$A,0),MATCH(X$2,data!$1:$1,0)),"#data"),IFERROR(W1000*INDEX(indexy_SDcast!$A:$ALI,MATCH($R1000,indexy_SDcast!$K:$K,0),MATCH(X$2,indexy_SDcast!$2:$2,0)),"#ekrk")),"#popis")</f>
        <v>-258833.99931212471</v>
      </c>
      <c r="Y1000" s="362">
        <f>IF($Q1000="ekrk",IF($R1000="data",IFERROR(INDEX(data!$A:$ALL,MATCH($M1000,data!$A:$A,0),MATCH(Y$2,data!$1:$1,0)),"#data"),IFERROR(X1000*INDEX(indexy_SDcast!$A:$ALI,MATCH($R1000,indexy_SDcast!$K:$K,0),MATCH(Y$2,indexy_SDcast!$2:$2,0)),"#ekrk")),"#popis")</f>
        <v>-270764.8001879307</v>
      </c>
    </row>
    <row r="1001" spans="1:44" x14ac:dyDescent="0.25">
      <c r="A1001" s="330">
        <v>623000</v>
      </c>
      <c r="B1001" s="329">
        <v>-49153.079539252125</v>
      </c>
      <c r="C1001" s="157"/>
      <c r="D1001" s="330">
        <v>623000</v>
      </c>
      <c r="E1001" s="329">
        <v>-49153.079539252125</v>
      </c>
      <c r="F1001" s="157"/>
      <c r="G1001" s="330">
        <v>623000</v>
      </c>
      <c r="H1001" s="329">
        <v>-49153.079539252125</v>
      </c>
      <c r="I1001" s="157"/>
      <c r="J1001" s="330">
        <v>623000</v>
      </c>
      <c r="K1001" s="329">
        <v>-49153.079539252125</v>
      </c>
      <c r="L1001" s="157"/>
      <c r="M1001" s="360">
        <f t="shared" si="96"/>
        <v>623000</v>
      </c>
      <c r="N1001" s="237">
        <f t="shared" si="97"/>
        <v>-49153.079539252125</v>
      </c>
      <c r="O1001" s="361"/>
      <c r="P1001" s="361"/>
      <c r="Q1001" s="361" t="s">
        <v>698</v>
      </c>
      <c r="R1001" s="362">
        <f>IF(Q1001="ekrk",INDEX(indexy_SDcast!$A:$C,MATCH($M1001,indexy_SDcast!$A:$A,0),2),"")</f>
        <v>39</v>
      </c>
      <c r="S1001" s="236"/>
      <c r="T1001" s="364">
        <f t="shared" si="99"/>
        <v>623000</v>
      </c>
      <c r="U1001" s="365">
        <f t="shared" si="100"/>
        <v>-49153.079539252125</v>
      </c>
      <c r="V1001" s="365">
        <f>IF($Q1001="ekrk",IF($R1001="data",IFERROR(INDEX(data!$A:$ALL,MATCH($M1001,data!$A:$A,0),MATCH(V$2,data!$1:$1,0)),"#data"),IFERROR(U1001*INDEX(indexy_SDcast!$A:$ALI,MATCH($R1001,indexy_SDcast!$K:$K,0),MATCH(V$2,indexy_SDcast!$2:$2,0)),"#ekrk")),"#popis")</f>
        <v>-50577.850390707055</v>
      </c>
      <c r="W1001" s="365">
        <f>IF($Q1001="ekrk",IF($R1001="data",IFERROR(INDEX(data!$A:$ALL,MATCH($M1001,data!$A:$A,0),MATCH(W$2,data!$1:$1,0)),"#data"),IFERROR(V1001*INDEX(indexy_SDcast!$A:$ALI,MATCH($R1001,indexy_SDcast!$K:$K,0),MATCH(W$2,indexy_SDcast!$2:$2,0)),"#ekrk")),"#popis")</f>
        <v>-52448.070551495548</v>
      </c>
      <c r="X1001" s="365">
        <f>IF($Q1001="ekrk",IF($R1001="data",IFERROR(INDEX(data!$A:$ALL,MATCH($M1001,data!$A:$A,0),MATCH(X$2,data!$1:$1,0)),"#data"),IFERROR(W1001*INDEX(indexy_SDcast!$A:$ALI,MATCH($R1001,indexy_SDcast!$K:$K,0),MATCH(X$2,indexy_SDcast!$2:$2,0)),"#ekrk")),"#popis")</f>
        <v>-54689.350891372313</v>
      </c>
      <c r="Y1001" s="362">
        <f>IF($Q1001="ekrk",IF($R1001="data",IFERROR(INDEX(data!$A:$ALL,MATCH($M1001,data!$A:$A,0),MATCH(Y$2,data!$1:$1,0)),"#data"),IFERROR(X1001*INDEX(indexy_SDcast!$A:$ALI,MATCH($R1001,indexy_SDcast!$K:$K,0),MATCH(Y$2,indexy_SDcast!$2:$2,0)),"#ekrk")),"#popis")</f>
        <v>-57210.224336306492</v>
      </c>
    </row>
    <row r="1002" spans="1:44" x14ac:dyDescent="0.25">
      <c r="A1002" s="330">
        <v>625000</v>
      </c>
      <c r="B1002" s="329">
        <v>-1120.2093499999999</v>
      </c>
      <c r="C1002" s="157"/>
      <c r="D1002" s="330">
        <v>625000</v>
      </c>
      <c r="E1002" s="329">
        <v>-1120.2093499999999</v>
      </c>
      <c r="F1002" s="157"/>
      <c r="G1002" s="330">
        <v>625000</v>
      </c>
      <c r="H1002" s="329">
        <v>-1120.2093499999999</v>
      </c>
      <c r="I1002" s="157"/>
      <c r="J1002" s="330">
        <v>625000</v>
      </c>
      <c r="K1002" s="329">
        <v>-1120.2093499999999</v>
      </c>
      <c r="L1002" s="157"/>
      <c r="M1002" s="360">
        <f t="shared" si="96"/>
        <v>625000</v>
      </c>
      <c r="N1002" s="237">
        <f t="shared" si="97"/>
        <v>-1120.2093499999999</v>
      </c>
      <c r="O1002" s="361"/>
      <c r="P1002" s="361"/>
      <c r="Q1002" s="361" t="s">
        <v>698</v>
      </c>
      <c r="R1002" s="362">
        <f>IF(Q1002="ekrk",INDEX(indexy_SDcast!$A:$C,MATCH($M1002,indexy_SDcast!$A:$A,0),2),"")</f>
        <v>39</v>
      </c>
      <c r="S1002" s="236"/>
      <c r="T1002" s="364">
        <f t="shared" si="99"/>
        <v>625000</v>
      </c>
      <c r="U1002" s="365">
        <f t="shared" si="100"/>
        <v>-1120.2093499999999</v>
      </c>
      <c r="V1002" s="365">
        <f>IF($Q1002="ekrk",IF($R1002="data",IFERROR(INDEX(data!$A:$ALL,MATCH($M1002,data!$A:$A,0),MATCH(V$2,data!$1:$1,0)),"#data"),IFERROR(U1002*INDEX(indexy_SDcast!$A:$ALI,MATCH($R1002,indexy_SDcast!$K:$K,0),MATCH(V$2,indexy_SDcast!$2:$2,0)),"#ekrk")),"#popis")</f>
        <v>-1152.6801869113012</v>
      </c>
      <c r="W1002" s="365">
        <f>IF($Q1002="ekrk",IF($R1002="data",IFERROR(INDEX(data!$A:$ALL,MATCH($M1002,data!$A:$A,0),MATCH(W$2,data!$1:$1,0)),"#data"),IFERROR(V1002*INDEX(indexy_SDcast!$A:$ALI,MATCH($R1002,indexy_SDcast!$K:$K,0),MATCH(W$2,indexy_SDcast!$2:$2,0)),"#ekrk")),"#popis")</f>
        <v>-1195.3029102546218</v>
      </c>
      <c r="X1002" s="365">
        <f>IF($Q1002="ekrk",IF($R1002="data",IFERROR(INDEX(data!$A:$ALL,MATCH($M1002,data!$A:$A,0),MATCH(X$2,data!$1:$1,0)),"#data"),IFERROR(W1002*INDEX(indexy_SDcast!$A:$ALI,MATCH($R1002,indexy_SDcast!$K:$K,0),MATCH(X$2,indexy_SDcast!$2:$2,0)),"#ekrk")),"#popis")</f>
        <v>-1246.3821756075924</v>
      </c>
      <c r="Y1002" s="362">
        <f>IF($Q1002="ekrk",IF($R1002="data",IFERROR(INDEX(data!$A:$ALL,MATCH($M1002,data!$A:$A,0),MATCH(Y$2,data!$1:$1,0)),"#data"),IFERROR(X1002*INDEX(indexy_SDcast!$A:$ALI,MATCH($R1002,indexy_SDcast!$K:$K,0),MATCH(Y$2,indexy_SDcast!$2:$2,0)),"#ekrk")),"#popis")</f>
        <v>-1303.833428502681</v>
      </c>
    </row>
    <row r="1003" spans="1:44" x14ac:dyDescent="0.25">
      <c r="A1003" s="330">
        <v>625001</v>
      </c>
      <c r="B1003" s="329">
        <v>-24693.116189999993</v>
      </c>
      <c r="C1003" s="157"/>
      <c r="D1003" s="330">
        <v>625001</v>
      </c>
      <c r="E1003" s="329">
        <v>-24693.116189999993</v>
      </c>
      <c r="F1003" s="157"/>
      <c r="G1003" s="330">
        <v>625001</v>
      </c>
      <c r="H1003" s="329">
        <v>-24693.116189999993</v>
      </c>
      <c r="I1003" s="157"/>
      <c r="J1003" s="330">
        <v>625001</v>
      </c>
      <c r="K1003" s="329">
        <v>-24693.116189999993</v>
      </c>
      <c r="L1003" s="157"/>
      <c r="M1003" s="360">
        <f t="shared" si="96"/>
        <v>625001</v>
      </c>
      <c r="N1003" s="237">
        <f t="shared" si="97"/>
        <v>-24693.116189999993</v>
      </c>
      <c r="O1003" s="361"/>
      <c r="P1003" s="361"/>
      <c r="Q1003" s="361" t="s">
        <v>698</v>
      </c>
      <c r="R1003" s="362">
        <f>IF(Q1003="ekrk",INDEX(indexy_SDcast!$A:$C,MATCH($M1003,indexy_SDcast!$A:$A,0),2),"")</f>
        <v>39</v>
      </c>
      <c r="S1003" s="236"/>
      <c r="T1003" s="364">
        <f t="shared" si="99"/>
        <v>625001</v>
      </c>
      <c r="U1003" s="365">
        <f t="shared" si="100"/>
        <v>-24693.116189999993</v>
      </c>
      <c r="V1003" s="365">
        <f>IF($Q1003="ekrk",IF($R1003="data",IFERROR(INDEX(data!$A:$ALL,MATCH($M1003,data!$A:$A,0),MATCH(V$2,data!$1:$1,0)),"#data"),IFERROR(U1003*INDEX(indexy_SDcast!$A:$ALI,MATCH($R1003,indexy_SDcast!$K:$K,0),MATCH(V$2,indexy_SDcast!$2:$2,0)),"#ekrk")),"#popis")</f>
        <v>-25408.880746542305</v>
      </c>
      <c r="W1003" s="365">
        <f>IF($Q1003="ekrk",IF($R1003="data",IFERROR(INDEX(data!$A:$ALL,MATCH($M1003,data!$A:$A,0),MATCH(W$2,data!$1:$1,0)),"#data"),IFERROR(V1003*INDEX(indexy_SDcast!$A:$ALI,MATCH($R1003,indexy_SDcast!$K:$K,0),MATCH(W$2,indexy_SDcast!$2:$2,0)),"#ekrk")),"#popis")</f>
        <v>-26348.426430436873</v>
      </c>
      <c r="X1003" s="365">
        <f>IF($Q1003="ekrk",IF($R1003="data",IFERROR(INDEX(data!$A:$ALL,MATCH($M1003,data!$A:$A,0),MATCH(X$2,data!$1:$1,0)),"#data"),IFERROR(W1003*INDEX(indexy_SDcast!$A:$ALI,MATCH($R1003,indexy_SDcast!$K:$K,0),MATCH(X$2,indexy_SDcast!$2:$2,0)),"#ekrk")),"#popis")</f>
        <v>-27474.382247767575</v>
      </c>
      <c r="Y1003" s="362">
        <f>IF($Q1003="ekrk",IF($R1003="data",IFERROR(INDEX(data!$A:$ALL,MATCH($M1003,data!$A:$A,0),MATCH(Y$2,data!$1:$1,0)),"#data"),IFERROR(X1003*INDEX(indexy_SDcast!$A:$ALI,MATCH($R1003,indexy_SDcast!$K:$K,0),MATCH(Y$2,indexy_SDcast!$2:$2,0)),"#ekrk")),"#popis")</f>
        <v>-28740.797728944817</v>
      </c>
    </row>
    <row r="1004" spans="1:44" x14ac:dyDescent="0.25">
      <c r="A1004" s="330">
        <v>625002</v>
      </c>
      <c r="B1004" s="329">
        <v>-209312.79590968945</v>
      </c>
      <c r="C1004" s="157"/>
      <c r="D1004" s="330">
        <v>625002</v>
      </c>
      <c r="E1004" s="329">
        <v>-209312.79590968945</v>
      </c>
      <c r="F1004" s="157"/>
      <c r="G1004" s="330">
        <v>625002</v>
      </c>
      <c r="H1004" s="329">
        <v>-209312.79590968945</v>
      </c>
      <c r="I1004" s="157"/>
      <c r="J1004" s="330">
        <v>625002</v>
      </c>
      <c r="K1004" s="329">
        <v>-209312.79590968945</v>
      </c>
      <c r="L1004" s="157"/>
      <c r="M1004" s="360">
        <f t="shared" si="96"/>
        <v>625002</v>
      </c>
      <c r="N1004" s="237">
        <f t="shared" si="97"/>
        <v>-209312.79590968945</v>
      </c>
      <c r="O1004" s="361"/>
      <c r="P1004" s="361"/>
      <c r="Q1004" s="361" t="s">
        <v>698</v>
      </c>
      <c r="R1004" s="362">
        <f>IF(Q1004="ekrk",INDEX(indexy_SDcast!$A:$C,MATCH($M1004,indexy_SDcast!$A:$A,0),2),"")</f>
        <v>39</v>
      </c>
      <c r="S1004" s="236"/>
      <c r="T1004" s="364">
        <f t="shared" si="99"/>
        <v>625002</v>
      </c>
      <c r="U1004" s="365">
        <f t="shared" si="100"/>
        <v>-209312.79590968945</v>
      </c>
      <c r="V1004" s="365">
        <f>IF($Q1004="ekrk",IF($R1004="data",IFERROR(INDEX(data!$A:$ALL,MATCH($M1004,data!$A:$A,0),MATCH(V$2,data!$1:$1,0)),"#data"),IFERROR(U1004*INDEX(indexy_SDcast!$A:$ALI,MATCH($R1004,indexy_SDcast!$K:$K,0),MATCH(V$2,indexy_SDcast!$2:$2,0)),"#ekrk")),"#popis")</f>
        <v>-215380.02045073797</v>
      </c>
      <c r="W1004" s="365">
        <f>IF($Q1004="ekrk",IF($R1004="data",IFERROR(INDEX(data!$A:$ALL,MATCH($M1004,data!$A:$A,0),MATCH(W$2,data!$1:$1,0)),"#data"),IFERROR(V1004*INDEX(indexy_SDcast!$A:$ALI,MATCH($R1004,indexy_SDcast!$K:$K,0),MATCH(W$2,indexy_SDcast!$2:$2,0)),"#ekrk")),"#popis")</f>
        <v>-223344.1401862817</v>
      </c>
      <c r="X1004" s="365">
        <f>IF($Q1004="ekrk",IF($R1004="data",IFERROR(INDEX(data!$A:$ALL,MATCH($M1004,data!$A:$A,0),MATCH(X$2,data!$1:$1,0)),"#data"),IFERROR(W1004*INDEX(indexy_SDcast!$A:$ALI,MATCH($R1004,indexy_SDcast!$K:$K,0),MATCH(X$2,indexy_SDcast!$2:$2,0)),"#ekrk")),"#popis")</f>
        <v>-232888.37747018156</v>
      </c>
      <c r="Y1004" s="362">
        <f>IF($Q1004="ekrk",IF($R1004="data",IFERROR(INDEX(data!$A:$ALL,MATCH($M1004,data!$A:$A,0),MATCH(Y$2,data!$1:$1,0)),"#data"),IFERROR(X1004*INDEX(indexy_SDcast!$A:$ALI,MATCH($R1004,indexy_SDcast!$K:$K,0),MATCH(Y$2,indexy_SDcast!$2:$2,0)),"#ekrk")),"#popis")</f>
        <v>-243623.23017604911</v>
      </c>
    </row>
    <row r="1005" spans="1:44" x14ac:dyDescent="0.25">
      <c r="A1005" s="330">
        <v>625003</v>
      </c>
      <c r="B1005" s="329">
        <v>-12389.183749999973</v>
      </c>
      <c r="C1005" s="157"/>
      <c r="D1005" s="330">
        <v>625003</v>
      </c>
      <c r="E1005" s="329">
        <v>-12389.183749999973</v>
      </c>
      <c r="F1005" s="157"/>
      <c r="G1005" s="330">
        <v>625003</v>
      </c>
      <c r="H1005" s="329">
        <v>-12389.183749999973</v>
      </c>
      <c r="I1005" s="157"/>
      <c r="J1005" s="330">
        <v>625003</v>
      </c>
      <c r="K1005" s="329">
        <v>-12389.183749999973</v>
      </c>
      <c r="L1005" s="157"/>
      <c r="M1005" s="360">
        <f t="shared" si="96"/>
        <v>625003</v>
      </c>
      <c r="N1005" s="237">
        <f t="shared" si="97"/>
        <v>-12389.183749999973</v>
      </c>
      <c r="O1005" s="361"/>
      <c r="P1005" s="361"/>
      <c r="Q1005" s="361" t="s">
        <v>698</v>
      </c>
      <c r="R1005" s="362">
        <f>IF(Q1005="ekrk",INDEX(indexy_SDcast!$A:$C,MATCH($M1005,indexy_SDcast!$A:$A,0),2),"")</f>
        <v>39</v>
      </c>
      <c r="S1005" s="236"/>
      <c r="T1005" s="364">
        <f t="shared" si="99"/>
        <v>625003</v>
      </c>
      <c r="U1005" s="365">
        <f t="shared" si="100"/>
        <v>-12389.183749999973</v>
      </c>
      <c r="V1005" s="365">
        <f>IF($Q1005="ekrk",IF($R1005="data",IFERROR(INDEX(data!$A:$ALL,MATCH($M1005,data!$A:$A,0),MATCH(V$2,data!$1:$1,0)),"#data"),IFERROR(U1005*INDEX(indexy_SDcast!$A:$ALI,MATCH($R1005,indexy_SDcast!$K:$K,0),MATCH(V$2,indexy_SDcast!$2:$2,0)),"#ekrk")),"#popis")</f>
        <v>-12748.301592580374</v>
      </c>
      <c r="W1005" s="365">
        <f>IF($Q1005="ekrk",IF($R1005="data",IFERROR(INDEX(data!$A:$ALL,MATCH($M1005,data!$A:$A,0),MATCH(W$2,data!$1:$1,0)),"#data"),IFERROR(V1005*INDEX(indexy_SDcast!$A:$ALI,MATCH($R1005,indexy_SDcast!$K:$K,0),MATCH(W$2,indexy_SDcast!$2:$2,0)),"#ekrk")),"#popis")</f>
        <v>-13219.696293424293</v>
      </c>
      <c r="X1005" s="365">
        <f>IF($Q1005="ekrk",IF($R1005="data",IFERROR(INDEX(data!$A:$ALL,MATCH($M1005,data!$A:$A,0),MATCH(X$2,data!$1:$1,0)),"#data"),IFERROR(W1005*INDEX(indexy_SDcast!$A:$ALI,MATCH($R1005,indexy_SDcast!$K:$K,0),MATCH(X$2,indexy_SDcast!$2:$2,0)),"#ekrk")),"#popis")</f>
        <v>-13784.617845161885</v>
      </c>
      <c r="Y1005" s="362">
        <f>IF($Q1005="ekrk",IF($R1005="data",IFERROR(INDEX(data!$A:$ALL,MATCH($M1005,data!$A:$A,0),MATCH(Y$2,data!$1:$1,0)),"#data"),IFERROR(X1005*INDEX(indexy_SDcast!$A:$ALI,MATCH($R1005,indexy_SDcast!$K:$K,0),MATCH(Y$2,indexy_SDcast!$2:$2,0)),"#ekrk")),"#popis")</f>
        <v>-14420.011692557437</v>
      </c>
    </row>
    <row r="1006" spans="1:44" x14ac:dyDescent="0.25">
      <c r="A1006" s="330">
        <v>625004</v>
      </c>
      <c r="B1006" s="329">
        <v>-41927.573832995891</v>
      </c>
      <c r="C1006" s="157"/>
      <c r="D1006" s="330">
        <v>625004</v>
      </c>
      <c r="E1006" s="329">
        <v>-41927.573832995891</v>
      </c>
      <c r="F1006" s="157"/>
      <c r="G1006" s="330">
        <v>625004</v>
      </c>
      <c r="H1006" s="329">
        <v>-41927.573832995891</v>
      </c>
      <c r="I1006" s="157"/>
      <c r="J1006" s="330">
        <v>625004</v>
      </c>
      <c r="K1006" s="329">
        <v>-41927.573832995891</v>
      </c>
      <c r="L1006" s="157"/>
      <c r="M1006" s="360">
        <f t="shared" si="96"/>
        <v>625004</v>
      </c>
      <c r="N1006" s="237">
        <f t="shared" si="97"/>
        <v>-41927.573832995891</v>
      </c>
      <c r="O1006" s="361"/>
      <c r="P1006" s="361"/>
      <c r="Q1006" s="361" t="s">
        <v>698</v>
      </c>
      <c r="R1006" s="362">
        <f>IF(Q1006="ekrk",INDEX(indexy_SDcast!$A:$C,MATCH($M1006,indexy_SDcast!$A:$A,0),2),"")</f>
        <v>39</v>
      </c>
      <c r="S1006" s="236"/>
      <c r="T1006" s="364">
        <f t="shared" si="99"/>
        <v>625004</v>
      </c>
      <c r="U1006" s="365">
        <f t="shared" si="100"/>
        <v>-41927.573832995891</v>
      </c>
      <c r="V1006" s="365">
        <f>IF($Q1006="ekrk",IF($R1006="data",IFERROR(INDEX(data!$A:$ALL,MATCH($M1006,data!$A:$A,0),MATCH(V$2,data!$1:$1,0)),"#data"),IFERROR(U1006*INDEX(indexy_SDcast!$A:$ALI,MATCH($R1006,indexy_SDcast!$K:$K,0),MATCH(V$2,indexy_SDcast!$2:$2,0)),"#ekrk")),"#popis")</f>
        <v>-43142.903281922336</v>
      </c>
      <c r="W1006" s="365">
        <f>IF($Q1006="ekrk",IF($R1006="data",IFERROR(INDEX(data!$A:$ALL,MATCH($M1006,data!$A:$A,0),MATCH(W$2,data!$1:$1,0)),"#data"),IFERROR(V1006*INDEX(indexy_SDcast!$A:$ALI,MATCH($R1006,indexy_SDcast!$K:$K,0),MATCH(W$2,indexy_SDcast!$2:$2,0)),"#ekrk")),"#popis")</f>
        <v>-44738.200964396092</v>
      </c>
      <c r="X1006" s="365">
        <f>IF($Q1006="ekrk",IF($R1006="data",IFERROR(INDEX(data!$A:$ALL,MATCH($M1006,data!$A:$A,0),MATCH(X$2,data!$1:$1,0)),"#data"),IFERROR(W1006*INDEX(indexy_SDcast!$A:$ALI,MATCH($R1006,indexy_SDcast!$K:$K,0),MATCH(X$2,indexy_SDcast!$2:$2,0)),"#ekrk")),"#popis")</f>
        <v>-46650.012956879342</v>
      </c>
      <c r="Y1006" s="362">
        <f>IF($Q1006="ekrk",IF($R1006="data",IFERROR(INDEX(data!$A:$ALL,MATCH($M1006,data!$A:$A,0),MATCH(Y$2,data!$1:$1,0)),"#data"),IFERROR(X1006*INDEX(indexy_SDcast!$A:$ALI,MATCH($R1006,indexy_SDcast!$K:$K,0),MATCH(Y$2,indexy_SDcast!$2:$2,0)),"#ekrk")),"#popis")</f>
        <v>-48800.317850832369</v>
      </c>
    </row>
    <row r="1007" spans="1:44" x14ac:dyDescent="0.25">
      <c r="A1007" s="330">
        <v>625005</v>
      </c>
      <c r="B1007" s="329">
        <v>-14552.034230000001</v>
      </c>
      <c r="C1007" s="157"/>
      <c r="D1007" s="330">
        <v>625005</v>
      </c>
      <c r="E1007" s="329">
        <v>-14552.034230000001</v>
      </c>
      <c r="F1007" s="157"/>
      <c r="G1007" s="330">
        <v>625005</v>
      </c>
      <c r="H1007" s="329">
        <v>-14552.034230000001</v>
      </c>
      <c r="I1007" s="157"/>
      <c r="J1007" s="330">
        <v>625005</v>
      </c>
      <c r="K1007" s="329">
        <v>-14552.034230000001</v>
      </c>
      <c r="L1007" s="157"/>
      <c r="M1007" s="360">
        <f t="shared" si="96"/>
        <v>625005</v>
      </c>
      <c r="N1007" s="237">
        <f t="shared" si="97"/>
        <v>-14552.034230000001</v>
      </c>
      <c r="O1007" s="361"/>
      <c r="P1007" s="361"/>
      <c r="Q1007" s="361" t="s">
        <v>698</v>
      </c>
      <c r="R1007" s="362">
        <f>IF(Q1007="ekrk",INDEX(indexy_SDcast!$A:$C,MATCH($M1007,indexy_SDcast!$A:$A,0),2),"")</f>
        <v>39</v>
      </c>
      <c r="S1007" s="236"/>
      <c r="T1007" s="364">
        <f t="shared" si="99"/>
        <v>625005</v>
      </c>
      <c r="U1007" s="365">
        <f t="shared" si="100"/>
        <v>-14552.034230000001</v>
      </c>
      <c r="V1007" s="365">
        <f>IF($Q1007="ekrk",IF($R1007="data",IFERROR(INDEX(data!$A:$ALL,MATCH($M1007,data!$A:$A,0),MATCH(V$2,data!$1:$1,0)),"#data"),IFERROR(U1007*INDEX(indexy_SDcast!$A:$ALI,MATCH($R1007,indexy_SDcast!$K:$K,0),MATCH(V$2,indexy_SDcast!$2:$2,0)),"#ekrk")),"#popis")</f>
        <v>-14973.845322908664</v>
      </c>
      <c r="W1007" s="365">
        <f>IF($Q1007="ekrk",IF($R1007="data",IFERROR(INDEX(data!$A:$ALL,MATCH($M1007,data!$A:$A,0),MATCH(W$2,data!$1:$1,0)),"#data"),IFERROR(V1007*INDEX(indexy_SDcast!$A:$ALI,MATCH($R1007,indexy_SDcast!$K:$K,0),MATCH(W$2,indexy_SDcast!$2:$2,0)),"#ekrk")),"#popis")</f>
        <v>-15527.534085699139</v>
      </c>
      <c r="X1007" s="365">
        <f>IF($Q1007="ekrk",IF($R1007="data",IFERROR(INDEX(data!$A:$ALL,MATCH($M1007,data!$A:$A,0),MATCH(X$2,data!$1:$1,0)),"#data"),IFERROR(W1007*INDEX(indexy_SDcast!$A:$ALI,MATCH($R1007,indexy_SDcast!$K:$K,0),MATCH(X$2,indexy_SDcast!$2:$2,0)),"#ekrk")),"#popis")</f>
        <v>-16191.077215257628</v>
      </c>
      <c r="Y1007" s="362">
        <f>IF($Q1007="ekrk",IF($R1007="data",IFERROR(INDEX(data!$A:$ALL,MATCH($M1007,data!$A:$A,0),MATCH(Y$2,data!$1:$1,0)),"#data"),IFERROR(X1007*INDEX(indexy_SDcast!$A:$ALI,MATCH($R1007,indexy_SDcast!$K:$K,0),MATCH(Y$2,indexy_SDcast!$2:$2,0)),"#ekrk")),"#popis")</f>
        <v>-16937.395391128695</v>
      </c>
    </row>
    <row r="1008" spans="1:44" x14ac:dyDescent="0.25">
      <c r="A1008" s="330">
        <v>625006</v>
      </c>
      <c r="B1008" s="329">
        <v>-566.13316999999961</v>
      </c>
      <c r="C1008" s="157"/>
      <c r="D1008" s="330">
        <v>625006</v>
      </c>
      <c r="E1008" s="329">
        <v>-566.13316999999961</v>
      </c>
      <c r="F1008" s="157"/>
      <c r="G1008" s="330">
        <v>625006</v>
      </c>
      <c r="H1008" s="329">
        <v>-566.13316999999961</v>
      </c>
      <c r="I1008" s="157"/>
      <c r="J1008" s="330">
        <v>625006</v>
      </c>
      <c r="K1008" s="329">
        <v>-566.13316999999961</v>
      </c>
      <c r="L1008" s="157"/>
      <c r="M1008" s="360">
        <f t="shared" si="96"/>
        <v>625006</v>
      </c>
      <c r="N1008" s="237">
        <f t="shared" si="97"/>
        <v>-566.13316999999961</v>
      </c>
      <c r="O1008" s="361"/>
      <c r="P1008" s="361"/>
      <c r="Q1008" s="361" t="s">
        <v>698</v>
      </c>
      <c r="R1008" s="362">
        <f>IF(Q1008="ekrk",INDEX(indexy_SDcast!$A:$C,MATCH($M1008,indexy_SDcast!$A:$A,0),2),"")</f>
        <v>39</v>
      </c>
      <c r="S1008" s="236"/>
      <c r="T1008" s="364">
        <f t="shared" si="99"/>
        <v>625006</v>
      </c>
      <c r="U1008" s="365">
        <f t="shared" si="100"/>
        <v>-566.13316999999961</v>
      </c>
      <c r="V1008" s="365">
        <f>IF($Q1008="ekrk",IF($R1008="data",IFERROR(INDEX(data!$A:$ALL,MATCH($M1008,data!$A:$A,0),MATCH(V$2,data!$1:$1,0)),"#data"),IFERROR(U1008*INDEX(indexy_SDcast!$A:$ALI,MATCH($R1008,indexy_SDcast!$K:$K,0),MATCH(V$2,indexy_SDcast!$2:$2,0)),"#ekrk")),"#popis")</f>
        <v>-582.54333282639277</v>
      </c>
      <c r="W1008" s="365">
        <f>IF($Q1008="ekrk",IF($R1008="data",IFERROR(INDEX(data!$A:$ALL,MATCH($M1008,data!$A:$A,0),MATCH(W$2,data!$1:$1,0)),"#data"),IFERROR(V1008*INDEX(indexy_SDcast!$A:$ALI,MATCH($R1008,indexy_SDcast!$K:$K,0),MATCH(W$2,indexy_SDcast!$2:$2,0)),"#ekrk")),"#popis")</f>
        <v>-604.08407204659932</v>
      </c>
      <c r="X1008" s="365">
        <f>IF($Q1008="ekrk",IF($R1008="data",IFERROR(INDEX(data!$A:$ALL,MATCH($M1008,data!$A:$A,0),MATCH(X$2,data!$1:$1,0)),"#data"),IFERROR(W1008*INDEX(indexy_SDcast!$A:$ALI,MATCH($R1008,indexy_SDcast!$K:$K,0),MATCH(X$2,indexy_SDcast!$2:$2,0)),"#ekrk")),"#popis")</f>
        <v>-629.89859181966528</v>
      </c>
      <c r="Y1008" s="362">
        <f>IF($Q1008="ekrk",IF($R1008="data",IFERROR(INDEX(data!$A:$ALL,MATCH($M1008,data!$A:$A,0),MATCH(Y$2,data!$1:$1,0)),"#data"),IFERROR(X1008*INDEX(indexy_SDcast!$A:$ALI,MATCH($R1008,indexy_SDcast!$K:$K,0),MATCH(Y$2,indexy_SDcast!$2:$2,0)),"#ekrk")),"#popis")</f>
        <v>-658.93339671748913</v>
      </c>
    </row>
    <row r="1009" spans="1:44" x14ac:dyDescent="0.25">
      <c r="A1009" s="330">
        <v>625007</v>
      </c>
      <c r="B1009" s="329">
        <v>-70637.713222239268</v>
      </c>
      <c r="C1009" s="157"/>
      <c r="D1009" s="330">
        <v>625007</v>
      </c>
      <c r="E1009" s="329">
        <v>-70637.713222239268</v>
      </c>
      <c r="F1009" s="157"/>
      <c r="G1009" s="330">
        <v>625007</v>
      </c>
      <c r="H1009" s="329">
        <v>-70637.713222239268</v>
      </c>
      <c r="I1009" s="157"/>
      <c r="J1009" s="330">
        <v>625007</v>
      </c>
      <c r="K1009" s="329">
        <v>-70637.713222239268</v>
      </c>
      <c r="L1009" s="157"/>
      <c r="M1009" s="360">
        <f t="shared" si="96"/>
        <v>625007</v>
      </c>
      <c r="N1009" s="237">
        <f t="shared" si="97"/>
        <v>-70637.713222239268</v>
      </c>
      <c r="O1009" s="361"/>
      <c r="P1009" s="361"/>
      <c r="Q1009" s="361" t="s">
        <v>698</v>
      </c>
      <c r="R1009" s="362">
        <f>IF(Q1009="ekrk",INDEX(indexy_SDcast!$A:$C,MATCH($M1009,indexy_SDcast!$A:$A,0),2),"")</f>
        <v>39</v>
      </c>
      <c r="S1009" s="236"/>
      <c r="T1009" s="364">
        <f t="shared" si="99"/>
        <v>625007</v>
      </c>
      <c r="U1009" s="365">
        <f t="shared" si="100"/>
        <v>-70637.713222239268</v>
      </c>
      <c r="V1009" s="365">
        <f>IF($Q1009="ekrk",IF($R1009="data",IFERROR(INDEX(data!$A:$ALL,MATCH($M1009,data!$A:$A,0),MATCH(V$2,data!$1:$1,0)),"#data"),IFERROR(U1009*INDEX(indexy_SDcast!$A:$ALI,MATCH($R1009,indexy_SDcast!$K:$K,0),MATCH(V$2,indexy_SDcast!$2:$2,0)),"#ekrk")),"#popis")</f>
        <v>-72685.2462711525</v>
      </c>
      <c r="W1009" s="365">
        <f>IF($Q1009="ekrk",IF($R1009="data",IFERROR(INDEX(data!$A:$ALL,MATCH($M1009,data!$A:$A,0),MATCH(W$2,data!$1:$1,0)),"#data"),IFERROR(V1009*INDEX(indexy_SDcast!$A:$ALI,MATCH($R1009,indexy_SDcast!$K:$K,0),MATCH(W$2,indexy_SDcast!$2:$2,0)),"#ekrk")),"#popis")</f>
        <v>-75372.932914971636</v>
      </c>
      <c r="X1009" s="365">
        <f>IF($Q1009="ekrk",IF($R1009="data",IFERROR(INDEX(data!$A:$ALL,MATCH($M1009,data!$A:$A,0),MATCH(X$2,data!$1:$1,0)),"#data"),IFERROR(W1009*INDEX(indexy_SDcast!$A:$ALI,MATCH($R1009,indexy_SDcast!$K:$K,0),MATCH(X$2,indexy_SDcast!$2:$2,0)),"#ekrk")),"#popis")</f>
        <v>-78593.868803076664</v>
      </c>
      <c r="Y1009" s="362">
        <f>IF($Q1009="ekrk",IF($R1009="data",IFERROR(INDEX(data!$A:$ALL,MATCH($M1009,data!$A:$A,0),MATCH(Y$2,data!$1:$1,0)),"#data"),IFERROR(X1009*INDEX(indexy_SDcast!$A:$ALI,MATCH($R1009,indexy_SDcast!$K:$K,0),MATCH(Y$2,indexy_SDcast!$2:$2,0)),"#ekrk")),"#popis")</f>
        <v>-82216.60693346418</v>
      </c>
    </row>
    <row r="1010" spans="1:44" x14ac:dyDescent="0.25">
      <c r="A1010" s="330">
        <v>627000</v>
      </c>
      <c r="B1010" s="329">
        <v>-16532.287879999993</v>
      </c>
      <c r="C1010" s="157"/>
      <c r="D1010" s="330">
        <v>627000</v>
      </c>
      <c r="E1010" s="329">
        <v>-16532.287879999993</v>
      </c>
      <c r="F1010" s="157"/>
      <c r="G1010" s="330">
        <v>627000</v>
      </c>
      <c r="H1010" s="329">
        <v>-16532.287879999993</v>
      </c>
      <c r="I1010" s="157"/>
      <c r="J1010" s="330">
        <v>627000</v>
      </c>
      <c r="K1010" s="329">
        <v>-16532.287879999993</v>
      </c>
      <c r="L1010" s="157"/>
      <c r="M1010" s="360">
        <f t="shared" si="96"/>
        <v>627000</v>
      </c>
      <c r="N1010" s="237">
        <f t="shared" si="97"/>
        <v>-16532.287879999993</v>
      </c>
      <c r="O1010" s="361"/>
      <c r="P1010" s="361"/>
      <c r="Q1010" s="361" t="s">
        <v>698</v>
      </c>
      <c r="R1010" s="362">
        <f>IF(Q1010="ekrk",INDEX(indexy_SDcast!$A:$C,MATCH($M1010,indexy_SDcast!$A:$A,0),2),"")</f>
        <v>39</v>
      </c>
      <c r="S1010" s="236"/>
      <c r="T1010" s="364">
        <f t="shared" si="99"/>
        <v>627000</v>
      </c>
      <c r="U1010" s="365">
        <f t="shared" si="100"/>
        <v>-16532.287879999993</v>
      </c>
      <c r="V1010" s="365">
        <f>IF($Q1010="ekrk",IF($R1010="data",IFERROR(INDEX(data!$A:$ALL,MATCH($M1010,data!$A:$A,0),MATCH(V$2,data!$1:$1,0)),"#data"),IFERROR(U1010*INDEX(indexy_SDcast!$A:$ALI,MATCH($R1010,indexy_SDcast!$K:$K,0),MATCH(V$2,indexy_SDcast!$2:$2,0)),"#ekrk")),"#popis")</f>
        <v>-17011.499398384625</v>
      </c>
      <c r="W1010" s="365">
        <f>IF($Q1010="ekrk",IF($R1010="data",IFERROR(INDEX(data!$A:$ALL,MATCH($M1010,data!$A:$A,0),MATCH(W$2,data!$1:$1,0)),"#data"),IFERROR(V1010*INDEX(indexy_SDcast!$A:$ALI,MATCH($R1010,indexy_SDcast!$K:$K,0),MATCH(W$2,indexy_SDcast!$2:$2,0)),"#ekrk")),"#popis")</f>
        <v>-17640.534616258294</v>
      </c>
      <c r="X1010" s="365">
        <f>IF($Q1010="ekrk",IF($R1010="data",IFERROR(INDEX(data!$A:$ALL,MATCH($M1010,data!$A:$A,0),MATCH(X$2,data!$1:$1,0)),"#data"),IFERROR(W1010*INDEX(indexy_SDcast!$A:$ALI,MATCH($R1010,indexy_SDcast!$K:$K,0),MATCH(X$2,indexy_SDcast!$2:$2,0)),"#ekrk")),"#popis")</f>
        <v>-18394.373279999334</v>
      </c>
      <c r="Y1010" s="362">
        <f>IF($Q1010="ekrk",IF($R1010="data",IFERROR(INDEX(data!$A:$ALL,MATCH($M1010,data!$A:$A,0),MATCH(Y$2,data!$1:$1,0)),"#data"),IFERROR(X1010*INDEX(indexy_SDcast!$A:$ALI,MATCH($R1010,indexy_SDcast!$K:$K,0),MATCH(Y$2,indexy_SDcast!$2:$2,0)),"#ekrk")),"#popis")</f>
        <v>-19242.251091346192</v>
      </c>
    </row>
    <row r="1011" spans="1:44" x14ac:dyDescent="0.25">
      <c r="A1011" s="330">
        <v>628001</v>
      </c>
      <c r="B1011" s="329">
        <v>-9601.5179099999987</v>
      </c>
      <c r="C1011" s="157"/>
      <c r="D1011" s="330">
        <v>628001</v>
      </c>
      <c r="E1011" s="329">
        <v>-9601.5179099999987</v>
      </c>
      <c r="F1011" s="157"/>
      <c r="G1011" s="330">
        <v>628001</v>
      </c>
      <c r="H1011" s="329">
        <v>-9601.5179099999987</v>
      </c>
      <c r="I1011" s="157"/>
      <c r="J1011" s="330">
        <v>628001</v>
      </c>
      <c r="K1011" s="329">
        <v>-9601.5179099999987</v>
      </c>
      <c r="L1011" s="157"/>
      <c r="M1011" s="360">
        <f t="shared" si="96"/>
        <v>628001</v>
      </c>
      <c r="N1011" s="237">
        <f t="shared" si="97"/>
        <v>-9601.5179099999987</v>
      </c>
      <c r="O1011" s="361"/>
      <c r="P1011" s="361"/>
      <c r="Q1011" s="361" t="s">
        <v>698</v>
      </c>
      <c r="R1011" s="362">
        <f>IF(Q1011="ekrk",INDEX(indexy_SDcast!$A:$C,MATCH($M1011,indexy_SDcast!$A:$A,0),2),"")</f>
        <v>39</v>
      </c>
      <c r="S1011" s="236"/>
      <c r="T1011" s="364">
        <f t="shared" si="99"/>
        <v>628001</v>
      </c>
      <c r="U1011" s="365">
        <f t="shared" si="100"/>
        <v>-9601.5179099999987</v>
      </c>
      <c r="V1011" s="365">
        <f>IF($Q1011="ekrk",IF($R1011="data",IFERROR(INDEX(data!$A:$ALL,MATCH($M1011,data!$A:$A,0),MATCH(V$2,data!$1:$1,0)),"#data"),IFERROR(U1011*INDEX(indexy_SDcast!$A:$ALI,MATCH($R1011,indexy_SDcast!$K:$K,0),MATCH(V$2,indexy_SDcast!$2:$2,0)),"#ekrk")),"#popis")</f>
        <v>-9879.8313539616556</v>
      </c>
      <c r="W1011" s="365">
        <f>IF($Q1011="ekrk",IF($R1011="data",IFERROR(INDEX(data!$A:$ALL,MATCH($M1011,data!$A:$A,0),MATCH(W$2,data!$1:$1,0)),"#data"),IFERROR(V1011*INDEX(indexy_SDcast!$A:$ALI,MATCH($R1011,indexy_SDcast!$K:$K,0),MATCH(W$2,indexy_SDcast!$2:$2,0)),"#ekrk")),"#popis")</f>
        <v>-10245.158461393734</v>
      </c>
      <c r="X1011" s="365">
        <f>IF($Q1011="ekrk",IF($R1011="data",IFERROR(INDEX(data!$A:$ALL,MATCH($M1011,data!$A:$A,0),MATCH(X$2,data!$1:$1,0)),"#data"),IFERROR(W1011*INDEX(indexy_SDcast!$A:$ALI,MATCH($R1011,indexy_SDcast!$K:$K,0),MATCH(X$2,indexy_SDcast!$2:$2,0)),"#ekrk")),"#popis")</f>
        <v>-10682.968127163967</v>
      </c>
      <c r="Y1011" s="362">
        <f>IF($Q1011="ekrk",IF($R1011="data",IFERROR(INDEX(data!$A:$ALL,MATCH($M1011,data!$A:$A,0),MATCH(Y$2,data!$1:$1,0)),"#data"),IFERROR(X1011*INDEX(indexy_SDcast!$A:$ALI,MATCH($R1011,indexy_SDcast!$K:$K,0),MATCH(Y$2,indexy_SDcast!$2:$2,0)),"#ekrk")),"#popis")</f>
        <v>-11175.393256113419</v>
      </c>
    </row>
    <row r="1012" spans="1:44" x14ac:dyDescent="0.25">
      <c r="A1012" s="330">
        <v>628002</v>
      </c>
      <c r="B1012" s="329">
        <v>-129658.80770999992</v>
      </c>
      <c r="C1012" s="157"/>
      <c r="D1012" s="330">
        <v>628002</v>
      </c>
      <c r="E1012" s="329">
        <v>-129658.80770999992</v>
      </c>
      <c r="F1012" s="157"/>
      <c r="G1012" s="330">
        <v>628002</v>
      </c>
      <c r="H1012" s="329">
        <v>-129658.80770999992</v>
      </c>
      <c r="I1012" s="157"/>
      <c r="J1012" s="330">
        <v>628002</v>
      </c>
      <c r="K1012" s="329">
        <v>-129658.80770999992</v>
      </c>
      <c r="L1012" s="157"/>
      <c r="M1012" s="360">
        <f t="shared" si="96"/>
        <v>628002</v>
      </c>
      <c r="N1012" s="237">
        <f t="shared" si="97"/>
        <v>-129658.80770999992</v>
      </c>
      <c r="O1012" s="361"/>
      <c r="P1012" s="361"/>
      <c r="Q1012" s="361" t="s">
        <v>698</v>
      </c>
      <c r="R1012" s="362">
        <f>IF(Q1012="ekrk",INDEX(indexy_SDcast!$A:$C,MATCH($M1012,indexy_SDcast!$A:$A,0),2),"")</f>
        <v>39</v>
      </c>
      <c r="S1012" s="236"/>
      <c r="T1012" s="364">
        <f t="shared" si="99"/>
        <v>628002</v>
      </c>
      <c r="U1012" s="365">
        <f t="shared" si="100"/>
        <v>-129658.80770999992</v>
      </c>
      <c r="V1012" s="365">
        <f>IF($Q1012="ekrk",IF($R1012="data",IFERROR(INDEX(data!$A:$ALL,MATCH($M1012,data!$A:$A,0),MATCH(V$2,data!$1:$1,0)),"#data"),IFERROR(U1012*INDEX(indexy_SDcast!$A:$ALI,MATCH($R1012,indexy_SDcast!$K:$K,0),MATCH(V$2,indexy_SDcast!$2:$2,0)),"#ekrk")),"#popis")</f>
        <v>-133417.14984423152</v>
      </c>
      <c r="W1012" s="365">
        <f>IF($Q1012="ekrk",IF($R1012="data",IFERROR(INDEX(data!$A:$ALL,MATCH($M1012,data!$A:$A,0),MATCH(W$2,data!$1:$1,0)),"#data"),IFERROR(V1012*INDEX(indexy_SDcast!$A:$ALI,MATCH($R1012,indexy_SDcast!$K:$K,0),MATCH(W$2,indexy_SDcast!$2:$2,0)),"#ekrk")),"#popis")</f>
        <v>-138350.52367301463</v>
      </c>
      <c r="X1012" s="365">
        <f>IF($Q1012="ekrk",IF($R1012="data",IFERROR(INDEX(data!$A:$ALL,MATCH($M1012,data!$A:$A,0),MATCH(X$2,data!$1:$1,0)),"#data"),IFERROR(W1012*INDEX(indexy_SDcast!$A:$ALI,MATCH($R1012,indexy_SDcast!$K:$K,0),MATCH(X$2,indexy_SDcast!$2:$2,0)),"#ekrk")),"#popis")</f>
        <v>-144262.70128907263</v>
      </c>
      <c r="Y1012" s="362">
        <f>IF($Q1012="ekrk",IF($R1012="data",IFERROR(INDEX(data!$A:$ALL,MATCH($M1012,data!$A:$A,0),MATCH(Y$2,data!$1:$1,0)),"#data"),IFERROR(X1012*INDEX(indexy_SDcast!$A:$ALI,MATCH($R1012,indexy_SDcast!$K:$K,0),MATCH(Y$2,indexy_SDcast!$2:$2,0)),"#ekrk")),"#popis")</f>
        <v>-150912.40560712965</v>
      </c>
    </row>
    <row r="1013" spans="1:44" x14ac:dyDescent="0.25">
      <c r="A1013" s="330">
        <v>628003</v>
      </c>
      <c r="B1013" s="329">
        <v>-5435.1696599999977</v>
      </c>
      <c r="C1013" s="157"/>
      <c r="D1013" s="330">
        <v>628003</v>
      </c>
      <c r="E1013" s="329">
        <v>-5435.1696599999977</v>
      </c>
      <c r="F1013" s="157"/>
      <c r="G1013" s="330">
        <v>628003</v>
      </c>
      <c r="H1013" s="329">
        <v>-5435.1696599999977</v>
      </c>
      <c r="I1013" s="157"/>
      <c r="J1013" s="330">
        <v>628003</v>
      </c>
      <c r="K1013" s="329">
        <v>-5435.1696599999977</v>
      </c>
      <c r="L1013" s="157"/>
      <c r="M1013" s="360">
        <f t="shared" si="96"/>
        <v>628003</v>
      </c>
      <c r="N1013" s="237">
        <f t="shared" si="97"/>
        <v>-5435.1696599999977</v>
      </c>
      <c r="O1013" s="361"/>
      <c r="P1013" s="361"/>
      <c r="Q1013" s="361" t="s">
        <v>698</v>
      </c>
      <c r="R1013" s="362">
        <f>IF(Q1013="ekrk",INDEX(indexy_SDcast!$A:$C,MATCH($M1013,indexy_SDcast!$A:$A,0),2),"")</f>
        <v>39</v>
      </c>
      <c r="S1013" s="236"/>
      <c r="T1013" s="364">
        <f t="shared" si="99"/>
        <v>628003</v>
      </c>
      <c r="U1013" s="365">
        <f t="shared" si="100"/>
        <v>-5435.1696599999977</v>
      </c>
      <c r="V1013" s="365">
        <f>IF($Q1013="ekrk",IF($R1013="data",IFERROR(INDEX(data!$A:$ALL,MATCH($M1013,data!$A:$A,0),MATCH(V$2,data!$1:$1,0)),"#data"),IFERROR(U1013*INDEX(indexy_SDcast!$A:$ALI,MATCH($R1013,indexy_SDcast!$K:$K,0),MATCH(V$2,indexy_SDcast!$2:$2,0)),"#ekrk")),"#popis")</f>
        <v>-5592.7156647848287</v>
      </c>
      <c r="W1013" s="365">
        <f>IF($Q1013="ekrk",IF($R1013="data",IFERROR(INDEX(data!$A:$ALL,MATCH($M1013,data!$A:$A,0),MATCH(W$2,data!$1:$1,0)),"#data"),IFERROR(V1013*INDEX(indexy_SDcast!$A:$ALI,MATCH($R1013,indexy_SDcast!$K:$K,0),MATCH(W$2,indexy_SDcast!$2:$2,0)),"#ekrk")),"#popis")</f>
        <v>-5799.5178422012104</v>
      </c>
      <c r="X1013" s="365">
        <f>IF($Q1013="ekrk",IF($R1013="data",IFERROR(INDEX(data!$A:$ALL,MATCH($M1013,data!$A:$A,0),MATCH(X$2,data!$1:$1,0)),"#data"),IFERROR(W1013*INDEX(indexy_SDcast!$A:$ALI,MATCH($R1013,indexy_SDcast!$K:$K,0),MATCH(X$2,indexy_SDcast!$2:$2,0)),"#ekrk")),"#popis")</f>
        <v>-6047.3505114264362</v>
      </c>
      <c r="Y1013" s="362">
        <f>IF($Q1013="ekrk",IF($R1013="data",IFERROR(INDEX(data!$A:$ALL,MATCH($M1013,data!$A:$A,0),MATCH(Y$2,data!$1:$1,0)),"#data"),IFERROR(X1013*INDEX(indexy_SDcast!$A:$ALI,MATCH($R1013,indexy_SDcast!$K:$K,0),MATCH(Y$2,indexy_SDcast!$2:$2,0)),"#ekrk")),"#popis")</f>
        <v>-6326.0995744157535</v>
      </c>
    </row>
    <row r="1014" spans="1:44" x14ac:dyDescent="0.25">
      <c r="A1014" s="330">
        <v>628004</v>
      </c>
      <c r="B1014" s="329">
        <v>-20604.091149999997</v>
      </c>
      <c r="C1014" s="157"/>
      <c r="D1014" s="330">
        <v>628004</v>
      </c>
      <c r="E1014" s="329">
        <v>-20604.091149999997</v>
      </c>
      <c r="F1014" s="157"/>
      <c r="G1014" s="330">
        <v>628004</v>
      </c>
      <c r="H1014" s="329">
        <v>-20604.091149999997</v>
      </c>
      <c r="I1014" s="157"/>
      <c r="J1014" s="330">
        <v>628004</v>
      </c>
      <c r="K1014" s="329">
        <v>-20604.091149999997</v>
      </c>
      <c r="L1014" s="157"/>
      <c r="M1014" s="360">
        <f t="shared" si="96"/>
        <v>628004</v>
      </c>
      <c r="N1014" s="237">
        <f t="shared" si="97"/>
        <v>-20604.091149999997</v>
      </c>
      <c r="O1014" s="361"/>
      <c r="P1014" s="361"/>
      <c r="Q1014" s="361" t="s">
        <v>698</v>
      </c>
      <c r="R1014" s="362">
        <f>IF(Q1014="ekrk",INDEX(indexy_SDcast!$A:$C,MATCH($M1014,indexy_SDcast!$A:$A,0),2),"")</f>
        <v>39</v>
      </c>
      <c r="S1014" s="236"/>
      <c r="T1014" s="364">
        <f t="shared" si="99"/>
        <v>628004</v>
      </c>
      <c r="U1014" s="365">
        <f t="shared" si="100"/>
        <v>-20604.091149999997</v>
      </c>
      <c r="V1014" s="365">
        <f>IF($Q1014="ekrk",IF($R1014="data",IFERROR(INDEX(data!$A:$ALL,MATCH($M1014,data!$A:$A,0),MATCH(V$2,data!$1:$1,0)),"#data"),IFERROR(U1014*INDEX(indexy_SDcast!$A:$ALI,MATCH($R1014,indexy_SDcast!$K:$K,0),MATCH(V$2,indexy_SDcast!$2:$2,0)),"#ekrk")),"#popis")</f>
        <v>-21201.32958890183</v>
      </c>
      <c r="W1014" s="365">
        <f>IF($Q1014="ekrk",IF($R1014="data",IFERROR(INDEX(data!$A:$ALL,MATCH($M1014,data!$A:$A,0),MATCH(W$2,data!$1:$1,0)),"#data"),IFERROR(V1014*INDEX(indexy_SDcast!$A:$ALI,MATCH($R1014,indexy_SDcast!$K:$K,0),MATCH(W$2,indexy_SDcast!$2:$2,0)),"#ekrk")),"#popis")</f>
        <v>-21985.292405162032</v>
      </c>
      <c r="X1014" s="365">
        <f>IF($Q1014="ekrk",IF($R1014="data",IFERROR(INDEX(data!$A:$ALL,MATCH($M1014,data!$A:$A,0),MATCH(X$2,data!$1:$1,0)),"#data"),IFERROR(W1014*INDEX(indexy_SDcast!$A:$ALI,MATCH($R1014,indexy_SDcast!$K:$K,0),MATCH(X$2,indexy_SDcast!$2:$2,0)),"#ekrk")),"#popis")</f>
        <v>-22924.797006875669</v>
      </c>
      <c r="Y1014" s="362">
        <f>IF($Q1014="ekrk",IF($R1014="data",IFERROR(INDEX(data!$A:$ALL,MATCH($M1014,data!$A:$A,0),MATCH(Y$2,data!$1:$1,0)),"#data"),IFERROR(X1014*INDEX(indexy_SDcast!$A:$ALI,MATCH($R1014,indexy_SDcast!$K:$K,0),MATCH(Y$2,indexy_SDcast!$2:$2,0)),"#ekrk")),"#popis")</f>
        <v>-23981.502033781671</v>
      </c>
    </row>
    <row r="1015" spans="1:44" x14ac:dyDescent="0.25">
      <c r="A1015" s="330">
        <v>628005</v>
      </c>
      <c r="B1015" s="329">
        <v>-3731.1746099999982</v>
      </c>
      <c r="C1015" s="157"/>
      <c r="D1015" s="330">
        <v>628005</v>
      </c>
      <c r="E1015" s="329">
        <v>-3731.1746099999982</v>
      </c>
      <c r="F1015" s="157"/>
      <c r="G1015" s="330">
        <v>628005</v>
      </c>
      <c r="H1015" s="329">
        <v>-3731.1746099999982</v>
      </c>
      <c r="I1015" s="157"/>
      <c r="J1015" s="330">
        <v>628005</v>
      </c>
      <c r="K1015" s="329">
        <v>-3731.1746099999982</v>
      </c>
      <c r="L1015" s="157"/>
      <c r="M1015" s="360">
        <f t="shared" si="96"/>
        <v>628005</v>
      </c>
      <c r="N1015" s="237">
        <f t="shared" si="97"/>
        <v>-3731.1746099999982</v>
      </c>
      <c r="O1015" s="361"/>
      <c r="P1015" s="361"/>
      <c r="Q1015" s="361" t="s">
        <v>698</v>
      </c>
      <c r="R1015" s="362">
        <f>IF(Q1015="ekrk",INDEX(indexy_SDcast!$A:$C,MATCH($M1015,indexy_SDcast!$A:$A,0),2),"")</f>
        <v>39</v>
      </c>
      <c r="S1015" s="236"/>
      <c r="T1015" s="364">
        <f t="shared" si="99"/>
        <v>628005</v>
      </c>
      <c r="U1015" s="365">
        <f t="shared" si="100"/>
        <v>-3731.1746099999982</v>
      </c>
      <c r="V1015" s="365">
        <f>IF($Q1015="ekrk",IF($R1015="data",IFERROR(INDEX(data!$A:$ALL,MATCH($M1015,data!$A:$A,0),MATCH(V$2,data!$1:$1,0)),"#data"),IFERROR(U1015*INDEX(indexy_SDcast!$A:$ALI,MATCH($R1015,indexy_SDcast!$K:$K,0),MATCH(V$2,indexy_SDcast!$2:$2,0)),"#ekrk")),"#popis")</f>
        <v>-3839.3279317419547</v>
      </c>
      <c r="W1015" s="365">
        <f>IF($Q1015="ekrk",IF($R1015="data",IFERROR(INDEX(data!$A:$ALL,MATCH($M1015,data!$A:$A,0),MATCH(W$2,data!$1:$1,0)),"#data"),IFERROR(V1015*INDEX(indexy_SDcast!$A:$ALI,MATCH($R1015,indexy_SDcast!$K:$K,0),MATCH(W$2,indexy_SDcast!$2:$2,0)),"#ekrk")),"#popis")</f>
        <v>-3981.2949874067303</v>
      </c>
      <c r="X1015" s="365">
        <f>IF($Q1015="ekrk",IF($R1015="data",IFERROR(INDEX(data!$A:$ALL,MATCH($M1015,data!$A:$A,0),MATCH(X$2,data!$1:$1,0)),"#data"),IFERROR(W1015*INDEX(indexy_SDcast!$A:$ALI,MATCH($R1015,indexy_SDcast!$K:$K,0),MATCH(X$2,indexy_SDcast!$2:$2,0)),"#ekrk")),"#popis")</f>
        <v>-4151.4289520825805</v>
      </c>
      <c r="Y1015" s="362">
        <f>IF($Q1015="ekrk",IF($R1015="data",IFERROR(INDEX(data!$A:$ALL,MATCH($M1015,data!$A:$A,0),MATCH(Y$2,data!$1:$1,0)),"#data"),IFERROR(X1015*INDEX(indexy_SDcast!$A:$ALI,MATCH($R1015,indexy_SDcast!$K:$K,0),MATCH(Y$2,indexy_SDcast!$2:$2,0)),"#ekrk")),"#popis")</f>
        <v>-4342.7866265340954</v>
      </c>
    </row>
    <row r="1016" spans="1:44" x14ac:dyDescent="0.25">
      <c r="A1016" s="330">
        <v>629000</v>
      </c>
      <c r="B1016" s="329">
        <v>-152.71593000000001</v>
      </c>
      <c r="C1016" s="157"/>
      <c r="D1016" s="330">
        <v>629000</v>
      </c>
      <c r="E1016" s="329">
        <v>-152.71593000000001</v>
      </c>
      <c r="F1016" s="157"/>
      <c r="G1016" s="330">
        <v>629000</v>
      </c>
      <c r="H1016" s="329">
        <v>-152.71593000000001</v>
      </c>
      <c r="I1016" s="157"/>
      <c r="J1016" s="330">
        <v>629000</v>
      </c>
      <c r="K1016" s="329">
        <v>-152.71593000000001</v>
      </c>
      <c r="L1016" s="157"/>
      <c r="M1016" s="360">
        <f t="shared" si="96"/>
        <v>629000</v>
      </c>
      <c r="N1016" s="237">
        <f t="shared" si="97"/>
        <v>-152.71593000000001</v>
      </c>
      <c r="O1016" s="361"/>
      <c r="P1016" s="361"/>
      <c r="Q1016" s="361" t="s">
        <v>698</v>
      </c>
      <c r="R1016" s="362">
        <f>IF(Q1016="ekrk",INDEX(indexy_SDcast!$A:$C,MATCH($M1016,indexy_SDcast!$A:$A,0),2),"")</f>
        <v>39</v>
      </c>
      <c r="S1016" s="236"/>
      <c r="T1016" s="364">
        <f t="shared" si="99"/>
        <v>629000</v>
      </c>
      <c r="U1016" s="365">
        <f t="shared" si="100"/>
        <v>-152.71593000000001</v>
      </c>
      <c r="V1016" s="365">
        <f>IF($Q1016="ekrk",IF($R1016="data",IFERROR(INDEX(data!$A:$ALL,MATCH($M1016,data!$A:$A,0),MATCH(V$2,data!$1:$1,0)),"#data"),IFERROR(U1016*INDEX(indexy_SDcast!$A:$ALI,MATCH($R1016,indexy_SDcast!$K:$K,0),MATCH(V$2,indexy_SDcast!$2:$2,0)),"#ekrk")),"#popis")</f>
        <v>-157.14261511630235</v>
      </c>
      <c r="W1016" s="365">
        <f>IF($Q1016="ekrk",IF($R1016="data",IFERROR(INDEX(data!$A:$ALL,MATCH($M1016,data!$A:$A,0),MATCH(W$2,data!$1:$1,0)),"#data"),IFERROR(V1016*INDEX(indexy_SDcast!$A:$ALI,MATCH($R1016,indexy_SDcast!$K:$K,0),MATCH(W$2,indexy_SDcast!$2:$2,0)),"#ekrk")),"#popis")</f>
        <v>-162.95328687556585</v>
      </c>
      <c r="X1016" s="365">
        <f>IF($Q1016="ekrk",IF($R1016="data",IFERROR(INDEX(data!$A:$ALL,MATCH($M1016,data!$A:$A,0),MATCH(X$2,data!$1:$1,0)),"#data"),IFERROR(W1016*INDEX(indexy_SDcast!$A:$ALI,MATCH($R1016,indexy_SDcast!$K:$K,0),MATCH(X$2,indexy_SDcast!$2:$2,0)),"#ekrk")),"#popis")</f>
        <v>-169.91682231837902</v>
      </c>
      <c r="Y1016" s="362">
        <f>IF($Q1016="ekrk",IF($R1016="data",IFERROR(INDEX(data!$A:$ALL,MATCH($M1016,data!$A:$A,0),MATCH(Y$2,data!$1:$1,0)),"#data"),IFERROR(X1016*INDEX(indexy_SDcast!$A:$ALI,MATCH($R1016,indexy_SDcast!$K:$K,0),MATCH(Y$2,indexy_SDcast!$2:$2,0)),"#ekrk")),"#popis")</f>
        <v>-177.74903824796274</v>
      </c>
    </row>
    <row r="1017" spans="1:44" x14ac:dyDescent="0.25">
      <c r="A1017" s="330" t="s">
        <v>699</v>
      </c>
      <c r="B1017" s="329">
        <v>-55743</v>
      </c>
      <c r="C1017" s="157"/>
      <c r="D1017" s="348">
        <v>621000</v>
      </c>
      <c r="E1017" s="329">
        <v>-55743</v>
      </c>
      <c r="F1017" s="157"/>
      <c r="G1017" s="330"/>
      <c r="H1017" s="329"/>
      <c r="I1017" s="157"/>
      <c r="J1017" s="330"/>
      <c r="K1017" s="329"/>
      <c r="L1017" s="157"/>
      <c r="M1017" s="360">
        <f t="shared" si="96"/>
        <v>0</v>
      </c>
      <c r="N1017" s="237">
        <f t="shared" si="97"/>
        <v>0</v>
      </c>
      <c r="O1017" s="361"/>
      <c r="P1017" s="361"/>
      <c r="Q1017" s="361"/>
      <c r="R1017" s="362"/>
      <c r="S1017" s="236"/>
      <c r="T1017" s="364"/>
      <c r="U1017" s="365"/>
      <c r="V1017" s="365"/>
      <c r="W1017" s="365"/>
      <c r="X1017" s="365"/>
      <c r="Y1017" s="362"/>
    </row>
    <row r="1018" spans="1:44" s="18" customFormat="1" x14ac:dyDescent="0.25">
      <c r="A1018" s="333" t="s">
        <v>701</v>
      </c>
      <c r="B1018" s="334">
        <v>-105933.28603000002</v>
      </c>
      <c r="C1018" s="164"/>
      <c r="D1018" s="333" t="s">
        <v>701</v>
      </c>
      <c r="E1018" s="334">
        <v>-105933.28603000002</v>
      </c>
      <c r="F1018" s="164"/>
      <c r="G1018" s="333" t="s">
        <v>701</v>
      </c>
      <c r="H1018" s="334">
        <v>-105933.28603000002</v>
      </c>
      <c r="I1018" s="164"/>
      <c r="J1018" s="333" t="s">
        <v>701</v>
      </c>
      <c r="K1018" s="334">
        <v>-105933.28603000002</v>
      </c>
      <c r="L1018" s="164"/>
      <c r="M1018" s="358" t="str">
        <f t="shared" si="96"/>
        <v>D122PAY</v>
      </c>
      <c r="N1018" s="239">
        <f t="shared" si="97"/>
        <v>-105933.28603000002</v>
      </c>
      <c r="O1018" s="243"/>
      <c r="P1018" s="243">
        <f>MATCH(Q1018,Q1019:Q$1550,0)</f>
        <v>8</v>
      </c>
      <c r="Q1018" s="243" t="s">
        <v>697</v>
      </c>
      <c r="R1018" s="359" t="str">
        <f>IF(Q1018="ekrk",INDEX(indexy_SDcast!$A:$C,MATCH($M1018,indexy_SDcast!$A:$A,0),2),"")</f>
        <v/>
      </c>
      <c r="S1018" s="240"/>
      <c r="T1018" s="363" t="str">
        <f t="shared" ref="T1018:T1049" si="101">M1018</f>
        <v>D122PAY</v>
      </c>
      <c r="U1018" s="244">
        <f>SUM(U1019:U1025)</f>
        <v>-105933.28603000002</v>
      </c>
      <c r="V1018" s="244">
        <f>SUM(V1019:V1025)</f>
        <v>-108373.66560968568</v>
      </c>
      <c r="W1018" s="244">
        <f>SUM(W1019:W1025)</f>
        <v>-111784.30971744724</v>
      </c>
      <c r="X1018" s="244">
        <f>SUM(X1019:X1025)</f>
        <v>-115898.2136240055</v>
      </c>
      <c r="Y1018" s="359">
        <f>SUM(Y1019:Y1025)</f>
        <v>-120541.38533854904</v>
      </c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58"/>
      <c r="AM1018" s="58"/>
      <c r="AN1018" s="58"/>
      <c r="AO1018" s="58"/>
      <c r="AP1018" s="58"/>
      <c r="AQ1018" s="58"/>
      <c r="AR1018" s="58"/>
    </row>
    <row r="1019" spans="1:44" x14ac:dyDescent="0.25">
      <c r="A1019" s="330">
        <v>637016</v>
      </c>
      <c r="B1019" s="329">
        <v>-25434.105800000027</v>
      </c>
      <c r="C1019" s="157"/>
      <c r="D1019" s="330">
        <v>637016</v>
      </c>
      <c r="E1019" s="329">
        <v>-25434.105800000027</v>
      </c>
      <c r="F1019" s="157"/>
      <c r="G1019" s="330">
        <v>637016</v>
      </c>
      <c r="H1019" s="356">
        <f>E1019+E1025</f>
        <v>-27053.105800000027</v>
      </c>
      <c r="I1019" s="157"/>
      <c r="J1019" s="330">
        <v>637016</v>
      </c>
      <c r="K1019" s="329">
        <f>H1019+H1025</f>
        <v>-27053.105800000027</v>
      </c>
      <c r="L1019" s="157"/>
      <c r="M1019" s="360">
        <f t="shared" si="96"/>
        <v>637016</v>
      </c>
      <c r="N1019" s="237">
        <f t="shared" si="97"/>
        <v>-27053.105800000027</v>
      </c>
      <c r="O1019" s="361"/>
      <c r="P1019" s="361"/>
      <c r="Q1019" s="361" t="s">
        <v>698</v>
      </c>
      <c r="R1019" s="362">
        <f>IF(Q1019="ekrk",INDEX(indexy_SDcast!$A:$C,MATCH($M1019,indexy_SDcast!$A:$A,0),2),"")</f>
        <v>39</v>
      </c>
      <c r="S1019" s="236"/>
      <c r="T1019" s="364">
        <f t="shared" si="101"/>
        <v>637016</v>
      </c>
      <c r="U1019" s="365">
        <f t="shared" ref="U1019:U1025" si="102">N1019</f>
        <v>-27053.105800000027</v>
      </c>
      <c r="V1019" s="365">
        <f>IF($Q1019="ekrk",IF($R1019="data",IFERROR(INDEX(data!$A:$ALL,MATCH($M1019,data!$A:$A,0),MATCH(V$2,data!$1:$1,0)),"#data"),IFERROR(U1019*INDEX(indexy_SDcast!$A:$ALI,MATCH($R1019,indexy_SDcast!$K:$K,0),MATCH(V$2,indexy_SDcast!$2:$2,0)),"#ekrk")),"#popis")</f>
        <v>-27837.277960655516</v>
      </c>
      <c r="W1019" s="365">
        <f>IF($Q1019="ekrk",IF($R1019="data",IFERROR(INDEX(data!$A:$ALL,MATCH($M1019,data!$A:$A,0),MATCH(W$2,data!$1:$1,0)),"#data"),IFERROR(V1019*INDEX(indexy_SDcast!$A:$ALI,MATCH($R1019,indexy_SDcast!$K:$K,0),MATCH(W$2,indexy_SDcast!$2:$2,0)),"#ekrk")),"#popis")</f>
        <v>-28866.618631746132</v>
      </c>
      <c r="X1019" s="365">
        <f>IF($Q1019="ekrk",IF($R1019="data",IFERROR(INDEX(data!$A:$ALL,MATCH($M1019,data!$A:$A,0),MATCH(X$2,data!$1:$1,0)),"#data"),IFERROR(W1019*INDEX(indexy_SDcast!$A:$ALI,MATCH($R1019,indexy_SDcast!$K:$K,0),MATCH(X$2,indexy_SDcast!$2:$2,0)),"#ekrk")),"#popis")</f>
        <v>-30100.185169804568</v>
      </c>
      <c r="Y1019" s="362">
        <f>IF($Q1019="ekrk",IF($R1019="data",IFERROR(INDEX(data!$A:$ALL,MATCH($M1019,data!$A:$A,0),MATCH(Y$2,data!$1:$1,0)),"#data"),IFERROR(X1019*INDEX(indexy_SDcast!$A:$ALI,MATCH($R1019,indexy_SDcast!$K:$K,0),MATCH(Y$2,indexy_SDcast!$2:$2,0)),"#ekrk")),"#popis")</f>
        <v>-31487.635491401499</v>
      </c>
    </row>
    <row r="1020" spans="1:44" x14ac:dyDescent="0.25">
      <c r="A1020" s="330">
        <v>642012</v>
      </c>
      <c r="B1020" s="329">
        <v>-7799.4364899999873</v>
      </c>
      <c r="C1020" s="157"/>
      <c r="D1020" s="330">
        <v>642012</v>
      </c>
      <c r="E1020" s="329">
        <v>-7799.4364899999873</v>
      </c>
      <c r="F1020" s="157"/>
      <c r="G1020" s="330">
        <v>642012</v>
      </c>
      <c r="H1020" s="329">
        <v>-7799.4364899999873</v>
      </c>
      <c r="I1020" s="157"/>
      <c r="J1020" s="330">
        <v>642012</v>
      </c>
      <c r="K1020" s="329">
        <v>-7799.4364899999873</v>
      </c>
      <c r="L1020" s="157"/>
      <c r="M1020" s="360">
        <f t="shared" si="96"/>
        <v>642012</v>
      </c>
      <c r="N1020" s="237">
        <f t="shared" si="97"/>
        <v>-7799.4364899999873</v>
      </c>
      <c r="O1020" s="361"/>
      <c r="P1020" s="361"/>
      <c r="Q1020" s="361" t="s">
        <v>698</v>
      </c>
      <c r="R1020" s="362">
        <f>IF(Q1020="ekrk",INDEX(indexy_SDcast!$A:$C,MATCH($M1020,indexy_SDcast!$A:$A,0),2),"")</f>
        <v>43</v>
      </c>
      <c r="S1020" s="236"/>
      <c r="T1020" s="364">
        <f t="shared" si="101"/>
        <v>642012</v>
      </c>
      <c r="U1020" s="365">
        <f t="shared" si="102"/>
        <v>-7799.4364899999873</v>
      </c>
      <c r="V1020" s="365">
        <f>IF($Q1020="ekrk",IF($R1020="data",IFERROR(INDEX(data!$A:$ALL,MATCH($M1020,data!$A:$A,0),MATCH(V$2,data!$1:$1,0)),"#data"),IFERROR(U1020*INDEX(indexy_SDcast!$A:$ALI,MATCH($R1020,indexy_SDcast!$K:$K,0),MATCH(V$2,indexy_SDcast!$2:$2,0)),"#ekrk")),"#popis")</f>
        <v>-7994.2383672935948</v>
      </c>
      <c r="W1020" s="365">
        <f>IF($Q1020="ekrk",IF($R1020="data",IFERROR(INDEX(data!$A:$ALL,MATCH($M1020,data!$A:$A,0),MATCH(W$2,data!$1:$1,0)),"#data"),IFERROR(V1020*INDEX(indexy_SDcast!$A:$ALI,MATCH($R1020,indexy_SDcast!$K:$K,0),MATCH(W$2,indexy_SDcast!$2:$2,0)),"#ekrk")),"#popis")</f>
        <v>-8225.9625626455236</v>
      </c>
      <c r="X1020" s="365">
        <f>IF($Q1020="ekrk",IF($R1020="data",IFERROR(INDEX(data!$A:$ALL,MATCH($M1020,data!$A:$A,0),MATCH(X$2,data!$1:$1,0)),"#data"),IFERROR(W1020*INDEX(indexy_SDcast!$A:$ALI,MATCH($R1020,indexy_SDcast!$K:$K,0),MATCH(X$2,indexy_SDcast!$2:$2,0)),"#ekrk")),"#popis")</f>
        <v>-8530.1344661113471</v>
      </c>
      <c r="Y1020" s="362">
        <f>IF($Q1020="ekrk",IF($R1020="data",IFERROR(INDEX(data!$A:$ALL,MATCH($M1020,data!$A:$A,0),MATCH(Y$2,data!$1:$1,0)),"#data"),IFERROR(X1020*INDEX(indexy_SDcast!$A:$ALI,MATCH($R1020,indexy_SDcast!$K:$K,0),MATCH(Y$2,indexy_SDcast!$2:$2,0)),"#ekrk")),"#popis")</f>
        <v>-8894.6554575295031</v>
      </c>
    </row>
    <row r="1021" spans="1:44" x14ac:dyDescent="0.25">
      <c r="A1021" s="330">
        <v>642013</v>
      </c>
      <c r="B1021" s="329">
        <v>-13888.592739999995</v>
      </c>
      <c r="C1021" s="157"/>
      <c r="D1021" s="330">
        <v>642013</v>
      </c>
      <c r="E1021" s="329">
        <v>-13888.592739999995</v>
      </c>
      <c r="F1021" s="157"/>
      <c r="G1021" s="330">
        <v>642013</v>
      </c>
      <c r="H1021" s="329">
        <v>-13888.592739999995</v>
      </c>
      <c r="I1021" s="157"/>
      <c r="J1021" s="330">
        <v>642013</v>
      </c>
      <c r="K1021" s="329">
        <v>-13888.592739999995</v>
      </c>
      <c r="L1021" s="157"/>
      <c r="M1021" s="360">
        <f t="shared" si="96"/>
        <v>642013</v>
      </c>
      <c r="N1021" s="237">
        <f t="shared" si="97"/>
        <v>-13888.592739999995</v>
      </c>
      <c r="O1021" s="361"/>
      <c r="P1021" s="361"/>
      <c r="Q1021" s="361" t="s">
        <v>698</v>
      </c>
      <c r="R1021" s="362">
        <f>IF(Q1021="ekrk",INDEX(indexy_SDcast!$A:$C,MATCH($M1021,indexy_SDcast!$A:$A,0),2),"")</f>
        <v>43</v>
      </c>
      <c r="S1021" s="236"/>
      <c r="T1021" s="364">
        <f t="shared" si="101"/>
        <v>642013</v>
      </c>
      <c r="U1021" s="365">
        <f t="shared" si="102"/>
        <v>-13888.592739999995</v>
      </c>
      <c r="V1021" s="365">
        <f>IF($Q1021="ekrk",IF($R1021="data",IFERROR(INDEX(data!$A:$ALL,MATCH($M1021,data!$A:$A,0),MATCH(V$2,data!$1:$1,0)),"#data"),IFERROR(U1021*INDEX(indexy_SDcast!$A:$ALI,MATCH($R1021,indexy_SDcast!$K:$K,0),MATCH(V$2,indexy_SDcast!$2:$2,0)),"#ekrk")),"#popis")</f>
        <v>-14235.479844239801</v>
      </c>
      <c r="W1021" s="365">
        <f>IF($Q1021="ekrk",IF($R1021="data",IFERROR(INDEX(data!$A:$ALL,MATCH($M1021,data!$A:$A,0),MATCH(W$2,data!$1:$1,0)),"#data"),IFERROR(V1021*INDEX(indexy_SDcast!$A:$ALI,MATCH($R1021,indexy_SDcast!$K:$K,0),MATCH(W$2,indexy_SDcast!$2:$2,0)),"#ekrk")),"#popis")</f>
        <v>-14648.115164929122</v>
      </c>
      <c r="X1021" s="365">
        <f>IF($Q1021="ekrk",IF($R1021="data",IFERROR(INDEX(data!$A:$ALL,MATCH($M1021,data!$A:$A,0),MATCH(X$2,data!$1:$1,0)),"#data"),IFERROR(W1021*INDEX(indexy_SDcast!$A:$ALI,MATCH($R1021,indexy_SDcast!$K:$K,0),MATCH(X$2,indexy_SDcast!$2:$2,0)),"#ekrk")),"#popis")</f>
        <v>-15189.759384431887</v>
      </c>
      <c r="Y1021" s="362">
        <f>IF($Q1021="ekrk",IF($R1021="data",IFERROR(INDEX(data!$A:$ALL,MATCH($M1021,data!$A:$A,0),MATCH(Y$2,data!$1:$1,0)),"#data"),IFERROR(X1021*INDEX(indexy_SDcast!$A:$ALI,MATCH($R1021,indexy_SDcast!$K:$K,0),MATCH(Y$2,indexy_SDcast!$2:$2,0)),"#ekrk")),"#popis")</f>
        <v>-15838.868278578138</v>
      </c>
    </row>
    <row r="1022" spans="1:44" x14ac:dyDescent="0.25">
      <c r="A1022" s="330">
        <v>642015</v>
      </c>
      <c r="B1022" s="329">
        <v>-16277.047050000014</v>
      </c>
      <c r="C1022" s="157"/>
      <c r="D1022" s="330">
        <v>642015</v>
      </c>
      <c r="E1022" s="329">
        <v>-16277.047050000014</v>
      </c>
      <c r="F1022" s="157"/>
      <c r="G1022" s="330">
        <v>642015</v>
      </c>
      <c r="H1022" s="329">
        <v>-16277.047050000014</v>
      </c>
      <c r="I1022" s="157"/>
      <c r="J1022" s="330">
        <v>642015</v>
      </c>
      <c r="K1022" s="329">
        <v>-16277.047050000014</v>
      </c>
      <c r="L1022" s="157"/>
      <c r="M1022" s="360">
        <f t="shared" si="96"/>
        <v>642015</v>
      </c>
      <c r="N1022" s="237">
        <f t="shared" si="97"/>
        <v>-16277.047050000014</v>
      </c>
      <c r="O1022" s="361"/>
      <c r="P1022" s="361"/>
      <c r="Q1022" s="361" t="s">
        <v>698</v>
      </c>
      <c r="R1022" s="362">
        <v>29</v>
      </c>
      <c r="S1022" s="236"/>
      <c r="T1022" s="364">
        <f t="shared" si="101"/>
        <v>642015</v>
      </c>
      <c r="U1022" s="365">
        <f t="shared" si="102"/>
        <v>-16277.047050000014</v>
      </c>
      <c r="V1022" s="365">
        <f>IF($Q1022="ekrk",IF($R1022="data",IFERROR(INDEX(data!$A:$ALL,MATCH($M1022,data!$A:$A,0),MATCH(V$2,data!$1:$1,0)),"#data"),IFERROR(U1022*INDEX(indexy_SDcast!$A:$ALI,MATCH($R1022,indexy_SDcast!$K:$K,0),MATCH(V$2,indexy_SDcast!$2:$2,0)),"#ekrk")),"#popis")</f>
        <v>-16644.171430753351</v>
      </c>
      <c r="W1022" s="365">
        <f>IF($Q1022="ekrk",IF($R1022="data",IFERROR(INDEX(data!$A:$ALL,MATCH($M1022,data!$A:$A,0),MATCH(W$2,data!$1:$1,0)),"#data"),IFERROR(V1022*INDEX(indexy_SDcast!$A:$ALI,MATCH($R1022,indexy_SDcast!$K:$K,0),MATCH(W$2,indexy_SDcast!$2:$2,0)),"#ekrk")),"#popis")</f>
        <v>-17178.596309320292</v>
      </c>
      <c r="X1022" s="365">
        <f>IF($Q1022="ekrk",IF($R1022="data",IFERROR(INDEX(data!$A:$ALL,MATCH($M1022,data!$A:$A,0),MATCH(X$2,data!$1:$1,0)),"#data"),IFERROR(W1022*INDEX(indexy_SDcast!$A:$ALI,MATCH($R1022,indexy_SDcast!$K:$K,0),MATCH(X$2,indexy_SDcast!$2:$2,0)),"#ekrk")),"#popis")</f>
        <v>-17809.696872178767</v>
      </c>
      <c r="Y1022" s="362">
        <f>IF($Q1022="ekrk",IF($R1022="data",IFERROR(INDEX(data!$A:$ALL,MATCH($M1022,data!$A:$A,0),MATCH(Y$2,data!$1:$1,0)),"#data"),IFERROR(X1022*INDEX(indexy_SDcast!$A:$ALI,MATCH($R1022,indexy_SDcast!$K:$K,0),MATCH(Y$2,indexy_SDcast!$2:$2,0)),"#ekrk")),"#popis")</f>
        <v>-18510.189537717324</v>
      </c>
    </row>
    <row r="1023" spans="1:44" x14ac:dyDescent="0.25">
      <c r="A1023" s="330">
        <v>642017</v>
      </c>
      <c r="B1023" s="329">
        <v>-459.12527000000011</v>
      </c>
      <c r="C1023" s="157"/>
      <c r="D1023" s="330">
        <v>642017</v>
      </c>
      <c r="E1023" s="329">
        <v>-459.12527000000011</v>
      </c>
      <c r="F1023" s="157"/>
      <c r="G1023" s="330">
        <v>642017</v>
      </c>
      <c r="H1023" s="329">
        <v>-459.12527000000011</v>
      </c>
      <c r="I1023" s="157"/>
      <c r="J1023" s="330">
        <v>642017</v>
      </c>
      <c r="K1023" s="329">
        <v>-459.12527000000011</v>
      </c>
      <c r="L1023" s="157"/>
      <c r="M1023" s="360">
        <f t="shared" si="96"/>
        <v>642017</v>
      </c>
      <c r="N1023" s="237">
        <f t="shared" si="97"/>
        <v>-459.12527000000011</v>
      </c>
      <c r="O1023" s="361"/>
      <c r="P1023" s="361"/>
      <c r="Q1023" s="361" t="s">
        <v>698</v>
      </c>
      <c r="R1023" s="362">
        <f>IF(Q1023="ekrk",INDEX(indexy_SDcast!$A:$C,MATCH($M1023,indexy_SDcast!$A:$A,0),2),"")</f>
        <v>6</v>
      </c>
      <c r="S1023" s="236"/>
      <c r="T1023" s="364">
        <f t="shared" si="101"/>
        <v>642017</v>
      </c>
      <c r="U1023" s="365">
        <f t="shared" si="102"/>
        <v>-459.12527000000011</v>
      </c>
      <c r="V1023" s="365">
        <f>IF($Q1023="ekrk",IF($R1023="data",IFERROR(INDEX(data!$A:$ALL,MATCH($M1023,data!$A:$A,0),MATCH(V$2,data!$1:$1,0)),"#data"),IFERROR(U1023*INDEX(indexy_SDcast!$A:$ALI,MATCH($R1023,indexy_SDcast!$K:$K,0),MATCH(V$2,indexy_SDcast!$2:$2,0)),"#ekrk")),"#popis")</f>
        <v>-467.51208721346859</v>
      </c>
      <c r="W1023" s="365">
        <f>IF($Q1023="ekrk",IF($R1023="data",IFERROR(INDEX(data!$A:$ALL,MATCH($M1023,data!$A:$A,0),MATCH(W$2,data!$1:$1,0)),"#data"),IFERROR(V1023*INDEX(indexy_SDcast!$A:$ALI,MATCH($R1023,indexy_SDcast!$K:$K,0),MATCH(W$2,indexy_SDcast!$2:$2,0)),"#ekrk")),"#popis")</f>
        <v>-481.00604974969747</v>
      </c>
      <c r="X1023" s="365">
        <f>IF($Q1023="ekrk",IF($R1023="data",IFERROR(INDEX(data!$A:$ALL,MATCH($M1023,data!$A:$A,0),MATCH(X$2,data!$1:$1,0)),"#data"),IFERROR(W1023*INDEX(indexy_SDcast!$A:$ALI,MATCH($R1023,indexy_SDcast!$K:$K,0),MATCH(X$2,indexy_SDcast!$2:$2,0)),"#ekrk")),"#popis")</f>
        <v>-496.75441252162449</v>
      </c>
      <c r="Y1023" s="362">
        <f>IF($Q1023="ekrk",IF($R1023="data",IFERROR(INDEX(data!$A:$ALL,MATCH($M1023,data!$A:$A,0),MATCH(Y$2,data!$1:$1,0)),"#data"),IFERROR(X1023*INDEX(indexy_SDcast!$A:$ALI,MATCH($R1023,indexy_SDcast!$K:$K,0),MATCH(Y$2,indexy_SDcast!$2:$2,0)),"#ekrk")),"#popis")</f>
        <v>-514.05332945357486</v>
      </c>
    </row>
    <row r="1024" spans="1:44" x14ac:dyDescent="0.25">
      <c r="A1024" s="330">
        <v>642035</v>
      </c>
      <c r="B1024" s="329">
        <v>-40455.97868</v>
      </c>
      <c r="C1024" s="157"/>
      <c r="D1024" s="330">
        <v>642035</v>
      </c>
      <c r="E1024" s="329">
        <v>-40455.97868</v>
      </c>
      <c r="F1024" s="157"/>
      <c r="G1024" s="330">
        <v>642035</v>
      </c>
      <c r="H1024" s="329">
        <v>-40455.97868</v>
      </c>
      <c r="I1024" s="157"/>
      <c r="J1024" s="330">
        <v>642035</v>
      </c>
      <c r="K1024" s="329">
        <v>-40455.97868</v>
      </c>
      <c r="L1024" s="157"/>
      <c r="M1024" s="360">
        <f t="shared" si="96"/>
        <v>642035</v>
      </c>
      <c r="N1024" s="237">
        <f t="shared" si="97"/>
        <v>-40455.97868</v>
      </c>
      <c r="O1024" s="361"/>
      <c r="P1024" s="361"/>
      <c r="Q1024" s="361" t="s">
        <v>698</v>
      </c>
      <c r="R1024" s="362">
        <f>IF(Q1024="ekrk",INDEX(indexy_SDcast!$A:$C,MATCH($M1024,indexy_SDcast!$A:$A,0),2),"")</f>
        <v>6</v>
      </c>
      <c r="S1024" s="236"/>
      <c r="T1024" s="364">
        <f t="shared" si="101"/>
        <v>642035</v>
      </c>
      <c r="U1024" s="365">
        <f t="shared" si="102"/>
        <v>-40455.97868</v>
      </c>
      <c r="V1024" s="365">
        <f>IF($Q1024="ekrk",IF($R1024="data",IFERROR(INDEX(data!$A:$ALL,MATCH($M1024,data!$A:$A,0),MATCH(V$2,data!$1:$1,0)),"#data"),IFERROR(U1024*INDEX(indexy_SDcast!$A:$ALI,MATCH($R1024,indexy_SDcast!$K:$K,0),MATCH(V$2,indexy_SDcast!$2:$2,0)),"#ekrk")),"#popis")</f>
        <v>-41194.985919529936</v>
      </c>
      <c r="W1024" s="365">
        <f>IF($Q1024="ekrk",IF($R1024="data",IFERROR(INDEX(data!$A:$ALL,MATCH($M1024,data!$A:$A,0),MATCH(W$2,data!$1:$1,0)),"#data"),IFERROR(V1024*INDEX(indexy_SDcast!$A:$ALI,MATCH($R1024,indexy_SDcast!$K:$K,0),MATCH(W$2,indexy_SDcast!$2:$2,0)),"#ekrk")),"#popis")</f>
        <v>-42384.010999056474</v>
      </c>
      <c r="X1024" s="365">
        <f>IF($Q1024="ekrk",IF($R1024="data",IFERROR(INDEX(data!$A:$ALL,MATCH($M1024,data!$A:$A,0),MATCH(X$2,data!$1:$1,0)),"#data"),IFERROR(W1024*INDEX(indexy_SDcast!$A:$ALI,MATCH($R1024,indexy_SDcast!$K:$K,0),MATCH(X$2,indexy_SDcast!$2:$2,0)),"#ekrk")),"#popis")</f>
        <v>-43771.683318957286</v>
      </c>
      <c r="Y1024" s="362">
        <f>IF($Q1024="ekrk",IF($R1024="data",IFERROR(INDEX(data!$A:$ALL,MATCH($M1024,data!$A:$A,0),MATCH(Y$2,data!$1:$1,0)),"#data"),IFERROR(X1024*INDEX(indexy_SDcast!$A:$ALI,MATCH($R1024,indexy_SDcast!$K:$K,0),MATCH(Y$2,indexy_SDcast!$2:$2,0)),"#ekrk")),"#popis")</f>
        <v>-45295.983243869014</v>
      </c>
    </row>
    <row r="1025" spans="1:44" x14ac:dyDescent="0.25">
      <c r="A1025" s="330" t="s">
        <v>699</v>
      </c>
      <c r="B1025" s="329">
        <v>-1619</v>
      </c>
      <c r="C1025" s="157"/>
      <c r="D1025" s="348">
        <v>637016</v>
      </c>
      <c r="E1025" s="329">
        <v>-1619</v>
      </c>
      <c r="F1025" s="157"/>
      <c r="G1025" s="330">
        <v>637016</v>
      </c>
      <c r="H1025" s="329"/>
      <c r="I1025" s="157"/>
      <c r="J1025" s="330">
        <v>637016</v>
      </c>
      <c r="K1025" s="329"/>
      <c r="L1025" s="157"/>
      <c r="M1025" s="360">
        <f t="shared" si="96"/>
        <v>637016</v>
      </c>
      <c r="N1025" s="237">
        <f t="shared" si="97"/>
        <v>0</v>
      </c>
      <c r="O1025" s="361"/>
      <c r="P1025" s="361"/>
      <c r="Q1025" s="361" t="s">
        <v>698</v>
      </c>
      <c r="R1025" s="362">
        <f>IF(Q1025="ekrk",INDEX(indexy_SDcast!$A:$C,MATCH($M1025,indexy_SDcast!$A:$A,0),2),"")</f>
        <v>39</v>
      </c>
      <c r="S1025" s="236"/>
      <c r="T1025" s="364">
        <f t="shared" si="101"/>
        <v>637016</v>
      </c>
      <c r="U1025" s="365">
        <f t="shared" si="102"/>
        <v>0</v>
      </c>
      <c r="V1025" s="365">
        <f>IF($Q1025="ekrk",IF($R1025="data",IFERROR(INDEX(data!$A:$ALL,MATCH($M1025,data!$A:$A,0),MATCH(V$2,data!$1:$1,0)),"#data"),IFERROR(U1025*INDEX(indexy_SDcast!$A:$ALI,MATCH($R1025,indexy_SDcast!$K:$K,0),MATCH(V$2,indexy_SDcast!$2:$2,0)),"#ekrk")),"#popis")</f>
        <v>0</v>
      </c>
      <c r="W1025" s="365">
        <f>IF($Q1025="ekrk",IF($R1025="data",IFERROR(INDEX(data!$A:$ALL,MATCH($M1025,data!$A:$A,0),MATCH(W$2,data!$1:$1,0)),"#data"),IFERROR(V1025*INDEX(indexy_SDcast!$A:$ALI,MATCH($R1025,indexy_SDcast!$K:$K,0),MATCH(W$2,indexy_SDcast!$2:$2,0)),"#ekrk")),"#popis")</f>
        <v>0</v>
      </c>
      <c r="X1025" s="365">
        <f>IF($Q1025="ekrk",IF($R1025="data",IFERROR(INDEX(data!$A:$ALL,MATCH($M1025,data!$A:$A,0),MATCH(X$2,data!$1:$1,0)),"#data"),IFERROR(W1025*INDEX(indexy_SDcast!$A:$ALI,MATCH($R1025,indexy_SDcast!$K:$K,0),MATCH(X$2,indexy_SDcast!$2:$2,0)),"#ekrk")),"#popis")</f>
        <v>0</v>
      </c>
      <c r="Y1025" s="362">
        <f>IF($Q1025="ekrk",IF($R1025="data",IFERROR(INDEX(data!$A:$ALL,MATCH($M1025,data!$A:$A,0),MATCH(Y$2,data!$1:$1,0)),"#data"),IFERROR(X1025*INDEX(indexy_SDcast!$A:$ALI,MATCH($R1025,indexy_SDcast!$K:$K,0),MATCH(Y$2,indexy_SDcast!$2:$2,0)),"#ekrk")),"#popis")</f>
        <v>0</v>
      </c>
    </row>
    <row r="1026" spans="1:44" s="18" customFormat="1" x14ac:dyDescent="0.25">
      <c r="A1026" s="333" t="s">
        <v>702</v>
      </c>
      <c r="B1026" s="334">
        <v>4596544.0318400003</v>
      </c>
      <c r="C1026" s="164"/>
      <c r="D1026" s="333" t="s">
        <v>702</v>
      </c>
      <c r="E1026" s="334">
        <v>4596544.0318400003</v>
      </c>
      <c r="F1026" s="164"/>
      <c r="G1026" s="333" t="s">
        <v>702</v>
      </c>
      <c r="H1026" s="334">
        <v>4596544.0318400003</v>
      </c>
      <c r="I1026" s="164"/>
      <c r="J1026" s="333" t="s">
        <v>702</v>
      </c>
      <c r="K1026" s="334">
        <v>4596544.0318400003</v>
      </c>
      <c r="L1026" s="164"/>
      <c r="M1026" s="358" t="str">
        <f t="shared" si="96"/>
        <v>D211REC</v>
      </c>
      <c r="N1026" s="239">
        <f t="shared" si="97"/>
        <v>4596544.0318400003</v>
      </c>
      <c r="O1026" s="243"/>
      <c r="P1026" s="243">
        <f>MATCH(Q1026,Q1027:Q$1550,0)</f>
        <v>2</v>
      </c>
      <c r="Q1026" s="243" t="s">
        <v>697</v>
      </c>
      <c r="R1026" s="359" t="str">
        <f>IF(Q1026="ekrk",INDEX(indexy_SDcast!$A:$C,MATCH($M1026,indexy_SDcast!$A:$A,0),2),"")</f>
        <v/>
      </c>
      <c r="S1026" s="240"/>
      <c r="T1026" s="363" t="str">
        <f t="shared" si="101"/>
        <v>D211REC</v>
      </c>
      <c r="U1026" s="244">
        <f>SUM(U1027:U1027)</f>
        <v>4596544.0318400003</v>
      </c>
      <c r="V1026" s="244">
        <f>SUM(V1027:V1027)</f>
        <v>4682221.8300548121</v>
      </c>
      <c r="W1026" s="244">
        <f>SUM(W1027:W1027)</f>
        <v>4612473.67957938</v>
      </c>
      <c r="X1026" s="244">
        <f>SUM(X1027:X1027)</f>
        <v>4798248.1847080551</v>
      </c>
      <c r="Y1026" s="359">
        <f>SUM(Y1027:Y1027)</f>
        <v>5070047.2881470332</v>
      </c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8"/>
      <c r="AN1026" s="58"/>
      <c r="AO1026" s="58"/>
      <c r="AP1026" s="58"/>
      <c r="AQ1026" s="58"/>
      <c r="AR1026" s="58"/>
    </row>
    <row r="1027" spans="1:44" x14ac:dyDescent="0.25">
      <c r="A1027" s="330">
        <v>131000</v>
      </c>
      <c r="B1027" s="329">
        <v>4596544.0318400003</v>
      </c>
      <c r="C1027" s="157"/>
      <c r="D1027" s="330">
        <v>131000</v>
      </c>
      <c r="E1027" s="329">
        <v>4596544.0318400003</v>
      </c>
      <c r="F1027" s="157"/>
      <c r="G1027" s="330">
        <v>131000</v>
      </c>
      <c r="H1027" s="329">
        <v>4596544.0318400003</v>
      </c>
      <c r="I1027" s="157"/>
      <c r="J1027" s="330">
        <v>131000</v>
      </c>
      <c r="K1027" s="329">
        <v>4596544.0318400003</v>
      </c>
      <c r="L1027" s="157"/>
      <c r="M1027" s="360">
        <f t="shared" si="96"/>
        <v>131000</v>
      </c>
      <c r="N1027" s="237">
        <f t="shared" si="97"/>
        <v>4596544.0318400003</v>
      </c>
      <c r="O1027" s="361"/>
      <c r="P1027" s="361"/>
      <c r="Q1027" s="361" t="s">
        <v>698</v>
      </c>
      <c r="R1027" s="362" t="str">
        <f>IF(Q1027="ekrk",INDEX(indexy_SDcast!$A:$C,MATCH($M1027,indexy_SDcast!$A:$A,0),2),"")</f>
        <v>data</v>
      </c>
      <c r="S1027" s="236"/>
      <c r="T1027" s="364">
        <f t="shared" si="101"/>
        <v>131000</v>
      </c>
      <c r="U1027" s="365">
        <f>N1027</f>
        <v>4596544.0318400003</v>
      </c>
      <c r="V1027" s="365">
        <f>IF($Q1027="ekrk",IF($R1027="data",IFERROR(INDEX(data!$A:$ALL,MATCH($M1027,data!$A:$A,0),MATCH(V$2,data!$1:$1,0)),"#data"),IFERROR(U1027*INDEX(indexy_SDcast!$A:$ALI,MATCH($R1027,indexy_SDcast!$K:$K,0),MATCH(V$2,indexy_SDcast!$2:$2,0)),"#ekrk")),"#popis")</f>
        <v>4682221.8300548121</v>
      </c>
      <c r="W1027" s="365">
        <f>IF($Q1027="ekrk",IF($R1027="data",IFERROR(INDEX(data!$A:$ALL,MATCH($M1027,data!$A:$A,0),MATCH(W$2,data!$1:$1,0)),"#data"),IFERROR(V1027*INDEX(indexy_SDcast!$A:$ALI,MATCH($R1027,indexy_SDcast!$K:$K,0),MATCH(W$2,indexy_SDcast!$2:$2,0)),"#ekrk")),"#popis")</f>
        <v>4612473.67957938</v>
      </c>
      <c r="X1027" s="365">
        <f>IF($Q1027="ekrk",IF($R1027="data",IFERROR(INDEX(data!$A:$ALL,MATCH($M1027,data!$A:$A,0),MATCH(X$2,data!$1:$1,0)),"#data"),IFERROR(W1027*INDEX(indexy_SDcast!$A:$ALI,MATCH($R1027,indexy_SDcast!$K:$K,0),MATCH(X$2,indexy_SDcast!$2:$2,0)),"#ekrk")),"#popis")</f>
        <v>4798248.1847080551</v>
      </c>
      <c r="Y1027" s="362">
        <f>IF($Q1027="ekrk",IF($R1027="data",IFERROR(INDEX(data!$A:$ALL,MATCH($M1027,data!$A:$A,0),MATCH(Y$2,data!$1:$1,0)),"#data"),IFERROR(X1027*INDEX(indexy_SDcast!$A:$ALI,MATCH($R1027,indexy_SDcast!$K:$K,0),MATCH(Y$2,indexy_SDcast!$2:$2,0)),"#ekrk")),"#popis")</f>
        <v>5070047.2881470332</v>
      </c>
    </row>
    <row r="1028" spans="1:44" s="18" customFormat="1" x14ac:dyDescent="0.25">
      <c r="A1028" s="333" t="s">
        <v>703</v>
      </c>
      <c r="B1028" s="334">
        <v>58.267750000000007</v>
      </c>
      <c r="C1028" s="164"/>
      <c r="D1028" s="333" t="s">
        <v>703</v>
      </c>
      <c r="E1028" s="334">
        <v>58.267750000000007</v>
      </c>
      <c r="F1028" s="164"/>
      <c r="G1028" s="333" t="s">
        <v>703</v>
      </c>
      <c r="H1028" s="334">
        <v>58.267750000000007</v>
      </c>
      <c r="I1028" s="164"/>
      <c r="J1028" s="333" t="s">
        <v>703</v>
      </c>
      <c r="K1028" s="334">
        <v>58.267750000000007</v>
      </c>
      <c r="L1028" s="164"/>
      <c r="M1028" s="358" t="str">
        <f t="shared" si="96"/>
        <v>D2121REC</v>
      </c>
      <c r="N1028" s="239">
        <f t="shared" si="97"/>
        <v>58.267750000000007</v>
      </c>
      <c r="O1028" s="243"/>
      <c r="P1028" s="243">
        <f>MATCH(Q1028,Q1029:Q$1550,0)</f>
        <v>2</v>
      </c>
      <c r="Q1028" s="243" t="s">
        <v>697</v>
      </c>
      <c r="R1028" s="359" t="str">
        <f>IF(Q1028="ekrk",INDEX(indexy_SDcast!$A:$C,MATCH($M1028,indexy_SDcast!$A:$A,0),2),"")</f>
        <v/>
      </c>
      <c r="S1028" s="240"/>
      <c r="T1028" s="363" t="str">
        <f t="shared" si="101"/>
        <v>D2121REC</v>
      </c>
      <c r="U1028" s="244">
        <f>SUM(U1029:U1029)</f>
        <v>58.267750000000007</v>
      </c>
      <c r="V1028" s="244">
        <f>SUM(V1029:V1029)</f>
        <v>43.700812500000005</v>
      </c>
      <c r="W1028" s="244">
        <f>SUM(W1029:W1029)</f>
        <v>29.133875000000003</v>
      </c>
      <c r="X1028" s="244">
        <f>SUM(X1029:X1029)</f>
        <v>14.566937500000002</v>
      </c>
      <c r="Y1028" s="359">
        <f>SUM(Y1029:Y1029)</f>
        <v>0</v>
      </c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8"/>
      <c r="AN1028" s="58"/>
      <c r="AO1028" s="58"/>
      <c r="AP1028" s="58"/>
      <c r="AQ1028" s="58"/>
      <c r="AR1028" s="58"/>
    </row>
    <row r="1029" spans="1:44" x14ac:dyDescent="0.25">
      <c r="A1029" s="330">
        <v>141000</v>
      </c>
      <c r="B1029" s="329">
        <v>58.267750000000007</v>
      </c>
      <c r="C1029" s="157"/>
      <c r="D1029" s="330">
        <v>141000</v>
      </c>
      <c r="E1029" s="329">
        <v>58.267750000000007</v>
      </c>
      <c r="F1029" s="157"/>
      <c r="G1029" s="330">
        <v>141000</v>
      </c>
      <c r="H1029" s="329">
        <v>58.267750000000007</v>
      </c>
      <c r="I1029" s="157"/>
      <c r="J1029" s="330">
        <v>141000</v>
      </c>
      <c r="K1029" s="329">
        <v>58.267750000000007</v>
      </c>
      <c r="L1029" s="157"/>
      <c r="M1029" s="360">
        <f t="shared" si="96"/>
        <v>141000</v>
      </c>
      <c r="N1029" s="237">
        <f t="shared" si="97"/>
        <v>58.267750000000007</v>
      </c>
      <c r="O1029" s="361"/>
      <c r="P1029" s="361"/>
      <c r="Q1029" s="361" t="s">
        <v>698</v>
      </c>
      <c r="R1029" s="362">
        <f>IF(Q1029="ekrk",INDEX(indexy_SDcast!$A:$C,MATCH($M1029,indexy_SDcast!$A:$A,0),2),"")</f>
        <v>21</v>
      </c>
      <c r="S1029" s="236"/>
      <c r="T1029" s="364">
        <f t="shared" si="101"/>
        <v>141000</v>
      </c>
      <c r="U1029" s="365">
        <f>N1029</f>
        <v>58.267750000000007</v>
      </c>
      <c r="V1029" s="365">
        <f>IF($Q1029="ekrk",IF($R1029="data",IFERROR(INDEX(data!$A:$ALL,MATCH($M1029,data!$A:$A,0),MATCH(V$2,data!$1:$1,0)),"#data"),IFERROR(U1029*INDEX(indexy_SDcast!$A:$ALI,MATCH($R1029,indexy_SDcast!$K:$K,0),MATCH(V$2,indexy_SDcast!$2:$2,0)),"#ekrk")),"#popis")</f>
        <v>43.700812500000005</v>
      </c>
      <c r="W1029" s="365">
        <f>IF($Q1029="ekrk",IF($R1029="data",IFERROR(INDEX(data!$A:$ALL,MATCH($M1029,data!$A:$A,0),MATCH(W$2,data!$1:$1,0)),"#data"),IFERROR(V1029*INDEX(indexy_SDcast!$A:$ALI,MATCH($R1029,indexy_SDcast!$K:$K,0),MATCH(W$2,indexy_SDcast!$2:$2,0)),"#ekrk")),"#popis")</f>
        <v>29.133875000000003</v>
      </c>
      <c r="X1029" s="365">
        <f>IF($Q1029="ekrk",IF($R1029="data",IFERROR(INDEX(data!$A:$ALL,MATCH($M1029,data!$A:$A,0),MATCH(X$2,data!$1:$1,0)),"#data"),IFERROR(W1029*INDEX(indexy_SDcast!$A:$ALI,MATCH($R1029,indexy_SDcast!$K:$K,0),MATCH(X$2,indexy_SDcast!$2:$2,0)),"#ekrk")),"#popis")</f>
        <v>14.566937500000002</v>
      </c>
      <c r="Y1029" s="362">
        <f>IF($Q1029="ekrk",IF($R1029="data",IFERROR(INDEX(data!$A:$ALL,MATCH($M1029,data!$A:$A,0),MATCH(Y$2,data!$1:$1,0)),"#data"),IFERROR(X1029*INDEX(indexy_SDcast!$A:$ALI,MATCH($R1029,indexy_SDcast!$K:$K,0),MATCH(Y$2,indexy_SDcast!$2:$2,0)),"#ekrk")),"#popis")</f>
        <v>0</v>
      </c>
    </row>
    <row r="1030" spans="1:44" s="18" customFormat="1" x14ac:dyDescent="0.25">
      <c r="A1030" s="333" t="s">
        <v>704</v>
      </c>
      <c r="B1030" s="334">
        <v>33.585679999999996</v>
      </c>
      <c r="C1030" s="164"/>
      <c r="D1030" s="333" t="s">
        <v>704</v>
      </c>
      <c r="E1030" s="334">
        <v>33.585679999999996</v>
      </c>
      <c r="F1030" s="164"/>
      <c r="G1030" s="333" t="s">
        <v>704</v>
      </c>
      <c r="H1030" s="334">
        <v>33.585679999999996</v>
      </c>
      <c r="I1030" s="164"/>
      <c r="J1030" s="333" t="s">
        <v>704</v>
      </c>
      <c r="K1030" s="334">
        <v>33.585679999999996</v>
      </c>
      <c r="L1030" s="164"/>
      <c r="M1030" s="358" t="str">
        <f t="shared" si="96"/>
        <v>D2122REC</v>
      </c>
      <c r="N1030" s="239">
        <f t="shared" si="97"/>
        <v>33.585679999999996</v>
      </c>
      <c r="O1030" s="243"/>
      <c r="P1030" s="243">
        <f>MATCH(Q1030,Q1031:Q$1550,0)</f>
        <v>3</v>
      </c>
      <c r="Q1030" s="243" t="s">
        <v>697</v>
      </c>
      <c r="R1030" s="359" t="str">
        <f>IF(Q1030="ekrk",INDEX(indexy_SDcast!$A:$C,MATCH($M1030,indexy_SDcast!$A:$A,0),2),"")</f>
        <v/>
      </c>
      <c r="S1030" s="240"/>
      <c r="T1030" s="363" t="str">
        <f t="shared" si="101"/>
        <v>D2122REC</v>
      </c>
      <c r="U1030" s="244">
        <f>SUM(U1031:U1032)</f>
        <v>33.585679999999996</v>
      </c>
      <c r="V1030" s="244">
        <f>SUM(V1031:V1032)</f>
        <v>32.170425000000002</v>
      </c>
      <c r="W1030" s="244">
        <f>SUM(W1031:W1032)</f>
        <v>30.75517</v>
      </c>
      <c r="X1030" s="244">
        <f>SUM(X1031:X1032)</f>
        <v>29.339914999999998</v>
      </c>
      <c r="Y1030" s="359">
        <f>SUM(Y1031:Y1032)</f>
        <v>27.924659999999999</v>
      </c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58"/>
      <c r="AM1030" s="58"/>
      <c r="AN1030" s="58"/>
      <c r="AO1030" s="58"/>
      <c r="AP1030" s="58"/>
      <c r="AQ1030" s="58"/>
      <c r="AR1030" s="58"/>
    </row>
    <row r="1031" spans="1:44" x14ac:dyDescent="0.25">
      <c r="A1031" s="330">
        <v>142000</v>
      </c>
      <c r="B1031" s="329">
        <v>5.6610199999999997</v>
      </c>
      <c r="C1031" s="157"/>
      <c r="D1031" s="330">
        <v>142000</v>
      </c>
      <c r="E1031" s="329">
        <v>5.6610199999999997</v>
      </c>
      <c r="F1031" s="157"/>
      <c r="G1031" s="330">
        <v>142000</v>
      </c>
      <c r="H1031" s="329">
        <v>5.6610199999999997</v>
      </c>
      <c r="I1031" s="157"/>
      <c r="J1031" s="330">
        <v>142000</v>
      </c>
      <c r="K1031" s="329">
        <v>5.6610199999999997</v>
      </c>
      <c r="L1031" s="157"/>
      <c r="M1031" s="360">
        <f t="shared" si="96"/>
        <v>142000</v>
      </c>
      <c r="N1031" s="237">
        <f t="shared" si="97"/>
        <v>5.6610199999999997</v>
      </c>
      <c r="O1031" s="361"/>
      <c r="P1031" s="361"/>
      <c r="Q1031" s="361" t="s">
        <v>698</v>
      </c>
      <c r="R1031" s="362">
        <f>IF(Q1031="ekrk",INDEX(indexy_SDcast!$A:$C,MATCH($M1031,indexy_SDcast!$A:$A,0),2),"")</f>
        <v>21</v>
      </c>
      <c r="S1031" s="236"/>
      <c r="T1031" s="364">
        <f t="shared" si="101"/>
        <v>142000</v>
      </c>
      <c r="U1031" s="365">
        <f>N1031</f>
        <v>5.6610199999999997</v>
      </c>
      <c r="V1031" s="365">
        <f>IF($Q1031="ekrk",IF($R1031="data",IFERROR(INDEX(data!$A:$ALL,MATCH($M1031,data!$A:$A,0),MATCH(V$2,data!$1:$1,0)),"#data"),IFERROR(U1031*INDEX(indexy_SDcast!$A:$ALI,MATCH($R1031,indexy_SDcast!$K:$K,0),MATCH(V$2,indexy_SDcast!$2:$2,0)),"#ekrk")),"#popis")</f>
        <v>4.2457649999999996</v>
      </c>
      <c r="W1031" s="365">
        <f>IF($Q1031="ekrk",IF($R1031="data",IFERROR(INDEX(data!$A:$ALL,MATCH($M1031,data!$A:$A,0),MATCH(W$2,data!$1:$1,0)),"#data"),IFERROR(V1031*INDEX(indexy_SDcast!$A:$ALI,MATCH($R1031,indexy_SDcast!$K:$K,0),MATCH(W$2,indexy_SDcast!$2:$2,0)),"#ekrk")),"#popis")</f>
        <v>2.8305099999999994</v>
      </c>
      <c r="X1031" s="365">
        <f>IF($Q1031="ekrk",IF($R1031="data",IFERROR(INDEX(data!$A:$ALL,MATCH($M1031,data!$A:$A,0),MATCH(X$2,data!$1:$1,0)),"#data"),IFERROR(W1031*INDEX(indexy_SDcast!$A:$ALI,MATCH($R1031,indexy_SDcast!$K:$K,0),MATCH(X$2,indexy_SDcast!$2:$2,0)),"#ekrk")),"#popis")</f>
        <v>1.4152549999999997</v>
      </c>
      <c r="Y1031" s="362">
        <f>IF($Q1031="ekrk",IF($R1031="data",IFERROR(INDEX(data!$A:$ALL,MATCH($M1031,data!$A:$A,0),MATCH(Y$2,data!$1:$1,0)),"#data"),IFERROR(X1031*INDEX(indexy_SDcast!$A:$ALI,MATCH($R1031,indexy_SDcast!$K:$K,0),MATCH(Y$2,indexy_SDcast!$2:$2,0)),"#ekrk")),"#popis")</f>
        <v>0</v>
      </c>
    </row>
    <row r="1032" spans="1:44" x14ac:dyDescent="0.25">
      <c r="A1032" s="330">
        <v>149000</v>
      </c>
      <c r="B1032" s="329">
        <v>27.924659999999999</v>
      </c>
      <c r="C1032" s="157"/>
      <c r="D1032" s="330">
        <v>149000</v>
      </c>
      <c r="E1032" s="329">
        <v>27.924659999999999</v>
      </c>
      <c r="F1032" s="157"/>
      <c r="G1032" s="330">
        <v>149000</v>
      </c>
      <c r="H1032" s="329">
        <v>27.924659999999999</v>
      </c>
      <c r="I1032" s="157"/>
      <c r="J1032" s="330">
        <v>149000</v>
      </c>
      <c r="K1032" s="329">
        <v>27.924659999999999</v>
      </c>
      <c r="L1032" s="157"/>
      <c r="M1032" s="360">
        <f t="shared" si="96"/>
        <v>149000</v>
      </c>
      <c r="N1032" s="237">
        <f t="shared" si="97"/>
        <v>27.924659999999999</v>
      </c>
      <c r="O1032" s="361"/>
      <c r="P1032" s="361"/>
      <c r="Q1032" s="361" t="s">
        <v>698</v>
      </c>
      <c r="R1032" s="362">
        <f>IF(Q1032="ekrk",INDEX(indexy_SDcast!$A:$C,MATCH($M1032,indexy_SDcast!$A:$A,0),2),"")</f>
        <v>22</v>
      </c>
      <c r="S1032" s="236"/>
      <c r="T1032" s="364">
        <f t="shared" si="101"/>
        <v>149000</v>
      </c>
      <c r="U1032" s="365">
        <f>N1032</f>
        <v>27.924659999999999</v>
      </c>
      <c r="V1032" s="365">
        <f>IF($Q1032="ekrk",IF($R1032="data",IFERROR(INDEX(data!$A:$ALL,MATCH($M1032,data!$A:$A,0),MATCH(V$2,data!$1:$1,0)),"#data"),IFERROR(U1032*INDEX(indexy_SDcast!$A:$ALI,MATCH($R1032,indexy_SDcast!$K:$K,0),MATCH(V$2,indexy_SDcast!$2:$2,0)),"#ekrk")),"#popis")</f>
        <v>27.924659999999999</v>
      </c>
      <c r="W1032" s="365">
        <f>IF($Q1032="ekrk",IF($R1032="data",IFERROR(INDEX(data!$A:$ALL,MATCH($M1032,data!$A:$A,0),MATCH(W$2,data!$1:$1,0)),"#data"),IFERROR(V1032*INDEX(indexy_SDcast!$A:$ALI,MATCH($R1032,indexy_SDcast!$K:$K,0),MATCH(W$2,indexy_SDcast!$2:$2,0)),"#ekrk")),"#popis")</f>
        <v>27.924659999999999</v>
      </c>
      <c r="X1032" s="365">
        <f>IF($Q1032="ekrk",IF($R1032="data",IFERROR(INDEX(data!$A:$ALL,MATCH($M1032,data!$A:$A,0),MATCH(X$2,data!$1:$1,0)),"#data"),IFERROR(W1032*INDEX(indexy_SDcast!$A:$ALI,MATCH($R1032,indexy_SDcast!$K:$K,0),MATCH(X$2,indexy_SDcast!$2:$2,0)),"#ekrk")),"#popis")</f>
        <v>27.924659999999999</v>
      </c>
      <c r="Y1032" s="362">
        <f>IF($Q1032="ekrk",IF($R1032="data",IFERROR(INDEX(data!$A:$ALL,MATCH($M1032,data!$A:$A,0),MATCH(Y$2,data!$1:$1,0)),"#data"),IFERROR(X1032*INDEX(indexy_SDcast!$A:$ALI,MATCH($R1032,indexy_SDcast!$K:$K,0),MATCH(Y$2,indexy_SDcast!$2:$2,0)),"#ekrk")),"#popis")</f>
        <v>27.924659999999999</v>
      </c>
    </row>
    <row r="1033" spans="1:44" s="18" customFormat="1" x14ac:dyDescent="0.25">
      <c r="A1033" s="333" t="s">
        <v>705</v>
      </c>
      <c r="B1033" s="334">
        <v>2151977.2958499999</v>
      </c>
      <c r="C1033" s="164"/>
      <c r="D1033" s="333" t="s">
        <v>705</v>
      </c>
      <c r="E1033" s="334">
        <v>2151977.2958499999</v>
      </c>
      <c r="F1033" s="164"/>
      <c r="G1033" s="333" t="s">
        <v>705</v>
      </c>
      <c r="H1033" s="334">
        <v>2151977.2958499999</v>
      </c>
      <c r="I1033" s="164"/>
      <c r="J1033" s="333" t="s">
        <v>705</v>
      </c>
      <c r="K1033" s="334">
        <v>2151977.2958499999</v>
      </c>
      <c r="L1033" s="164"/>
      <c r="M1033" s="358" t="str">
        <f t="shared" si="96"/>
        <v>D214REC</v>
      </c>
      <c r="N1033" s="239">
        <f t="shared" si="97"/>
        <v>2151977.2958499999</v>
      </c>
      <c r="O1033" s="243"/>
      <c r="P1033" s="243">
        <f>MATCH(Q1033,Q1034:Q$1550,0)</f>
        <v>17</v>
      </c>
      <c r="Q1033" s="243" t="s">
        <v>697</v>
      </c>
      <c r="R1033" s="359" t="str">
        <f>IF(Q1033="ekrk",INDEX(indexy_SDcast!$A:$C,MATCH($M1033,indexy_SDcast!$A:$A,0),2),"")</f>
        <v/>
      </c>
      <c r="S1033" s="240"/>
      <c r="T1033" s="363" t="str">
        <f t="shared" si="101"/>
        <v>D214REC</v>
      </c>
      <c r="U1033" s="244">
        <f>SUM(U1034:U1049)</f>
        <v>2151977.2958499999</v>
      </c>
      <c r="V1033" s="244">
        <f>SUM(V1034:V1049)</f>
        <v>2158819.5035218298</v>
      </c>
      <c r="W1033" s="244">
        <f>SUM(W1034:W1049)</f>
        <v>2173447.2539423509</v>
      </c>
      <c r="X1033" s="244">
        <f>SUM(X1034:X1049)</f>
        <v>2190161.0203872058</v>
      </c>
      <c r="Y1033" s="359">
        <f>SUM(Y1034:Y1049)</f>
        <v>2211847.5472376561</v>
      </c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58"/>
      <c r="AM1033" s="58"/>
      <c r="AN1033" s="58"/>
      <c r="AO1033" s="58"/>
      <c r="AP1033" s="58"/>
      <c r="AQ1033" s="58"/>
      <c r="AR1033" s="58"/>
    </row>
    <row r="1034" spans="1:44" x14ac:dyDescent="0.25">
      <c r="A1034" s="330">
        <v>123001</v>
      </c>
      <c r="B1034" s="329">
        <v>77.315840000000009</v>
      </c>
      <c r="C1034" s="157"/>
      <c r="D1034" s="330">
        <v>123001</v>
      </c>
      <c r="E1034" s="329">
        <v>77.315840000000009</v>
      </c>
      <c r="F1034" s="157"/>
      <c r="G1034" s="330">
        <v>123001</v>
      </c>
      <c r="H1034" s="329">
        <v>77.315840000000009</v>
      </c>
      <c r="I1034" s="157"/>
      <c r="J1034" s="330">
        <v>123001</v>
      </c>
      <c r="K1034" s="329">
        <v>77.315840000000009</v>
      </c>
      <c r="L1034" s="157"/>
      <c r="M1034" s="360">
        <f t="shared" si="96"/>
        <v>123001</v>
      </c>
      <c r="N1034" s="237">
        <f t="shared" si="97"/>
        <v>77.315840000000009</v>
      </c>
      <c r="O1034" s="361"/>
      <c r="P1034" s="361"/>
      <c r="Q1034" s="361" t="s">
        <v>698</v>
      </c>
      <c r="R1034" s="362">
        <f>IF(Q1034="ekrk",INDEX(indexy_SDcast!$A:$C,MATCH($M1034,indexy_SDcast!$A:$A,0),2),"")</f>
        <v>21</v>
      </c>
      <c r="S1034" s="236"/>
      <c r="T1034" s="364">
        <f t="shared" si="101"/>
        <v>123001</v>
      </c>
      <c r="U1034" s="365">
        <f t="shared" ref="U1034:U1049" si="103">N1034</f>
        <v>77.315840000000009</v>
      </c>
      <c r="V1034" s="365">
        <f>IF($Q1034="ekrk",IF($R1034="data",IFERROR(INDEX(data!$A:$ALL,MATCH($M1034,data!$A:$A,0),MATCH(V$2,data!$1:$1,0)),"#data"),IFERROR(U1034*INDEX(indexy_SDcast!$A:$ALI,MATCH($R1034,indexy_SDcast!$K:$K,0),MATCH(V$2,indexy_SDcast!$2:$2,0)),"#ekrk")),"#popis")</f>
        <v>57.986880000000006</v>
      </c>
      <c r="W1034" s="365">
        <f>IF($Q1034="ekrk",IF($R1034="data",IFERROR(INDEX(data!$A:$ALL,MATCH($M1034,data!$A:$A,0),MATCH(W$2,data!$1:$1,0)),"#data"),IFERROR(V1034*INDEX(indexy_SDcast!$A:$ALI,MATCH($R1034,indexy_SDcast!$K:$K,0),MATCH(W$2,indexy_SDcast!$2:$2,0)),"#ekrk")),"#popis")</f>
        <v>38.657920000000004</v>
      </c>
      <c r="X1034" s="365">
        <f>IF($Q1034="ekrk",IF($R1034="data",IFERROR(INDEX(data!$A:$ALL,MATCH($M1034,data!$A:$A,0),MATCH(X$2,data!$1:$1,0)),"#data"),IFERROR(W1034*INDEX(indexy_SDcast!$A:$ALI,MATCH($R1034,indexy_SDcast!$K:$K,0),MATCH(X$2,indexy_SDcast!$2:$2,0)),"#ekrk")),"#popis")</f>
        <v>19.328960000000002</v>
      </c>
      <c r="Y1034" s="362">
        <f>IF($Q1034="ekrk",IF($R1034="data",IFERROR(INDEX(data!$A:$ALL,MATCH($M1034,data!$A:$A,0),MATCH(Y$2,data!$1:$1,0)),"#data"),IFERROR(X1034*INDEX(indexy_SDcast!$A:$ALI,MATCH($R1034,indexy_SDcast!$K:$K,0),MATCH(Y$2,indexy_SDcast!$2:$2,0)),"#ekrk")),"#popis")</f>
        <v>0</v>
      </c>
    </row>
    <row r="1035" spans="1:44" x14ac:dyDescent="0.25">
      <c r="A1035" s="330">
        <v>132001</v>
      </c>
      <c r="B1035" s="329">
        <v>1045344.76667</v>
      </c>
      <c r="C1035" s="157"/>
      <c r="D1035" s="330">
        <v>132001</v>
      </c>
      <c r="E1035" s="329">
        <v>1045344.76667</v>
      </c>
      <c r="F1035" s="157"/>
      <c r="G1035" s="330">
        <v>132001</v>
      </c>
      <c r="H1035" s="329">
        <v>1045344.76667</v>
      </c>
      <c r="I1035" s="157"/>
      <c r="J1035" s="330">
        <v>132001</v>
      </c>
      <c r="K1035" s="329">
        <v>1045344.76667</v>
      </c>
      <c r="L1035" s="157"/>
      <c r="M1035" s="360">
        <f t="shared" si="96"/>
        <v>132001</v>
      </c>
      <c r="N1035" s="237">
        <f t="shared" si="97"/>
        <v>1045344.76667</v>
      </c>
      <c r="O1035" s="361"/>
      <c r="P1035" s="361"/>
      <c r="Q1035" s="361" t="s">
        <v>698</v>
      </c>
      <c r="R1035" s="362" t="str">
        <f>IF(Q1035="ekrk",INDEX(indexy_SDcast!$A:$C,MATCH($M1035,indexy_SDcast!$A:$A,0),2),"")</f>
        <v>data</v>
      </c>
      <c r="S1035" s="236"/>
      <c r="T1035" s="364">
        <f t="shared" si="101"/>
        <v>132001</v>
      </c>
      <c r="U1035" s="365">
        <f t="shared" si="103"/>
        <v>1045344.76667</v>
      </c>
      <c r="V1035" s="365">
        <f>IF($Q1035="ekrk",IF($R1035="data",IFERROR(INDEX(data!$A:$ALL,MATCH($M1035,data!$A:$A,0),MATCH(V$2,data!$1:$1,0)),"#data"),IFERROR(U1035*INDEX(indexy_SDcast!$A:$ALI,MATCH($R1035,indexy_SDcast!$K:$K,0),MATCH(V$2,indexy_SDcast!$2:$2,0)),"#ekrk")),"#popis")</f>
        <v>1045195.3639602656</v>
      </c>
      <c r="W1035" s="365">
        <f>IF($Q1035="ekrk",IF($R1035="data",IFERROR(INDEX(data!$A:$ALL,MATCH($M1035,data!$A:$A,0),MATCH(W$2,data!$1:$1,0)),"#data"),IFERROR(V1035*INDEX(indexy_SDcast!$A:$ALI,MATCH($R1035,indexy_SDcast!$K:$K,0),MATCH(W$2,indexy_SDcast!$2:$2,0)),"#ekrk")),"#popis")</f>
        <v>1050184.5796140274</v>
      </c>
      <c r="X1035" s="365">
        <f>IF($Q1035="ekrk",IF($R1035="data",IFERROR(INDEX(data!$A:$ALL,MATCH($M1035,data!$A:$A,0),MATCH(X$2,data!$1:$1,0)),"#data"),IFERROR(W1035*INDEX(indexy_SDcast!$A:$ALI,MATCH($R1035,indexy_SDcast!$K:$K,0),MATCH(X$2,indexy_SDcast!$2:$2,0)),"#ekrk")),"#popis")</f>
        <v>1056540.7037979618</v>
      </c>
      <c r="Y1035" s="362">
        <f>IF($Q1035="ekrk",IF($R1035="data",IFERROR(INDEX(data!$A:$ALL,MATCH($M1035,data!$A:$A,0),MATCH(Y$2,data!$1:$1,0)),"#data"),IFERROR(X1035*INDEX(indexy_SDcast!$A:$ALI,MATCH($R1035,indexy_SDcast!$K:$K,0),MATCH(Y$2,indexy_SDcast!$2:$2,0)),"#ekrk")),"#popis")</f>
        <v>1065463.6466053424</v>
      </c>
    </row>
    <row r="1036" spans="1:44" x14ac:dyDescent="0.25">
      <c r="A1036" s="330">
        <v>132003</v>
      </c>
      <c r="B1036" s="329">
        <v>201081.34888000001</v>
      </c>
      <c r="C1036" s="157"/>
      <c r="D1036" s="330">
        <v>132003</v>
      </c>
      <c r="E1036" s="329">
        <v>201081.34888000001</v>
      </c>
      <c r="F1036" s="157"/>
      <c r="G1036" s="330">
        <v>132003</v>
      </c>
      <c r="H1036" s="329">
        <v>201081.34888000001</v>
      </c>
      <c r="I1036" s="157"/>
      <c r="J1036" s="330">
        <v>132003</v>
      </c>
      <c r="K1036" s="329">
        <v>201081.34888000001</v>
      </c>
      <c r="L1036" s="157"/>
      <c r="M1036" s="360">
        <f t="shared" si="96"/>
        <v>132003</v>
      </c>
      <c r="N1036" s="237">
        <f t="shared" si="97"/>
        <v>201081.34888000001</v>
      </c>
      <c r="O1036" s="361"/>
      <c r="P1036" s="361"/>
      <c r="Q1036" s="361" t="s">
        <v>698</v>
      </c>
      <c r="R1036" s="362" t="str">
        <f>IF(Q1036="ekrk",INDEX(indexy_SDcast!$A:$C,MATCH($M1036,indexy_SDcast!$A:$A,0),2),"")</f>
        <v>data</v>
      </c>
      <c r="S1036" s="236"/>
      <c r="T1036" s="364">
        <f t="shared" si="101"/>
        <v>132003</v>
      </c>
      <c r="U1036" s="365">
        <f t="shared" si="103"/>
        <v>201081.34888000001</v>
      </c>
      <c r="V1036" s="365">
        <f>IF($Q1036="ekrk",IF($R1036="data",IFERROR(INDEX(data!$A:$ALL,MATCH($M1036,data!$A:$A,0),MATCH(V$2,data!$1:$1,0)),"#data"),IFERROR(U1036*INDEX(indexy_SDcast!$A:$ALI,MATCH($R1036,indexy_SDcast!$K:$K,0),MATCH(V$2,indexy_SDcast!$2:$2,0)),"#ekrk")),"#popis")</f>
        <v>203163.35211135237</v>
      </c>
      <c r="W1036" s="365">
        <f>IF($Q1036="ekrk",IF($R1036="data",IFERROR(INDEX(data!$A:$ALL,MATCH($M1036,data!$A:$A,0),MATCH(W$2,data!$1:$1,0)),"#data"),IFERROR(V1036*INDEX(indexy_SDcast!$A:$ALI,MATCH($R1036,indexy_SDcast!$K:$K,0),MATCH(W$2,indexy_SDcast!$2:$2,0)),"#ekrk")),"#popis")</f>
        <v>206145.21888859622</v>
      </c>
      <c r="X1036" s="365">
        <f>IF($Q1036="ekrk",IF($R1036="data",IFERROR(INDEX(data!$A:$ALL,MATCH($M1036,data!$A:$A,0),MATCH(X$2,data!$1:$1,0)),"#data"),IFERROR(W1036*INDEX(indexy_SDcast!$A:$ALI,MATCH($R1036,indexy_SDcast!$K:$K,0),MATCH(X$2,indexy_SDcast!$2:$2,0)),"#ekrk")),"#popis")</f>
        <v>209458.24284611832</v>
      </c>
      <c r="Y1036" s="362">
        <f>IF($Q1036="ekrk",IF($R1036="data",IFERROR(INDEX(data!$A:$ALL,MATCH($M1036,data!$A:$A,0),MATCH(Y$2,data!$1:$1,0)),"#data"),IFERROR(X1036*INDEX(indexy_SDcast!$A:$ALI,MATCH($R1036,indexy_SDcast!$K:$K,0),MATCH(Y$2,indexy_SDcast!$2:$2,0)),"#ekrk")),"#popis")</f>
        <v>213668.78217446321</v>
      </c>
    </row>
    <row r="1037" spans="1:44" x14ac:dyDescent="0.25">
      <c r="A1037" s="330">
        <v>132005</v>
      </c>
      <c r="B1037" s="329">
        <v>55724.283350000005</v>
      </c>
      <c r="C1037" s="157"/>
      <c r="D1037" s="330">
        <v>132005</v>
      </c>
      <c r="E1037" s="329">
        <v>55724.283350000005</v>
      </c>
      <c r="F1037" s="157"/>
      <c r="G1037" s="330">
        <v>132005</v>
      </c>
      <c r="H1037" s="329">
        <v>55724.283350000005</v>
      </c>
      <c r="I1037" s="157"/>
      <c r="J1037" s="330">
        <v>132005</v>
      </c>
      <c r="K1037" s="329">
        <v>55724.283350000005</v>
      </c>
      <c r="L1037" s="157"/>
      <c r="M1037" s="360">
        <f t="shared" ref="M1037:M1080" si="104">J1037</f>
        <v>132005</v>
      </c>
      <c r="N1037" s="237">
        <f t="shared" ref="N1037:N1080" si="105">K1037</f>
        <v>55724.283350000005</v>
      </c>
      <c r="O1037" s="361"/>
      <c r="P1037" s="361"/>
      <c r="Q1037" s="361" t="s">
        <v>698</v>
      </c>
      <c r="R1037" s="362" t="str">
        <f>IF(Q1037="ekrk",INDEX(indexy_SDcast!$A:$C,MATCH($M1037,indexy_SDcast!$A:$A,0),2),"")</f>
        <v>data</v>
      </c>
      <c r="S1037" s="236"/>
      <c r="T1037" s="364">
        <f t="shared" si="101"/>
        <v>132005</v>
      </c>
      <c r="U1037" s="365">
        <f t="shared" si="103"/>
        <v>55724.283350000005</v>
      </c>
      <c r="V1037" s="365">
        <f>IF($Q1037="ekrk",IF($R1037="data",IFERROR(INDEX(data!$A:$ALL,MATCH($M1037,data!$A:$A,0),MATCH(V$2,data!$1:$1,0)),"#data"),IFERROR(U1037*INDEX(indexy_SDcast!$A:$ALI,MATCH($R1037,indexy_SDcast!$K:$K,0),MATCH(V$2,indexy_SDcast!$2:$2,0)),"#ekrk")),"#popis")</f>
        <v>56218.159757529473</v>
      </c>
      <c r="W1037" s="365">
        <f>IF($Q1037="ekrk",IF($R1037="data",IFERROR(INDEX(data!$A:$ALL,MATCH($M1037,data!$A:$A,0),MATCH(W$2,data!$1:$1,0)),"#data"),IFERROR(V1037*INDEX(indexy_SDcast!$A:$ALI,MATCH($R1037,indexy_SDcast!$K:$K,0),MATCH(W$2,indexy_SDcast!$2:$2,0)),"#ekrk")),"#popis")</f>
        <v>57064.279344541363</v>
      </c>
      <c r="X1037" s="365">
        <f>IF($Q1037="ekrk",IF($R1037="data",IFERROR(INDEX(data!$A:$ALL,MATCH($M1037,data!$A:$A,0),MATCH(X$2,data!$1:$1,0)),"#data"),IFERROR(W1037*INDEX(indexy_SDcast!$A:$ALI,MATCH($R1037,indexy_SDcast!$K:$K,0),MATCH(X$2,indexy_SDcast!$2:$2,0)),"#ekrk")),"#popis")</f>
        <v>57964.547647203792</v>
      </c>
      <c r="Y1037" s="362">
        <f>IF($Q1037="ekrk",IF($R1037="data",IFERROR(INDEX(data!$A:$ALL,MATCH($M1037,data!$A:$A,0),MATCH(Y$2,data!$1:$1,0)),"#data"),IFERROR(X1037*INDEX(indexy_SDcast!$A:$ALI,MATCH($R1037,indexy_SDcast!$K:$K,0),MATCH(Y$2,indexy_SDcast!$2:$2,0)),"#ekrk")),"#popis")</f>
        <v>59059.627300809021</v>
      </c>
    </row>
    <row r="1038" spans="1:44" x14ac:dyDescent="0.25">
      <c r="A1038" s="330">
        <v>132007</v>
      </c>
      <c r="B1038" s="329">
        <v>4029.6660700000002</v>
      </c>
      <c r="C1038" s="157"/>
      <c r="D1038" s="330">
        <v>132007</v>
      </c>
      <c r="E1038" s="329">
        <v>4029.6660700000002</v>
      </c>
      <c r="F1038" s="157"/>
      <c r="G1038" s="330">
        <v>132007</v>
      </c>
      <c r="H1038" s="329">
        <v>4029.6660700000002</v>
      </c>
      <c r="I1038" s="157"/>
      <c r="J1038" s="330">
        <v>132007</v>
      </c>
      <c r="K1038" s="329">
        <v>4029.6660700000002</v>
      </c>
      <c r="L1038" s="157"/>
      <c r="M1038" s="360">
        <f t="shared" si="104"/>
        <v>132007</v>
      </c>
      <c r="N1038" s="237">
        <f t="shared" si="105"/>
        <v>4029.6660700000002</v>
      </c>
      <c r="O1038" s="361"/>
      <c r="P1038" s="361"/>
      <c r="Q1038" s="361" t="s">
        <v>698</v>
      </c>
      <c r="R1038" s="362" t="str">
        <f>IF(Q1038="ekrk",INDEX(indexy_SDcast!$A:$C,MATCH($M1038,indexy_SDcast!$A:$A,0),2),"")</f>
        <v>data</v>
      </c>
      <c r="S1038" s="236"/>
      <c r="T1038" s="364">
        <f t="shared" si="101"/>
        <v>132007</v>
      </c>
      <c r="U1038" s="365">
        <f t="shared" si="103"/>
        <v>4029.6660700000002</v>
      </c>
      <c r="V1038" s="365">
        <f>IF($Q1038="ekrk",IF($R1038="data",IFERROR(INDEX(data!$A:$ALL,MATCH($M1038,data!$A:$A,0),MATCH(V$2,data!$1:$1,0)),"#data"),IFERROR(U1038*INDEX(indexy_SDcast!$A:$ALI,MATCH($R1038,indexy_SDcast!$K:$K,0),MATCH(V$2,indexy_SDcast!$2:$2,0)),"#ekrk")),"#popis")</f>
        <v>4077.0279106723169</v>
      </c>
      <c r="W1038" s="365">
        <f>IF($Q1038="ekrk",IF($R1038="data",IFERROR(INDEX(data!$A:$ALL,MATCH($M1038,data!$A:$A,0),MATCH(W$2,data!$1:$1,0)),"#data"),IFERROR(V1038*INDEX(indexy_SDcast!$A:$ALI,MATCH($R1038,indexy_SDcast!$K:$K,0),MATCH(W$2,indexy_SDcast!$2:$2,0)),"#ekrk")),"#popis")</f>
        <v>4130.4747565666476</v>
      </c>
      <c r="X1038" s="365">
        <f>IF($Q1038="ekrk",IF($R1038="data",IFERROR(INDEX(data!$A:$ALL,MATCH($M1038,data!$A:$A,0),MATCH(X$2,data!$1:$1,0)),"#data"),IFERROR(W1038*INDEX(indexy_SDcast!$A:$ALI,MATCH($R1038,indexy_SDcast!$K:$K,0),MATCH(X$2,indexy_SDcast!$2:$2,0)),"#ekrk")),"#popis")</f>
        <v>4190.8548267339338</v>
      </c>
      <c r="Y1038" s="362">
        <f>IF($Q1038="ekrk",IF($R1038="data",IFERROR(INDEX(data!$A:$ALL,MATCH($M1038,data!$A:$A,0),MATCH(Y$2,data!$1:$1,0)),"#data"),IFERROR(X1038*INDEX(indexy_SDcast!$A:$ALI,MATCH($R1038,indexy_SDcast!$K:$K,0),MATCH(Y$2,indexy_SDcast!$2:$2,0)),"#ekrk")),"#popis")</f>
        <v>4268.8029372505889</v>
      </c>
    </row>
    <row r="1039" spans="1:44" x14ac:dyDescent="0.25">
      <c r="A1039" s="330">
        <v>132009</v>
      </c>
      <c r="B1039" s="329">
        <v>636229.09458000003</v>
      </c>
      <c r="C1039" s="157"/>
      <c r="D1039" s="330">
        <v>132009</v>
      </c>
      <c r="E1039" s="329">
        <v>636229.09458000003</v>
      </c>
      <c r="F1039" s="157"/>
      <c r="G1039" s="330">
        <v>132009</v>
      </c>
      <c r="H1039" s="329">
        <v>636229.09458000003</v>
      </c>
      <c r="I1039" s="157"/>
      <c r="J1039" s="330">
        <v>132009</v>
      </c>
      <c r="K1039" s="329">
        <v>636229.09458000003</v>
      </c>
      <c r="L1039" s="157"/>
      <c r="M1039" s="360">
        <f t="shared" si="104"/>
        <v>132009</v>
      </c>
      <c r="N1039" s="237">
        <f t="shared" si="105"/>
        <v>636229.09458000003</v>
      </c>
      <c r="O1039" s="361"/>
      <c r="P1039" s="361"/>
      <c r="Q1039" s="361" t="s">
        <v>698</v>
      </c>
      <c r="R1039" s="362" t="str">
        <f>IF(Q1039="ekrk",INDEX(indexy_SDcast!$A:$C,MATCH($M1039,indexy_SDcast!$A:$A,0),2),"")</f>
        <v>data</v>
      </c>
      <c r="S1039" s="236"/>
      <c r="T1039" s="364">
        <f t="shared" si="101"/>
        <v>132009</v>
      </c>
      <c r="U1039" s="365">
        <f t="shared" si="103"/>
        <v>636229.09458000003</v>
      </c>
      <c r="V1039" s="365">
        <f>IF($Q1039="ekrk",IF($R1039="data",IFERROR(INDEX(data!$A:$ALL,MATCH($M1039,data!$A:$A,0),MATCH(V$2,data!$1:$1,0)),"#data"),IFERROR(U1039*INDEX(indexy_SDcast!$A:$ALI,MATCH($R1039,indexy_SDcast!$K:$K,0),MATCH(V$2,indexy_SDcast!$2:$2,0)),"#ekrk")),"#popis")</f>
        <v>642284.72260399302</v>
      </c>
      <c r="W1039" s="365">
        <f>IF($Q1039="ekrk",IF($R1039="data",IFERROR(INDEX(data!$A:$ALL,MATCH($M1039,data!$A:$A,0),MATCH(W$2,data!$1:$1,0)),"#data"),IFERROR(V1039*INDEX(indexy_SDcast!$A:$ALI,MATCH($R1039,indexy_SDcast!$K:$K,0),MATCH(W$2,indexy_SDcast!$2:$2,0)),"#ekrk")),"#popis")</f>
        <v>647261.28770702891</v>
      </c>
      <c r="X1039" s="365">
        <f>IF($Q1039="ekrk",IF($R1039="data",IFERROR(INDEX(data!$A:$ALL,MATCH($M1039,data!$A:$A,0),MATCH(X$2,data!$1:$1,0)),"#data"),IFERROR(W1039*INDEX(indexy_SDcast!$A:$ALI,MATCH($R1039,indexy_SDcast!$K:$K,0),MATCH(X$2,indexy_SDcast!$2:$2,0)),"#ekrk")),"#popis")</f>
        <v>652478.07863403473</v>
      </c>
      <c r="Y1039" s="362">
        <f>IF($Q1039="ekrk",IF($R1039="data",IFERROR(INDEX(data!$A:$ALL,MATCH($M1039,data!$A:$A,0),MATCH(Y$2,data!$1:$1,0)),"#data"),IFERROR(X1039*INDEX(indexy_SDcast!$A:$ALI,MATCH($R1039,indexy_SDcast!$K:$K,0),MATCH(Y$2,indexy_SDcast!$2:$2,0)),"#ekrk")),"#popis")</f>
        <v>658725.00740485126</v>
      </c>
    </row>
    <row r="1040" spans="1:44" x14ac:dyDescent="0.25">
      <c r="A1040" s="330">
        <v>132011</v>
      </c>
      <c r="B1040" s="329">
        <v>16530.677009999999</v>
      </c>
      <c r="C1040" s="157"/>
      <c r="D1040" s="330">
        <v>132011</v>
      </c>
      <c r="E1040" s="329">
        <v>16530.677009999999</v>
      </c>
      <c r="F1040" s="157"/>
      <c r="G1040" s="330">
        <v>132011</v>
      </c>
      <c r="H1040" s="329">
        <v>16530.677009999999</v>
      </c>
      <c r="I1040" s="157"/>
      <c r="J1040" s="330">
        <v>132011</v>
      </c>
      <c r="K1040" s="329">
        <v>16530.677009999999</v>
      </c>
      <c r="L1040" s="157"/>
      <c r="M1040" s="360">
        <f t="shared" si="104"/>
        <v>132011</v>
      </c>
      <c r="N1040" s="237">
        <f t="shared" si="105"/>
        <v>16530.677009999999</v>
      </c>
      <c r="O1040" s="361"/>
      <c r="P1040" s="361"/>
      <c r="Q1040" s="361" t="s">
        <v>698</v>
      </c>
      <c r="R1040" s="362" t="str">
        <f>IF(Q1040="ekrk",INDEX(indexy_SDcast!$A:$C,MATCH($M1040,indexy_SDcast!$A:$A,0),2),"")</f>
        <v>data</v>
      </c>
      <c r="S1040" s="236"/>
      <c r="T1040" s="364">
        <f t="shared" si="101"/>
        <v>132011</v>
      </c>
      <c r="U1040" s="365">
        <f t="shared" si="103"/>
        <v>16530.677009999999</v>
      </c>
      <c r="V1040" s="365">
        <f>IF($Q1040="ekrk",IF($R1040="data",IFERROR(INDEX(data!$A:$ALL,MATCH($M1040,data!$A:$A,0),MATCH(V$2,data!$1:$1,0)),"#data"),IFERROR(U1040*INDEX(indexy_SDcast!$A:$ALI,MATCH($R1040,indexy_SDcast!$K:$K,0),MATCH(V$2,indexy_SDcast!$2:$2,0)),"#ekrk")),"#popis")</f>
        <v>16720.760018391211</v>
      </c>
      <c r="W1040" s="365">
        <f>IF($Q1040="ekrk",IF($R1040="data",IFERROR(INDEX(data!$A:$ALL,MATCH($M1040,data!$A:$A,0),MATCH(W$2,data!$1:$1,0)),"#data"),IFERROR(V1040*INDEX(indexy_SDcast!$A:$ALI,MATCH($R1040,indexy_SDcast!$K:$K,0),MATCH(W$2,indexy_SDcast!$2:$2,0)),"#ekrk")),"#popis")</f>
        <v>16938.055789850598</v>
      </c>
      <c r="X1040" s="365">
        <f>IF($Q1040="ekrk",IF($R1040="data",IFERROR(INDEX(data!$A:$ALL,MATCH($M1040,data!$A:$A,0),MATCH(X$2,data!$1:$1,0)),"#data"),IFERROR(W1040*INDEX(indexy_SDcast!$A:$ALI,MATCH($R1040,indexy_SDcast!$K:$K,0),MATCH(X$2,indexy_SDcast!$2:$2,0)),"#ekrk")),"#popis")</f>
        <v>17181.915690958325</v>
      </c>
      <c r="Y1040" s="362">
        <f>IF($Q1040="ekrk",IF($R1040="data",IFERROR(INDEX(data!$A:$ALL,MATCH($M1040,data!$A:$A,0),MATCH(Y$2,data!$1:$1,0)),"#data"),IFERROR(X1040*INDEX(indexy_SDcast!$A:$ALI,MATCH($R1040,indexy_SDcast!$K:$K,0),MATCH(Y$2,indexy_SDcast!$2:$2,0)),"#ekrk")),"#popis")</f>
        <v>17494.760132549713</v>
      </c>
    </row>
    <row r="1041" spans="1:44" x14ac:dyDescent="0.25">
      <c r="A1041" s="330">
        <v>132012</v>
      </c>
      <c r="B1041" s="329">
        <v>682.38635999999997</v>
      </c>
      <c r="C1041" s="157"/>
      <c r="D1041" s="330">
        <v>132012</v>
      </c>
      <c r="E1041" s="329">
        <v>682.38635999999997</v>
      </c>
      <c r="F1041" s="157"/>
      <c r="G1041" s="330">
        <v>132012</v>
      </c>
      <c r="H1041" s="329">
        <v>682.38635999999997</v>
      </c>
      <c r="I1041" s="157"/>
      <c r="J1041" s="330">
        <v>132012</v>
      </c>
      <c r="K1041" s="329">
        <v>682.38635999999997</v>
      </c>
      <c r="L1041" s="157"/>
      <c r="M1041" s="360">
        <f t="shared" si="104"/>
        <v>132012</v>
      </c>
      <c r="N1041" s="237">
        <f t="shared" si="105"/>
        <v>682.38635999999997</v>
      </c>
      <c r="O1041" s="361"/>
      <c r="P1041" s="361"/>
      <c r="Q1041" s="361" t="s">
        <v>698</v>
      </c>
      <c r="R1041" s="362" t="str">
        <f>IF(Q1041="ekrk",INDEX(indexy_SDcast!$A:$C,MATCH($M1041,indexy_SDcast!$A:$A,0),2),"")</f>
        <v>data</v>
      </c>
      <c r="S1041" s="236"/>
      <c r="T1041" s="364">
        <f t="shared" si="101"/>
        <v>132012</v>
      </c>
      <c r="U1041" s="365">
        <f t="shared" si="103"/>
        <v>682.38635999999997</v>
      </c>
      <c r="V1041" s="365">
        <f>IF($Q1041="ekrk",IF($R1041="data",IFERROR(INDEX(data!$A:$ALL,MATCH($M1041,data!$A:$A,0),MATCH(V$2,data!$1:$1,0)),"#data"),IFERROR(U1041*INDEX(indexy_SDcast!$A:$ALI,MATCH($R1041,indexy_SDcast!$K:$K,0),MATCH(V$2,indexy_SDcast!$2:$2,0)),"#ekrk")),"#popis")</f>
        <v>25431.096492405228</v>
      </c>
      <c r="W1041" s="365">
        <f>IF($Q1041="ekrk",IF($R1041="data",IFERROR(INDEX(data!$A:$ALL,MATCH($M1041,data!$A:$A,0),MATCH(W$2,data!$1:$1,0)),"#data"),IFERROR(V1041*INDEX(indexy_SDcast!$A:$ALI,MATCH($R1041,indexy_SDcast!$K:$K,0),MATCH(W$2,indexy_SDcast!$2:$2,0)),"#ekrk")),"#popis")</f>
        <v>25786.22633373479</v>
      </c>
      <c r="X1041" s="365">
        <f>IF($Q1041="ekrk",IF($R1041="data",IFERROR(INDEX(data!$A:$ALL,MATCH($M1041,data!$A:$A,0),MATCH(X$2,data!$1:$1,0)),"#data"),IFERROR(W1041*INDEX(indexy_SDcast!$A:$ALI,MATCH($R1041,indexy_SDcast!$K:$K,0),MATCH(X$2,indexy_SDcast!$2:$2,0)),"#ekrk")),"#popis")</f>
        <v>26192.980596334917</v>
      </c>
      <c r="Y1041" s="362">
        <f>IF($Q1041="ekrk",IF($R1041="data",IFERROR(INDEX(data!$A:$ALL,MATCH($M1041,data!$A:$A,0),MATCH(Y$2,data!$1:$1,0)),"#data"),IFERROR(X1041*INDEX(indexy_SDcast!$A:$ALI,MATCH($R1041,indexy_SDcast!$K:$K,0),MATCH(Y$2,indexy_SDcast!$2:$2,0)),"#ekrk")),"#popis")</f>
        <v>26742.659174373606</v>
      </c>
    </row>
    <row r="1042" spans="1:44" x14ac:dyDescent="0.25">
      <c r="A1042" s="330">
        <v>132013</v>
      </c>
      <c r="B1042" s="329">
        <v>25161.144119999997</v>
      </c>
      <c r="C1042" s="157"/>
      <c r="D1042" s="330">
        <v>132013</v>
      </c>
      <c r="E1042" s="329">
        <v>25161.144119999997</v>
      </c>
      <c r="F1042" s="157"/>
      <c r="G1042" s="330">
        <v>132013</v>
      </c>
      <c r="H1042" s="329">
        <v>25161.144119999997</v>
      </c>
      <c r="I1042" s="157"/>
      <c r="J1042" s="330">
        <v>132013</v>
      </c>
      <c r="K1042" s="329">
        <v>25161.144119999997</v>
      </c>
      <c r="L1042" s="157"/>
      <c r="M1042" s="360">
        <f t="shared" si="104"/>
        <v>132013</v>
      </c>
      <c r="N1042" s="237">
        <f t="shared" si="105"/>
        <v>25161.144119999997</v>
      </c>
      <c r="O1042" s="361"/>
      <c r="P1042" s="361"/>
      <c r="Q1042" s="361" t="s">
        <v>698</v>
      </c>
      <c r="R1042" s="362" t="str">
        <f>IF(Q1042="ekrk",INDEX(indexy_SDcast!$A:$C,MATCH($M1042,indexy_SDcast!$A:$A,0),2),"")</f>
        <v>data</v>
      </c>
      <c r="S1042" s="236"/>
      <c r="T1042" s="364">
        <f t="shared" si="101"/>
        <v>132013</v>
      </c>
      <c r="U1042" s="365">
        <f t="shared" si="103"/>
        <v>25161.144119999997</v>
      </c>
      <c r="V1042" s="365">
        <f>IF($Q1042="ekrk",IF($R1042="data",IFERROR(INDEX(data!$A:$ALL,MATCH($M1042,data!$A:$A,0),MATCH(V$2,data!$1:$1,0)),"#data"),IFERROR(U1042*INDEX(indexy_SDcast!$A:$ALI,MATCH($R1042,indexy_SDcast!$K:$K,0),MATCH(V$2,indexy_SDcast!$2:$2,0)),"#ekrk")),"#popis")</f>
        <v>744.68731794856274</v>
      </c>
      <c r="W1042" s="365">
        <f>IF($Q1042="ekrk",IF($R1042="data",IFERROR(INDEX(data!$A:$ALL,MATCH($M1042,data!$A:$A,0),MATCH(W$2,data!$1:$1,0)),"#data"),IFERROR(V1042*INDEX(indexy_SDcast!$A:$ALI,MATCH($R1042,indexy_SDcast!$K:$K,0),MATCH(W$2,indexy_SDcast!$2:$2,0)),"#ekrk")),"#popis")</f>
        <v>754.86260940052716</v>
      </c>
      <c r="X1042" s="365">
        <f>IF($Q1042="ekrk",IF($R1042="data",IFERROR(INDEX(data!$A:$ALL,MATCH($M1042,data!$A:$A,0),MATCH(X$2,data!$1:$1,0)),"#data"),IFERROR(W1042*INDEX(indexy_SDcast!$A:$ALI,MATCH($R1042,indexy_SDcast!$K:$K,0),MATCH(X$2,indexy_SDcast!$2:$2,0)),"#ekrk")),"#popis")</f>
        <v>766.53293779809042</v>
      </c>
      <c r="Y1042" s="362">
        <f>IF($Q1042="ekrk",IF($R1042="data",IFERROR(INDEX(data!$A:$ALL,MATCH($M1042,data!$A:$A,0),MATCH(Y$2,data!$1:$1,0)),"#data"),IFERROR(X1042*INDEX(indexy_SDcast!$A:$ALI,MATCH($R1042,indexy_SDcast!$K:$K,0),MATCH(Y$2,indexy_SDcast!$2:$2,0)),"#ekrk")),"#popis")</f>
        <v>781.81242079413289</v>
      </c>
    </row>
    <row r="1043" spans="1:44" x14ac:dyDescent="0.25">
      <c r="A1043" s="330">
        <v>133003</v>
      </c>
      <c r="B1043" s="329">
        <v>1037.6947799999998</v>
      </c>
      <c r="C1043" s="157"/>
      <c r="D1043" s="330">
        <v>133003</v>
      </c>
      <c r="E1043" s="329">
        <v>1037.6947799999998</v>
      </c>
      <c r="F1043" s="157"/>
      <c r="G1043" s="330">
        <v>133003</v>
      </c>
      <c r="H1043" s="329">
        <v>1037.6947799999998</v>
      </c>
      <c r="I1043" s="157"/>
      <c r="J1043" s="330">
        <v>133003</v>
      </c>
      <c r="K1043" s="329">
        <v>1037.6947799999998</v>
      </c>
      <c r="L1043" s="157"/>
      <c r="M1043" s="360">
        <f t="shared" si="104"/>
        <v>133003</v>
      </c>
      <c r="N1043" s="237">
        <f t="shared" si="105"/>
        <v>1037.6947799999998</v>
      </c>
      <c r="O1043" s="361"/>
      <c r="P1043" s="361"/>
      <c r="Q1043" s="361" t="s">
        <v>698</v>
      </c>
      <c r="R1043" s="362">
        <f>IF(Q1043="ekrk",INDEX(indexy_SDcast!$A:$C,MATCH($M1043,indexy_SDcast!$A:$A,0),2),"")</f>
        <v>22</v>
      </c>
      <c r="S1043" s="236"/>
      <c r="T1043" s="364">
        <f t="shared" si="101"/>
        <v>133003</v>
      </c>
      <c r="U1043" s="365">
        <f t="shared" si="103"/>
        <v>1037.6947799999998</v>
      </c>
      <c r="V1043" s="365">
        <f>IF($Q1043="ekrk",IF($R1043="data",IFERROR(INDEX(data!$A:$ALL,MATCH($M1043,data!$A:$A,0),MATCH(V$2,data!$1:$1,0)),"#data"),IFERROR(U1043*INDEX(indexy_SDcast!$A:$ALI,MATCH($R1043,indexy_SDcast!$K:$K,0),MATCH(V$2,indexy_SDcast!$2:$2,0)),"#ekrk")),"#popis")</f>
        <v>1037.6947799999998</v>
      </c>
      <c r="W1043" s="365">
        <f>IF($Q1043="ekrk",IF($R1043="data",IFERROR(INDEX(data!$A:$ALL,MATCH($M1043,data!$A:$A,0),MATCH(W$2,data!$1:$1,0)),"#data"),IFERROR(V1043*INDEX(indexy_SDcast!$A:$ALI,MATCH($R1043,indexy_SDcast!$K:$K,0),MATCH(W$2,indexy_SDcast!$2:$2,0)),"#ekrk")),"#popis")</f>
        <v>1037.6947799999998</v>
      </c>
      <c r="X1043" s="365">
        <f>IF($Q1043="ekrk",IF($R1043="data",IFERROR(INDEX(data!$A:$ALL,MATCH($M1043,data!$A:$A,0),MATCH(X$2,data!$1:$1,0)),"#data"),IFERROR(W1043*INDEX(indexy_SDcast!$A:$ALI,MATCH($R1043,indexy_SDcast!$K:$K,0),MATCH(X$2,indexy_SDcast!$2:$2,0)),"#ekrk")),"#popis")</f>
        <v>1037.6947799999998</v>
      </c>
      <c r="Y1043" s="362">
        <f>IF($Q1043="ekrk",IF($R1043="data",IFERROR(INDEX(data!$A:$ALL,MATCH($M1043,data!$A:$A,0),MATCH(Y$2,data!$1:$1,0)),"#data"),IFERROR(X1043*INDEX(indexy_SDcast!$A:$ALI,MATCH($R1043,indexy_SDcast!$K:$K,0),MATCH(Y$2,indexy_SDcast!$2:$2,0)),"#ekrk")),"#popis")</f>
        <v>1037.6947799999998</v>
      </c>
    </row>
    <row r="1044" spans="1:44" x14ac:dyDescent="0.25">
      <c r="A1044" s="330">
        <v>133004</v>
      </c>
      <c r="B1044" s="329">
        <v>230.13498000000001</v>
      </c>
      <c r="C1044" s="157"/>
      <c r="D1044" s="330">
        <v>133004</v>
      </c>
      <c r="E1044" s="329">
        <v>230.13498000000001</v>
      </c>
      <c r="F1044" s="157"/>
      <c r="G1044" s="330">
        <v>133004</v>
      </c>
      <c r="H1044" s="329">
        <v>230.13498000000001</v>
      </c>
      <c r="I1044" s="157"/>
      <c r="J1044" s="330">
        <v>133004</v>
      </c>
      <c r="K1044" s="329">
        <v>230.13498000000001</v>
      </c>
      <c r="L1044" s="157"/>
      <c r="M1044" s="360">
        <f t="shared" si="104"/>
        <v>133004</v>
      </c>
      <c r="N1044" s="237">
        <f t="shared" si="105"/>
        <v>230.13498000000001</v>
      </c>
      <c r="O1044" s="361"/>
      <c r="P1044" s="361"/>
      <c r="Q1044" s="361" t="s">
        <v>698</v>
      </c>
      <c r="R1044" s="362">
        <f>IF(Q1044="ekrk",INDEX(indexy_SDcast!$A:$C,MATCH($M1044,indexy_SDcast!$A:$A,0),2),"")</f>
        <v>22</v>
      </c>
      <c r="S1044" s="236"/>
      <c r="T1044" s="364">
        <f t="shared" si="101"/>
        <v>133004</v>
      </c>
      <c r="U1044" s="365">
        <f t="shared" si="103"/>
        <v>230.13498000000001</v>
      </c>
      <c r="V1044" s="365">
        <f>IF($Q1044="ekrk",IF($R1044="data",IFERROR(INDEX(data!$A:$ALL,MATCH($M1044,data!$A:$A,0),MATCH(V$2,data!$1:$1,0)),"#data"),IFERROR(U1044*INDEX(indexy_SDcast!$A:$ALI,MATCH($R1044,indexy_SDcast!$K:$K,0),MATCH(V$2,indexy_SDcast!$2:$2,0)),"#ekrk")),"#popis")</f>
        <v>230.13498000000001</v>
      </c>
      <c r="W1044" s="365">
        <f>IF($Q1044="ekrk",IF($R1044="data",IFERROR(INDEX(data!$A:$ALL,MATCH($M1044,data!$A:$A,0),MATCH(W$2,data!$1:$1,0)),"#data"),IFERROR(V1044*INDEX(indexy_SDcast!$A:$ALI,MATCH($R1044,indexy_SDcast!$K:$K,0),MATCH(W$2,indexy_SDcast!$2:$2,0)),"#ekrk")),"#popis")</f>
        <v>230.13498000000001</v>
      </c>
      <c r="X1044" s="365">
        <f>IF($Q1044="ekrk",IF($R1044="data",IFERROR(INDEX(data!$A:$ALL,MATCH($M1044,data!$A:$A,0),MATCH(X$2,data!$1:$1,0)),"#data"),IFERROR(W1044*INDEX(indexy_SDcast!$A:$ALI,MATCH($R1044,indexy_SDcast!$K:$K,0),MATCH(X$2,indexy_SDcast!$2:$2,0)),"#ekrk")),"#popis")</f>
        <v>230.13498000000001</v>
      </c>
      <c r="Y1044" s="362">
        <f>IF($Q1044="ekrk",IF($R1044="data",IFERROR(INDEX(data!$A:$ALL,MATCH($M1044,data!$A:$A,0),MATCH(Y$2,data!$1:$1,0)),"#data"),IFERROR(X1044*INDEX(indexy_SDcast!$A:$ALI,MATCH($R1044,indexy_SDcast!$K:$K,0),MATCH(Y$2,indexy_SDcast!$2:$2,0)),"#ekrk")),"#popis")</f>
        <v>230.13498000000001</v>
      </c>
    </row>
    <row r="1045" spans="1:44" x14ac:dyDescent="0.25">
      <c r="A1045" s="330">
        <v>133006</v>
      </c>
      <c r="B1045" s="329">
        <v>9491.3890299999985</v>
      </c>
      <c r="C1045" s="157"/>
      <c r="D1045" s="330">
        <v>133006</v>
      </c>
      <c r="E1045" s="329">
        <v>9491.3890299999985</v>
      </c>
      <c r="F1045" s="157"/>
      <c r="G1045" s="330">
        <v>133006</v>
      </c>
      <c r="H1045" s="329">
        <v>9491.3890299999985</v>
      </c>
      <c r="I1045" s="157"/>
      <c r="J1045" s="330">
        <v>133006</v>
      </c>
      <c r="K1045" s="329">
        <v>9491.3890299999985</v>
      </c>
      <c r="L1045" s="157"/>
      <c r="M1045" s="360">
        <f t="shared" si="104"/>
        <v>133006</v>
      </c>
      <c r="N1045" s="237">
        <f t="shared" si="105"/>
        <v>9491.3890299999985</v>
      </c>
      <c r="O1045" s="361"/>
      <c r="P1045" s="361"/>
      <c r="Q1045" s="361" t="s">
        <v>698</v>
      </c>
      <c r="R1045" s="362">
        <f>IF(Q1045="ekrk",INDEX(indexy_SDcast!$A:$C,MATCH($M1045,indexy_SDcast!$A:$A,0),2),"")</f>
        <v>33</v>
      </c>
      <c r="S1045" s="236"/>
      <c r="T1045" s="364">
        <f t="shared" si="101"/>
        <v>133006</v>
      </c>
      <c r="U1045" s="365">
        <f t="shared" si="103"/>
        <v>9491.3890299999985</v>
      </c>
      <c r="V1045" s="365">
        <f>IF($Q1045="ekrk",IF($R1045="data",IFERROR(INDEX(data!$A:$ALL,MATCH($M1045,data!$A:$A,0),MATCH(V$2,data!$1:$1,0)),"#data"),IFERROR(U1045*INDEX(indexy_SDcast!$A:$ALI,MATCH($R1045,indexy_SDcast!$K:$K,0),MATCH(V$2,indexy_SDcast!$2:$2,0)),"#ekrk")),"#popis")</f>
        <v>9620.5049592718078</v>
      </c>
      <c r="W1045" s="365">
        <f>IF($Q1045="ekrk",IF($R1045="data",IFERROR(INDEX(data!$A:$ALL,MATCH($M1045,data!$A:$A,0),MATCH(W$2,data!$1:$1,0)),"#data"),IFERROR(V1045*INDEX(indexy_SDcast!$A:$ALI,MATCH($R1045,indexy_SDcast!$K:$K,0),MATCH(W$2,indexy_SDcast!$2:$2,0)),"#ekrk")),"#popis")</f>
        <v>9837.7694686047562</v>
      </c>
      <c r="X1045" s="365">
        <f>IF($Q1045="ekrk",IF($R1045="data",IFERROR(INDEX(data!$A:$ALL,MATCH($M1045,data!$A:$A,0),MATCH(X$2,data!$1:$1,0)),"#data"),IFERROR(W1045*INDEX(indexy_SDcast!$A:$ALI,MATCH($R1045,indexy_SDcast!$K:$K,0),MATCH(X$2,indexy_SDcast!$2:$2,0)),"#ekrk")),"#popis")</f>
        <v>10061.992940061948</v>
      </c>
      <c r="Y1045" s="362">
        <f>IF($Q1045="ekrk",IF($R1045="data",IFERROR(INDEX(data!$A:$ALL,MATCH($M1045,data!$A:$A,0),MATCH(Y$2,data!$1:$1,0)),"#data"),IFERROR(X1045*INDEX(indexy_SDcast!$A:$ALI,MATCH($R1045,indexy_SDcast!$K:$K,0),MATCH(Y$2,indexy_SDcast!$2:$2,0)),"#ekrk")),"#popis")</f>
        <v>10336.607577221997</v>
      </c>
    </row>
    <row r="1046" spans="1:44" x14ac:dyDescent="0.25">
      <c r="A1046" s="330">
        <v>221002</v>
      </c>
      <c r="B1046" s="329">
        <v>5170</v>
      </c>
      <c r="C1046" s="157"/>
      <c r="D1046" s="330">
        <v>221002</v>
      </c>
      <c r="E1046" s="329">
        <v>5170</v>
      </c>
      <c r="F1046" s="157"/>
      <c r="G1046" s="330">
        <v>221002</v>
      </c>
      <c r="H1046" s="329">
        <v>5170</v>
      </c>
      <c r="I1046" s="157"/>
      <c r="J1046" s="330">
        <v>221002</v>
      </c>
      <c r="K1046" s="329">
        <v>5170</v>
      </c>
      <c r="L1046" s="157"/>
      <c r="M1046" s="360">
        <f t="shared" si="104"/>
        <v>221002</v>
      </c>
      <c r="N1046" s="237">
        <f t="shared" si="105"/>
        <v>5170</v>
      </c>
      <c r="O1046" s="361"/>
      <c r="P1046" s="361"/>
      <c r="Q1046" s="361" t="s">
        <v>698</v>
      </c>
      <c r="R1046" s="362">
        <f>IF(Q1046="ekrk",INDEX(indexy_SDcast!$A:$C,MATCH($M1046,indexy_SDcast!$A:$A,0),2),"")</f>
        <v>22</v>
      </c>
      <c r="S1046" s="236"/>
      <c r="T1046" s="364">
        <f t="shared" si="101"/>
        <v>221002</v>
      </c>
      <c r="U1046" s="365">
        <f t="shared" si="103"/>
        <v>5170</v>
      </c>
      <c r="V1046" s="365">
        <f>IF($Q1046="ekrk",IF($R1046="data",IFERROR(INDEX(data!$A:$ALL,MATCH($M1046,data!$A:$A,0),MATCH(V$2,data!$1:$1,0)),"#data"),IFERROR(U1046*INDEX(indexy_SDcast!$A:$ALI,MATCH($R1046,indexy_SDcast!$K:$K,0),MATCH(V$2,indexy_SDcast!$2:$2,0)),"#ekrk")),"#popis")</f>
        <v>5170</v>
      </c>
      <c r="W1046" s="365">
        <f>IF($Q1046="ekrk",IF($R1046="data",IFERROR(INDEX(data!$A:$ALL,MATCH($M1046,data!$A:$A,0),MATCH(W$2,data!$1:$1,0)),"#data"),IFERROR(V1046*INDEX(indexy_SDcast!$A:$ALI,MATCH($R1046,indexy_SDcast!$K:$K,0),MATCH(W$2,indexy_SDcast!$2:$2,0)),"#ekrk")),"#popis")</f>
        <v>5170</v>
      </c>
      <c r="X1046" s="365">
        <f>IF($Q1046="ekrk",IF($R1046="data",IFERROR(INDEX(data!$A:$ALL,MATCH($M1046,data!$A:$A,0),MATCH(X$2,data!$1:$1,0)),"#data"),IFERROR(W1046*INDEX(indexy_SDcast!$A:$ALI,MATCH($R1046,indexy_SDcast!$K:$K,0),MATCH(X$2,indexy_SDcast!$2:$2,0)),"#ekrk")),"#popis")</f>
        <v>5170</v>
      </c>
      <c r="Y1046" s="362">
        <f>IF($Q1046="ekrk",IF($R1046="data",IFERROR(INDEX(data!$A:$ALL,MATCH($M1046,data!$A:$A,0),MATCH(Y$2,data!$1:$1,0)),"#data"),IFERROR(X1046*INDEX(indexy_SDcast!$A:$ALI,MATCH($R1046,indexy_SDcast!$K:$K,0),MATCH(Y$2,indexy_SDcast!$2:$2,0)),"#ekrk")),"#popis")</f>
        <v>5170</v>
      </c>
    </row>
    <row r="1047" spans="1:44" x14ac:dyDescent="0.25">
      <c r="A1047" s="330">
        <v>292008</v>
      </c>
      <c r="B1047" s="329">
        <v>148868.01175000003</v>
      </c>
      <c r="C1047" s="157"/>
      <c r="D1047" s="330">
        <v>292008</v>
      </c>
      <c r="E1047" s="329">
        <v>148868.01175000003</v>
      </c>
      <c r="F1047" s="157"/>
      <c r="G1047" s="330">
        <v>292008</v>
      </c>
      <c r="H1047" s="329">
        <v>148868.01175000003</v>
      </c>
      <c r="I1047" s="157"/>
      <c r="J1047" s="330">
        <v>292008</v>
      </c>
      <c r="K1047" s="329">
        <v>148868.01175000003</v>
      </c>
      <c r="L1047" s="157"/>
      <c r="M1047" s="360">
        <f t="shared" si="104"/>
        <v>292008</v>
      </c>
      <c r="N1047" s="237">
        <f t="shared" si="105"/>
        <v>148868.01175000003</v>
      </c>
      <c r="O1047" s="361"/>
      <c r="P1047" s="361"/>
      <c r="Q1047" s="361" t="s">
        <v>698</v>
      </c>
      <c r="R1047" s="362">
        <f>IF(Q1047="ekrk",INDEX(indexy_SDcast!$A:$C,MATCH($M1047,indexy_SDcast!$A:$A,0),2),"")</f>
        <v>22</v>
      </c>
      <c r="S1047" s="236"/>
      <c r="T1047" s="364">
        <f t="shared" si="101"/>
        <v>292008</v>
      </c>
      <c r="U1047" s="365">
        <f t="shared" si="103"/>
        <v>148868.01175000003</v>
      </c>
      <c r="V1047" s="365">
        <f>IF($Q1047="ekrk",IF($R1047="data",IFERROR(INDEX(data!$A:$ALL,MATCH($M1047,data!$A:$A,0),MATCH(V$2,data!$1:$1,0)),"#data"),IFERROR(U1047*INDEX(indexy_SDcast!$A:$ALI,MATCH($R1047,indexy_SDcast!$K:$K,0),MATCH(V$2,indexy_SDcast!$2:$2,0)),"#ekrk")),"#popis")</f>
        <v>148868.01175000003</v>
      </c>
      <c r="W1047" s="365">
        <f>IF($Q1047="ekrk",IF($R1047="data",IFERROR(INDEX(data!$A:$ALL,MATCH($M1047,data!$A:$A,0),MATCH(W$2,data!$1:$1,0)),"#data"),IFERROR(V1047*INDEX(indexy_SDcast!$A:$ALI,MATCH($R1047,indexy_SDcast!$K:$K,0),MATCH(W$2,indexy_SDcast!$2:$2,0)),"#ekrk")),"#popis")</f>
        <v>148868.01175000003</v>
      </c>
      <c r="X1047" s="365">
        <f>IF($Q1047="ekrk",IF($R1047="data",IFERROR(INDEX(data!$A:$ALL,MATCH($M1047,data!$A:$A,0),MATCH(X$2,data!$1:$1,0)),"#data"),IFERROR(W1047*INDEX(indexy_SDcast!$A:$ALI,MATCH($R1047,indexy_SDcast!$K:$K,0),MATCH(X$2,indexy_SDcast!$2:$2,0)),"#ekrk")),"#popis")</f>
        <v>148868.01175000003</v>
      </c>
      <c r="Y1047" s="362">
        <f>IF($Q1047="ekrk",IF($R1047="data",IFERROR(INDEX(data!$A:$ALL,MATCH($M1047,data!$A:$A,0),MATCH(Y$2,data!$1:$1,0)),"#data"),IFERROR(X1047*INDEX(indexy_SDcast!$A:$ALI,MATCH($R1047,indexy_SDcast!$K:$K,0),MATCH(Y$2,indexy_SDcast!$2:$2,0)),"#ekrk")),"#popis")</f>
        <v>148868.01175000003</v>
      </c>
    </row>
    <row r="1048" spans="1:44" x14ac:dyDescent="0.25">
      <c r="A1048" s="330">
        <v>292027</v>
      </c>
      <c r="B1048" s="329">
        <v>2209.4424300000001</v>
      </c>
      <c r="C1048" s="157"/>
      <c r="D1048" s="330">
        <v>292027</v>
      </c>
      <c r="E1048" s="329">
        <v>2209.4424300000001</v>
      </c>
      <c r="F1048" s="157"/>
      <c r="G1048" s="330">
        <v>292027</v>
      </c>
      <c r="H1048" s="329">
        <v>2209.4424300000001</v>
      </c>
      <c r="I1048" s="157"/>
      <c r="J1048" s="330">
        <v>292027</v>
      </c>
      <c r="K1048" s="329">
        <v>2209.4424300000001</v>
      </c>
      <c r="L1048" s="157"/>
      <c r="M1048" s="360">
        <f t="shared" si="104"/>
        <v>292027</v>
      </c>
      <c r="N1048" s="237">
        <f t="shared" si="105"/>
        <v>2209.4424300000001</v>
      </c>
      <c r="O1048" s="361"/>
      <c r="P1048" s="361"/>
      <c r="Q1048" s="361" t="s">
        <v>698</v>
      </c>
      <c r="R1048" s="362">
        <v>2</v>
      </c>
      <c r="S1048" s="236"/>
      <c r="T1048" s="364">
        <f t="shared" si="101"/>
        <v>292027</v>
      </c>
      <c r="U1048" s="365">
        <f t="shared" si="103"/>
        <v>2209.4424300000001</v>
      </c>
      <c r="V1048" s="365">
        <f>IF($Q1048="ekrk",IF($R1048="data",IFERROR(INDEX(data!$A:$ALL,MATCH($M1048,data!$A:$A,0),MATCH(V$2,data!$1:$1,0)),"#data"),IFERROR(U1048*INDEX(indexy_SDcast!$A:$ALI,MATCH($R1048,indexy_SDcast!$K:$K,0),MATCH(V$2,indexy_SDcast!$2:$2,0)),"#ekrk")),"#popis")</f>
        <v>0</v>
      </c>
      <c r="W1048" s="365">
        <f>IF($Q1048="ekrk",IF($R1048="data",IFERROR(INDEX(data!$A:$ALL,MATCH($M1048,data!$A:$A,0),MATCH(W$2,data!$1:$1,0)),"#data"),IFERROR(V1048*INDEX(indexy_SDcast!$A:$ALI,MATCH($R1048,indexy_SDcast!$K:$K,0),MATCH(W$2,indexy_SDcast!$2:$2,0)),"#ekrk")),"#popis")</f>
        <v>0</v>
      </c>
      <c r="X1048" s="365">
        <f>IF($Q1048="ekrk",IF($R1048="data",IFERROR(INDEX(data!$A:$ALL,MATCH($M1048,data!$A:$A,0),MATCH(X$2,data!$1:$1,0)),"#data"),IFERROR(W1048*INDEX(indexy_SDcast!$A:$ALI,MATCH($R1048,indexy_SDcast!$K:$K,0),MATCH(X$2,indexy_SDcast!$2:$2,0)),"#ekrk")),"#popis")</f>
        <v>0</v>
      </c>
      <c r="Y1048" s="362">
        <f>IF($Q1048="ekrk",IF($R1048="data",IFERROR(INDEX(data!$A:$ALL,MATCH($M1048,data!$A:$A,0),MATCH(Y$2,data!$1:$1,0)),"#data"),IFERROR(X1048*INDEX(indexy_SDcast!$A:$ALI,MATCH($R1048,indexy_SDcast!$K:$K,0),MATCH(Y$2,indexy_SDcast!$2:$2,0)),"#ekrk")),"#popis")</f>
        <v>0</v>
      </c>
    </row>
    <row r="1049" spans="1:44" x14ac:dyDescent="0.25">
      <c r="A1049" s="330">
        <v>312011</v>
      </c>
      <c r="B1049" s="329">
        <v>109.94</v>
      </c>
      <c r="C1049" s="157"/>
      <c r="D1049" s="330">
        <v>312011</v>
      </c>
      <c r="E1049" s="329">
        <v>109.94</v>
      </c>
      <c r="F1049" s="157"/>
      <c r="G1049" s="330">
        <v>312011</v>
      </c>
      <c r="H1049" s="329">
        <v>109.94</v>
      </c>
      <c r="I1049" s="157"/>
      <c r="J1049" s="330">
        <v>312011</v>
      </c>
      <c r="K1049" s="329">
        <v>109.94</v>
      </c>
      <c r="L1049" s="157"/>
      <c r="M1049" s="360">
        <f t="shared" si="104"/>
        <v>312011</v>
      </c>
      <c r="N1049" s="237">
        <f t="shared" si="105"/>
        <v>109.94</v>
      </c>
      <c r="O1049" s="361"/>
      <c r="P1049" s="361"/>
      <c r="Q1049" s="361" t="s">
        <v>698</v>
      </c>
      <c r="R1049" s="362">
        <f>IF(Q1049="ekrk",INDEX(indexy_SDcast!$A:$C,MATCH($M1049,indexy_SDcast!$A:$A,0),2),"")</f>
        <v>2</v>
      </c>
      <c r="S1049" s="236"/>
      <c r="T1049" s="364">
        <f t="shared" si="101"/>
        <v>312011</v>
      </c>
      <c r="U1049" s="365">
        <f t="shared" si="103"/>
        <v>109.94</v>
      </c>
      <c r="V1049" s="365">
        <f>IF($Q1049="ekrk",IF($R1049="data",IFERROR(INDEX(data!$A:$ALL,MATCH($M1049,data!$A:$A,0),MATCH(V$2,data!$1:$1,0)),"#data"),IFERROR(U1049*INDEX(indexy_SDcast!$A:$ALI,MATCH($R1049,indexy_SDcast!$K:$K,0),MATCH(V$2,indexy_SDcast!$2:$2,0)),"#ekrk")),"#popis")</f>
        <v>0</v>
      </c>
      <c r="W1049" s="365">
        <f>IF($Q1049="ekrk",IF($R1049="data",IFERROR(INDEX(data!$A:$ALL,MATCH($M1049,data!$A:$A,0),MATCH(W$2,data!$1:$1,0)),"#data"),IFERROR(V1049*INDEX(indexy_SDcast!$A:$ALI,MATCH($R1049,indexy_SDcast!$K:$K,0),MATCH(W$2,indexy_SDcast!$2:$2,0)),"#ekrk")),"#popis")</f>
        <v>0</v>
      </c>
      <c r="X1049" s="365">
        <f>IF($Q1049="ekrk",IF($R1049="data",IFERROR(INDEX(data!$A:$ALL,MATCH($M1049,data!$A:$A,0),MATCH(X$2,data!$1:$1,0)),"#data"),IFERROR(W1049*INDEX(indexy_SDcast!$A:$ALI,MATCH($R1049,indexy_SDcast!$K:$K,0),MATCH(X$2,indexy_SDcast!$2:$2,0)),"#ekrk")),"#popis")</f>
        <v>0</v>
      </c>
      <c r="Y1049" s="362">
        <f>IF($Q1049="ekrk",IF($R1049="data",IFERROR(INDEX(data!$A:$ALL,MATCH($M1049,data!$A:$A,0),MATCH(Y$2,data!$1:$1,0)),"#data"),IFERROR(X1049*INDEX(indexy_SDcast!$A:$ALI,MATCH($R1049,indexy_SDcast!$K:$K,0),MATCH(Y$2,indexy_SDcast!$2:$2,0)),"#ekrk")),"#popis")</f>
        <v>0</v>
      </c>
    </row>
    <row r="1050" spans="1:44" s="18" customFormat="1" x14ac:dyDescent="0.25">
      <c r="A1050" s="333" t="s">
        <v>706</v>
      </c>
      <c r="B1050" s="334">
        <v>-61998.19359999997</v>
      </c>
      <c r="C1050" s="164"/>
      <c r="D1050" s="333" t="s">
        <v>706</v>
      </c>
      <c r="E1050" s="334">
        <v>-61998.19359999997</v>
      </c>
      <c r="F1050" s="164"/>
      <c r="G1050" s="333" t="s">
        <v>706</v>
      </c>
      <c r="H1050" s="334">
        <v>-61998.19359999997</v>
      </c>
      <c r="I1050" s="164"/>
      <c r="J1050" s="333" t="s">
        <v>706</v>
      </c>
      <c r="K1050" s="334">
        <v>-61998.19359999997</v>
      </c>
      <c r="L1050" s="164"/>
      <c r="M1050" s="358" t="str">
        <f t="shared" si="104"/>
        <v>D29PAY</v>
      </c>
      <c r="N1050" s="239">
        <f t="shared" si="105"/>
        <v>-61998.19359999997</v>
      </c>
      <c r="O1050" s="243"/>
      <c r="P1050" s="243">
        <f>MATCH(Q1050,Q1051:Q$1550,0)</f>
        <v>5</v>
      </c>
      <c r="Q1050" s="243" t="s">
        <v>697</v>
      </c>
      <c r="R1050" s="359" t="str">
        <f>IF(Q1050="ekrk",INDEX(indexy_SDcast!$A:$C,MATCH($M1050,indexy_SDcast!$A:$A,0),2),"")</f>
        <v/>
      </c>
      <c r="S1050" s="240"/>
      <c r="T1050" s="363" t="str">
        <f t="shared" ref="T1050:T1080" si="106">M1050</f>
        <v>D29PAY</v>
      </c>
      <c r="U1050" s="244">
        <f>SUM(U1051:U1054)</f>
        <v>-61998.19359999997</v>
      </c>
      <c r="V1050" s="244">
        <f>SUM(V1051:V1054)</f>
        <v>-62462.191694650246</v>
      </c>
      <c r="W1050" s="244">
        <f>SUM(W1051:W1054)</f>
        <v>-63747.446642347444</v>
      </c>
      <c r="X1050" s="244">
        <f>SUM(X1051:X1054)</f>
        <v>-65185.695206662102</v>
      </c>
      <c r="Y1050" s="359">
        <f>SUM(Y1051:Y1054)</f>
        <v>-66708.763396503025</v>
      </c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58"/>
      <c r="AM1050" s="58"/>
      <c r="AN1050" s="58"/>
      <c r="AO1050" s="58"/>
      <c r="AP1050" s="58"/>
      <c r="AQ1050" s="58"/>
      <c r="AR1050" s="58"/>
    </row>
    <row r="1051" spans="1:44" x14ac:dyDescent="0.25">
      <c r="A1051" s="330">
        <v>637000</v>
      </c>
      <c r="B1051" s="329">
        <v>-23755.523990000002</v>
      </c>
      <c r="C1051" s="157"/>
      <c r="D1051" s="348">
        <v>637035</v>
      </c>
      <c r="E1051" s="329">
        <v>-23755.523990000002</v>
      </c>
      <c r="F1051" s="157"/>
      <c r="G1051" s="330">
        <v>637035</v>
      </c>
      <c r="H1051" s="349">
        <f>E1051+E1054</f>
        <v>-29180.523990000002</v>
      </c>
      <c r="I1051" s="157"/>
      <c r="J1051" s="330">
        <v>637035</v>
      </c>
      <c r="K1051" s="329">
        <f>H1051+H1054</f>
        <v>-29180.523990000002</v>
      </c>
      <c r="L1051" s="157"/>
      <c r="M1051" s="360">
        <f t="shared" si="104"/>
        <v>637035</v>
      </c>
      <c r="N1051" s="237">
        <f t="shared" si="105"/>
        <v>-29180.523990000002</v>
      </c>
      <c r="O1051" s="361"/>
      <c r="P1051" s="361"/>
      <c r="Q1051" s="361" t="s">
        <v>698</v>
      </c>
      <c r="R1051" s="362">
        <f>IF(Q1051="ekrk",INDEX(indexy_SDcast!$A:$C,MATCH($M1051,indexy_SDcast!$A:$A,0),2),"")</f>
        <v>25</v>
      </c>
      <c r="S1051" s="236"/>
      <c r="T1051" s="364">
        <f t="shared" si="106"/>
        <v>637035</v>
      </c>
      <c r="U1051" s="365">
        <f>N1051</f>
        <v>-29180.523990000002</v>
      </c>
      <c r="V1051" s="365">
        <f>IF($Q1051="ekrk",IF($R1051="data",IFERROR(INDEX(data!$A:$ALL,MATCH($M1051,data!$A:$A,0),MATCH(V$2,data!$1:$1,0)),"#data"),IFERROR(U1051*INDEX(indexy_SDcast!$A:$ALI,MATCH($R1051,indexy_SDcast!$K:$K,0),MATCH(V$2,indexy_SDcast!$2:$2,0)),"#ekrk")),"#popis")</f>
        <v>-29400.763834390989</v>
      </c>
      <c r="W1051" s="365">
        <f>IF($Q1051="ekrk",IF($R1051="data",IFERROR(INDEX(data!$A:$ALL,MATCH($M1051,data!$A:$A,0),MATCH(W$2,data!$1:$1,0)),"#data"),IFERROR(V1051*INDEX(indexy_SDcast!$A:$ALI,MATCH($R1051,indexy_SDcast!$K:$K,0),MATCH(W$2,indexy_SDcast!$2:$2,0)),"#ekrk")),"#popis")</f>
        <v>-30010.818817260963</v>
      </c>
      <c r="X1051" s="365">
        <f>IF($Q1051="ekrk",IF($R1051="data",IFERROR(INDEX(data!$A:$ALL,MATCH($M1051,data!$A:$A,0),MATCH(X$2,data!$1:$1,0)),"#data"),IFERROR(W1051*INDEX(indexy_SDcast!$A:$ALI,MATCH($R1051,indexy_SDcast!$K:$K,0),MATCH(X$2,indexy_SDcast!$2:$2,0)),"#ekrk")),"#popis")</f>
        <v>-30693.493258497554</v>
      </c>
      <c r="Y1051" s="362">
        <f>IF($Q1051="ekrk",IF($R1051="data",IFERROR(INDEX(data!$A:$ALL,MATCH($M1051,data!$A:$A,0),MATCH(Y$2,data!$1:$1,0)),"#data"),IFERROR(X1051*INDEX(indexy_SDcast!$A:$ALI,MATCH($R1051,indexy_SDcast!$K:$K,0),MATCH(Y$2,indexy_SDcast!$2:$2,0)),"#ekrk")),"#popis")</f>
        <v>-31416.427910589722</v>
      </c>
    </row>
    <row r="1052" spans="1:44" x14ac:dyDescent="0.25">
      <c r="A1052" s="330">
        <v>637023</v>
      </c>
      <c r="B1052" s="329">
        <v>-521.09090000000026</v>
      </c>
      <c r="C1052" s="157"/>
      <c r="D1052" s="330">
        <v>637023</v>
      </c>
      <c r="E1052" s="329">
        <v>-521.09090000000026</v>
      </c>
      <c r="F1052" s="157"/>
      <c r="G1052" s="330">
        <v>637023</v>
      </c>
      <c r="H1052" s="329">
        <v>-521.09090000000026</v>
      </c>
      <c r="I1052" s="157"/>
      <c r="J1052" s="330">
        <v>637023</v>
      </c>
      <c r="K1052" s="329">
        <v>-521.09090000000026</v>
      </c>
      <c r="L1052" s="157"/>
      <c r="M1052" s="360">
        <f t="shared" si="104"/>
        <v>637023</v>
      </c>
      <c r="N1052" s="237">
        <f t="shared" si="105"/>
        <v>-521.09090000000026</v>
      </c>
      <c r="O1052" s="361"/>
      <c r="P1052" s="361"/>
      <c r="Q1052" s="361" t="s">
        <v>698</v>
      </c>
      <c r="R1052" s="362">
        <f>IF(Q1052="ekrk",INDEX(indexy_SDcast!$A:$C,MATCH($M1052,indexy_SDcast!$A:$A,0),2),"")</f>
        <v>22</v>
      </c>
      <c r="S1052" s="236"/>
      <c r="T1052" s="364">
        <f t="shared" si="106"/>
        <v>637023</v>
      </c>
      <c r="U1052" s="365">
        <f>N1052</f>
        <v>-521.09090000000026</v>
      </c>
      <c r="V1052" s="365">
        <f>IF($Q1052="ekrk",IF($R1052="data",IFERROR(INDEX(data!$A:$ALL,MATCH($M1052,data!$A:$A,0),MATCH(V$2,data!$1:$1,0)),"#data"),IFERROR(U1052*INDEX(indexy_SDcast!$A:$ALI,MATCH($R1052,indexy_SDcast!$K:$K,0),MATCH(V$2,indexy_SDcast!$2:$2,0)),"#ekrk")),"#popis")</f>
        <v>-521.09090000000026</v>
      </c>
      <c r="W1052" s="365">
        <f>IF($Q1052="ekrk",IF($R1052="data",IFERROR(INDEX(data!$A:$ALL,MATCH($M1052,data!$A:$A,0),MATCH(W$2,data!$1:$1,0)),"#data"),IFERROR(V1052*INDEX(indexy_SDcast!$A:$ALI,MATCH($R1052,indexy_SDcast!$K:$K,0),MATCH(W$2,indexy_SDcast!$2:$2,0)),"#ekrk")),"#popis")</f>
        <v>-521.09090000000026</v>
      </c>
      <c r="X1052" s="365">
        <f>IF($Q1052="ekrk",IF($R1052="data",IFERROR(INDEX(data!$A:$ALL,MATCH($M1052,data!$A:$A,0),MATCH(X$2,data!$1:$1,0)),"#data"),IFERROR(W1052*INDEX(indexy_SDcast!$A:$ALI,MATCH($R1052,indexy_SDcast!$K:$K,0),MATCH(X$2,indexy_SDcast!$2:$2,0)),"#ekrk")),"#popis")</f>
        <v>-521.09090000000026</v>
      </c>
      <c r="Y1052" s="362">
        <f>IF($Q1052="ekrk",IF($R1052="data",IFERROR(INDEX(data!$A:$ALL,MATCH($M1052,data!$A:$A,0),MATCH(Y$2,data!$1:$1,0)),"#data"),IFERROR(X1052*INDEX(indexy_SDcast!$A:$ALI,MATCH($R1052,indexy_SDcast!$K:$K,0),MATCH(Y$2,indexy_SDcast!$2:$2,0)),"#ekrk")),"#popis")</f>
        <v>-521.09090000000026</v>
      </c>
    </row>
    <row r="1053" spans="1:44" x14ac:dyDescent="0.25">
      <c r="A1053" s="330">
        <v>637035</v>
      </c>
      <c r="B1053" s="329">
        <v>-32296.578709999972</v>
      </c>
      <c r="C1053" s="157"/>
      <c r="D1053" s="330">
        <v>637035</v>
      </c>
      <c r="E1053" s="329">
        <v>-32296.578709999972</v>
      </c>
      <c r="F1053" s="157"/>
      <c r="G1053" s="330">
        <v>637035</v>
      </c>
      <c r="H1053" s="329">
        <v>-32296.578709999972</v>
      </c>
      <c r="I1053" s="157"/>
      <c r="J1053" s="330">
        <v>637035</v>
      </c>
      <c r="K1053" s="329">
        <v>-32296.578709999972</v>
      </c>
      <c r="L1053" s="157"/>
      <c r="M1053" s="360">
        <f t="shared" si="104"/>
        <v>637035</v>
      </c>
      <c r="N1053" s="237">
        <f t="shared" si="105"/>
        <v>-32296.578709999972</v>
      </c>
      <c r="O1053" s="361"/>
      <c r="P1053" s="361"/>
      <c r="Q1053" s="361" t="s">
        <v>698</v>
      </c>
      <c r="R1053" s="362">
        <f>IF(Q1053="ekrk",INDEX(indexy_SDcast!$A:$C,MATCH($M1053,indexy_SDcast!$A:$A,0),2),"")</f>
        <v>25</v>
      </c>
      <c r="S1053" s="236"/>
      <c r="T1053" s="364">
        <f t="shared" si="106"/>
        <v>637035</v>
      </c>
      <c r="U1053" s="365">
        <f>N1053</f>
        <v>-32296.578709999972</v>
      </c>
      <c r="V1053" s="365">
        <f>IF($Q1053="ekrk",IF($R1053="data",IFERROR(INDEX(data!$A:$ALL,MATCH($M1053,data!$A:$A,0),MATCH(V$2,data!$1:$1,0)),"#data"),IFERROR(U1053*INDEX(indexy_SDcast!$A:$ALI,MATCH($R1053,indexy_SDcast!$K:$K,0),MATCH(V$2,indexy_SDcast!$2:$2,0)),"#ekrk")),"#popis")</f>
        <v>-32540.336960259261</v>
      </c>
      <c r="W1053" s="365">
        <f>IF($Q1053="ekrk",IF($R1053="data",IFERROR(INDEX(data!$A:$ALL,MATCH($M1053,data!$A:$A,0),MATCH(W$2,data!$1:$1,0)),"#data"),IFERROR(V1053*INDEX(indexy_SDcast!$A:$ALI,MATCH($R1053,indexy_SDcast!$K:$K,0),MATCH(W$2,indexy_SDcast!$2:$2,0)),"#ekrk")),"#popis")</f>
        <v>-33215.536925086482</v>
      </c>
      <c r="X1053" s="365">
        <f>IF($Q1053="ekrk",IF($R1053="data",IFERROR(INDEX(data!$A:$ALL,MATCH($M1053,data!$A:$A,0),MATCH(X$2,data!$1:$1,0)),"#data"),IFERROR(W1053*INDEX(indexy_SDcast!$A:$ALI,MATCH($R1053,indexy_SDcast!$K:$K,0),MATCH(X$2,indexy_SDcast!$2:$2,0)),"#ekrk")),"#popis")</f>
        <v>-33971.111048164552</v>
      </c>
      <c r="Y1053" s="362">
        <f>IF($Q1053="ekrk",IF($R1053="data",IFERROR(INDEX(data!$A:$ALL,MATCH($M1053,data!$A:$A,0),MATCH(Y$2,data!$1:$1,0)),"#data"),IFERROR(X1053*INDEX(indexy_SDcast!$A:$ALI,MATCH($R1053,indexy_SDcast!$K:$K,0),MATCH(Y$2,indexy_SDcast!$2:$2,0)),"#ekrk")),"#popis")</f>
        <v>-34771.244585913308</v>
      </c>
    </row>
    <row r="1054" spans="1:44" x14ac:dyDescent="0.25">
      <c r="A1054" s="330" t="s">
        <v>699</v>
      </c>
      <c r="B1054" s="329">
        <v>-5425</v>
      </c>
      <c r="C1054" s="157"/>
      <c r="D1054" s="348">
        <v>637035</v>
      </c>
      <c r="E1054" s="329">
        <v>-5425</v>
      </c>
      <c r="F1054" s="157"/>
      <c r="G1054" s="330"/>
      <c r="H1054" s="329"/>
      <c r="I1054" s="157"/>
      <c r="J1054" s="330"/>
      <c r="K1054" s="329"/>
      <c r="L1054" s="157"/>
      <c r="M1054" s="360">
        <f t="shared" si="104"/>
        <v>0</v>
      </c>
      <c r="N1054" s="237">
        <f t="shared" si="105"/>
        <v>0</v>
      </c>
      <c r="O1054" s="361"/>
      <c r="P1054" s="361"/>
      <c r="Q1054" s="361"/>
      <c r="R1054" s="362"/>
      <c r="S1054" s="236"/>
      <c r="T1054" s="364">
        <f t="shared" si="106"/>
        <v>0</v>
      </c>
      <c r="U1054" s="365"/>
      <c r="V1054" s="365"/>
      <c r="W1054" s="365"/>
      <c r="X1054" s="365"/>
      <c r="Y1054" s="362"/>
    </row>
    <row r="1055" spans="1:44" s="18" customFormat="1" x14ac:dyDescent="0.25">
      <c r="A1055" s="333" t="s">
        <v>707</v>
      </c>
      <c r="B1055" s="334">
        <v>769758.03702000005</v>
      </c>
      <c r="C1055" s="164"/>
      <c r="D1055" s="333" t="s">
        <v>707</v>
      </c>
      <c r="E1055" s="334">
        <v>769758.03702000005</v>
      </c>
      <c r="F1055" s="164"/>
      <c r="G1055" s="333" t="s">
        <v>707</v>
      </c>
      <c r="H1055" s="334">
        <v>769758.03702000005</v>
      </c>
      <c r="I1055" s="164"/>
      <c r="J1055" s="333" t="s">
        <v>707</v>
      </c>
      <c r="K1055" s="334">
        <f>H1055-H1068</f>
        <v>565786.07783000008</v>
      </c>
      <c r="L1055" s="164"/>
      <c r="M1055" s="358" t="str">
        <f t="shared" si="104"/>
        <v>D29REC</v>
      </c>
      <c r="N1055" s="239">
        <f t="shared" si="105"/>
        <v>565786.07783000008</v>
      </c>
      <c r="O1055" s="243"/>
      <c r="P1055" s="243">
        <f>MATCH(Q1055,Q1056:Q$1550,0)</f>
        <v>19</v>
      </c>
      <c r="Q1055" s="243" t="s">
        <v>697</v>
      </c>
      <c r="R1055" s="359" t="str">
        <f>IF(Q1055="ekrk",INDEX(indexy_SDcast!$A:$C,MATCH($M1055,indexy_SDcast!$A:$A,0),2),"")</f>
        <v/>
      </c>
      <c r="S1055" s="240"/>
      <c r="T1055" s="363" t="str">
        <f t="shared" si="106"/>
        <v>D29REC</v>
      </c>
      <c r="U1055" s="244">
        <f>SUM(U1056:U1073)</f>
        <v>565786.07783000008</v>
      </c>
      <c r="V1055" s="244">
        <f>SUM(V1056:V1073)</f>
        <v>569441.23643493757</v>
      </c>
      <c r="W1055" s="244">
        <f>SUM(W1056:W1073)</f>
        <v>574204.52545512014</v>
      </c>
      <c r="X1055" s="244">
        <f>SUM(X1056:X1073)</f>
        <v>579567.12989533274</v>
      </c>
      <c r="Y1055" s="359">
        <f>SUM(Y1056:Y1073)</f>
        <v>585563.30595366366</v>
      </c>
      <c r="Z1055" s="58"/>
      <c r="AA1055" s="58"/>
      <c r="AB1055" s="58"/>
      <c r="AC1055" s="58"/>
      <c r="AD1055" s="58"/>
      <c r="AE1055" s="58"/>
      <c r="AF1055" s="58"/>
      <c r="AG1055" s="58"/>
      <c r="AH1055" s="58"/>
      <c r="AI1055" s="58"/>
      <c r="AJ1055" s="58"/>
      <c r="AK1055" s="58"/>
      <c r="AL1055" s="58"/>
      <c r="AM1055" s="58"/>
      <c r="AN1055" s="58"/>
      <c r="AO1055" s="58"/>
      <c r="AP1055" s="58"/>
      <c r="AQ1055" s="58"/>
      <c r="AR1055" s="58"/>
    </row>
    <row r="1056" spans="1:44" x14ac:dyDescent="0.25">
      <c r="A1056" s="330">
        <v>121001</v>
      </c>
      <c r="B1056" s="329">
        <v>54840.97027999998</v>
      </c>
      <c r="C1056" s="157"/>
      <c r="D1056" s="330">
        <v>121001</v>
      </c>
      <c r="E1056" s="329">
        <v>54840.97027999998</v>
      </c>
      <c r="F1056" s="157"/>
      <c r="G1056" s="330">
        <v>121001</v>
      </c>
      <c r="H1056" s="329">
        <v>54840.97027999998</v>
      </c>
      <c r="I1056" s="157"/>
      <c r="J1056" s="330">
        <v>121001</v>
      </c>
      <c r="K1056" s="329">
        <v>54840.97027999998</v>
      </c>
      <c r="L1056" s="157"/>
      <c r="M1056" s="360">
        <f t="shared" si="104"/>
        <v>121001</v>
      </c>
      <c r="N1056" s="237">
        <f t="shared" si="105"/>
        <v>54840.97027999998</v>
      </c>
      <c r="O1056" s="361"/>
      <c r="P1056" s="361"/>
      <c r="Q1056" s="361" t="s">
        <v>698</v>
      </c>
      <c r="R1056" s="362">
        <f>IF(Q1056="ekrk",INDEX(indexy_SDcast!$A:$C,MATCH($M1056,indexy_SDcast!$A:$A,0),2),"")</f>
        <v>22</v>
      </c>
      <c r="S1056" s="236"/>
      <c r="T1056" s="364">
        <f t="shared" si="106"/>
        <v>121001</v>
      </c>
      <c r="U1056" s="365">
        <f t="shared" ref="U1056:U1073" si="107">N1056</f>
        <v>54840.97027999998</v>
      </c>
      <c r="V1056" s="365">
        <f>IF($Q1056="ekrk",IF($R1056="data",IFERROR(INDEX(data!$A:$ALL,MATCH($M1056,data!$A:$A,0),MATCH(V$2,data!$1:$1,0)),"#data"),IFERROR(U1056*INDEX(indexy_SDcast!$A:$ALI,MATCH($R1056,indexy_SDcast!$K:$K,0),MATCH(V$2,indexy_SDcast!$2:$2,0)),"#ekrk")),"#popis")</f>
        <v>54840.97027999998</v>
      </c>
      <c r="W1056" s="365">
        <f>IF($Q1056="ekrk",IF($R1056="data",IFERROR(INDEX(data!$A:$ALL,MATCH($M1056,data!$A:$A,0),MATCH(W$2,data!$1:$1,0)),"#data"),IFERROR(V1056*INDEX(indexy_SDcast!$A:$ALI,MATCH($R1056,indexy_SDcast!$K:$K,0),MATCH(W$2,indexy_SDcast!$2:$2,0)),"#ekrk")),"#popis")</f>
        <v>54840.97027999998</v>
      </c>
      <c r="X1056" s="365">
        <f>IF($Q1056="ekrk",IF($R1056="data",IFERROR(INDEX(data!$A:$ALL,MATCH($M1056,data!$A:$A,0),MATCH(X$2,data!$1:$1,0)),"#data"),IFERROR(W1056*INDEX(indexy_SDcast!$A:$ALI,MATCH($R1056,indexy_SDcast!$K:$K,0),MATCH(X$2,indexy_SDcast!$2:$2,0)),"#ekrk")),"#popis")</f>
        <v>54840.97027999998</v>
      </c>
      <c r="Y1056" s="362">
        <f>IF($Q1056="ekrk",IF($R1056="data",IFERROR(INDEX(data!$A:$ALL,MATCH($M1056,data!$A:$A,0),MATCH(Y$2,data!$1:$1,0)),"#data"),IFERROR(X1056*INDEX(indexy_SDcast!$A:$ALI,MATCH($R1056,indexy_SDcast!$K:$K,0),MATCH(Y$2,indexy_SDcast!$2:$2,0)),"#ekrk")),"#popis")</f>
        <v>54840.97027999998</v>
      </c>
    </row>
    <row r="1057" spans="1:25" x14ac:dyDescent="0.25">
      <c r="A1057" s="330">
        <v>121002</v>
      </c>
      <c r="B1057" s="329">
        <v>146358.52824000007</v>
      </c>
      <c r="C1057" s="157"/>
      <c r="D1057" s="330">
        <v>121002</v>
      </c>
      <c r="E1057" s="329">
        <v>146358.52824000007</v>
      </c>
      <c r="F1057" s="157"/>
      <c r="G1057" s="330">
        <v>121002</v>
      </c>
      <c r="H1057" s="329">
        <v>146358.52824000007</v>
      </c>
      <c r="I1057" s="157"/>
      <c r="J1057" s="330">
        <v>121002</v>
      </c>
      <c r="K1057" s="329">
        <v>146358.52824000007</v>
      </c>
      <c r="L1057" s="157"/>
      <c r="M1057" s="360">
        <f t="shared" si="104"/>
        <v>121002</v>
      </c>
      <c r="N1057" s="237">
        <f t="shared" si="105"/>
        <v>146358.52824000007</v>
      </c>
      <c r="O1057" s="361"/>
      <c r="P1057" s="361"/>
      <c r="Q1057" s="361" t="s">
        <v>698</v>
      </c>
      <c r="R1057" s="362">
        <f>IF(Q1057="ekrk",INDEX(indexy_SDcast!$A:$C,MATCH($M1057,indexy_SDcast!$A:$A,0),2),"")</f>
        <v>22</v>
      </c>
      <c r="S1057" s="236"/>
      <c r="T1057" s="364">
        <f t="shared" si="106"/>
        <v>121002</v>
      </c>
      <c r="U1057" s="365">
        <f t="shared" si="107"/>
        <v>146358.52824000007</v>
      </c>
      <c r="V1057" s="365">
        <f>IF($Q1057="ekrk",IF($R1057="data",IFERROR(INDEX(data!$A:$ALL,MATCH($M1057,data!$A:$A,0),MATCH(V$2,data!$1:$1,0)),"#data"),IFERROR(U1057*INDEX(indexy_SDcast!$A:$ALI,MATCH($R1057,indexy_SDcast!$K:$K,0),MATCH(V$2,indexy_SDcast!$2:$2,0)),"#ekrk")),"#popis")</f>
        <v>146358.52824000007</v>
      </c>
      <c r="W1057" s="365">
        <f>IF($Q1057="ekrk",IF($R1057="data",IFERROR(INDEX(data!$A:$ALL,MATCH($M1057,data!$A:$A,0),MATCH(W$2,data!$1:$1,0)),"#data"),IFERROR(V1057*INDEX(indexy_SDcast!$A:$ALI,MATCH($R1057,indexy_SDcast!$K:$K,0),MATCH(W$2,indexy_SDcast!$2:$2,0)),"#ekrk")),"#popis")</f>
        <v>146358.52824000007</v>
      </c>
      <c r="X1057" s="365">
        <f>IF($Q1057="ekrk",IF($R1057="data",IFERROR(INDEX(data!$A:$ALL,MATCH($M1057,data!$A:$A,0),MATCH(X$2,data!$1:$1,0)),"#data"),IFERROR(W1057*INDEX(indexy_SDcast!$A:$ALI,MATCH($R1057,indexy_SDcast!$K:$K,0),MATCH(X$2,indexy_SDcast!$2:$2,0)),"#ekrk")),"#popis")</f>
        <v>146358.52824000007</v>
      </c>
      <c r="Y1057" s="362">
        <f>IF($Q1057="ekrk",IF($R1057="data",IFERROR(INDEX(data!$A:$ALL,MATCH($M1057,data!$A:$A,0),MATCH(Y$2,data!$1:$1,0)),"#data"),IFERROR(X1057*INDEX(indexy_SDcast!$A:$ALI,MATCH($R1057,indexy_SDcast!$K:$K,0),MATCH(Y$2,indexy_SDcast!$2:$2,0)),"#ekrk")),"#popis")</f>
        <v>146358.52824000007</v>
      </c>
    </row>
    <row r="1058" spans="1:25" x14ac:dyDescent="0.25">
      <c r="A1058" s="330">
        <v>121003</v>
      </c>
      <c r="B1058" s="329">
        <v>11049.999399999997</v>
      </c>
      <c r="C1058" s="157"/>
      <c r="D1058" s="330">
        <v>121003</v>
      </c>
      <c r="E1058" s="329">
        <v>11049.999399999997</v>
      </c>
      <c r="F1058" s="157"/>
      <c r="G1058" s="330">
        <v>121003</v>
      </c>
      <c r="H1058" s="329">
        <v>11049.999399999997</v>
      </c>
      <c r="I1058" s="157"/>
      <c r="J1058" s="330">
        <v>121003</v>
      </c>
      <c r="K1058" s="329">
        <v>11049.999399999997</v>
      </c>
      <c r="L1058" s="157"/>
      <c r="M1058" s="360">
        <f t="shared" si="104"/>
        <v>121003</v>
      </c>
      <c r="N1058" s="237">
        <f t="shared" si="105"/>
        <v>11049.999399999997</v>
      </c>
      <c r="O1058" s="361"/>
      <c r="P1058" s="361"/>
      <c r="Q1058" s="361" t="s">
        <v>698</v>
      </c>
      <c r="R1058" s="362">
        <f>IF(Q1058="ekrk",INDEX(indexy_SDcast!$A:$C,MATCH($M1058,indexy_SDcast!$A:$A,0),2),"")</f>
        <v>32</v>
      </c>
      <c r="S1058" s="236"/>
      <c r="T1058" s="364">
        <f t="shared" si="106"/>
        <v>121003</v>
      </c>
      <c r="U1058" s="365">
        <f t="shared" si="107"/>
        <v>11049.999399999997</v>
      </c>
      <c r="V1058" s="365">
        <f>IF($Q1058="ekrk",IF($R1058="data",IFERROR(INDEX(data!$A:$ALL,MATCH($M1058,data!$A:$A,0),MATCH(V$2,data!$1:$1,0)),"#data"),IFERROR(U1058*INDEX(indexy_SDcast!$A:$ALI,MATCH($R1058,indexy_SDcast!$K:$K,0),MATCH(V$2,indexy_SDcast!$2:$2,0)),"#ekrk")),"#popis")</f>
        <v>11234.181862344749</v>
      </c>
      <c r="W1058" s="365">
        <f>IF($Q1058="ekrk",IF($R1058="data",IFERROR(INDEX(data!$A:$ALL,MATCH($M1058,data!$A:$A,0),MATCH(W$2,data!$1:$1,0)),"#data"),IFERROR(V1058*INDEX(indexy_SDcast!$A:$ALI,MATCH($R1058,indexy_SDcast!$K:$K,0),MATCH(W$2,indexy_SDcast!$2:$2,0)),"#ekrk")),"#popis")</f>
        <v>11464.912871452849</v>
      </c>
      <c r="X1058" s="365">
        <f>IF($Q1058="ekrk",IF($R1058="data",IFERROR(INDEX(data!$A:$ALL,MATCH($M1058,data!$A:$A,0),MATCH(X$2,data!$1:$1,0)),"#data"),IFERROR(W1058*INDEX(indexy_SDcast!$A:$ALI,MATCH($R1058,indexy_SDcast!$K:$K,0),MATCH(X$2,indexy_SDcast!$2:$2,0)),"#ekrk")),"#popis")</f>
        <v>11790.400044438204</v>
      </c>
      <c r="Y1058" s="362">
        <f>IF($Q1058="ekrk",IF($R1058="data",IFERROR(INDEX(data!$A:$ALL,MATCH($M1058,data!$A:$A,0),MATCH(Y$2,data!$1:$1,0)),"#data"),IFERROR(X1058*INDEX(indexy_SDcast!$A:$ALI,MATCH($R1058,indexy_SDcast!$K:$K,0),MATCH(Y$2,indexy_SDcast!$2:$2,0)),"#ekrk")),"#popis")</f>
        <v>12168.475550352579</v>
      </c>
    </row>
    <row r="1059" spans="1:25" x14ac:dyDescent="0.25">
      <c r="A1059" s="330">
        <v>133001</v>
      </c>
      <c r="B1059" s="329">
        <v>3168.023890000004</v>
      </c>
      <c r="C1059" s="157"/>
      <c r="D1059" s="330">
        <v>133001</v>
      </c>
      <c r="E1059" s="329">
        <v>3168.023890000004</v>
      </c>
      <c r="F1059" s="157"/>
      <c r="G1059" s="330">
        <v>133001</v>
      </c>
      <c r="H1059" s="329">
        <v>3168.023890000004</v>
      </c>
      <c r="I1059" s="157"/>
      <c r="J1059" s="330">
        <v>133001</v>
      </c>
      <c r="K1059" s="329">
        <v>3168.023890000004</v>
      </c>
      <c r="L1059" s="157"/>
      <c r="M1059" s="360">
        <f t="shared" si="104"/>
        <v>133001</v>
      </c>
      <c r="N1059" s="237">
        <f t="shared" si="105"/>
        <v>3168.023890000004</v>
      </c>
      <c r="O1059" s="361"/>
      <c r="P1059" s="361"/>
      <c r="Q1059" s="361" t="s">
        <v>698</v>
      </c>
      <c r="R1059" s="362">
        <f>IF(Q1059="ekrk",INDEX(indexy_SDcast!$A:$C,MATCH($M1059,indexy_SDcast!$A:$A,0),2),"")</f>
        <v>33</v>
      </c>
      <c r="S1059" s="236"/>
      <c r="T1059" s="364">
        <f t="shared" si="106"/>
        <v>133001</v>
      </c>
      <c r="U1059" s="365">
        <f t="shared" si="107"/>
        <v>3168.023890000004</v>
      </c>
      <c r="V1059" s="365">
        <f>IF($Q1059="ekrk",IF($R1059="data",IFERROR(INDEX(data!$A:$ALL,MATCH($M1059,data!$A:$A,0),MATCH(V$2,data!$1:$1,0)),"#data"),IFERROR(U1059*INDEX(indexy_SDcast!$A:$ALI,MATCH($R1059,indexy_SDcast!$K:$K,0),MATCH(V$2,indexy_SDcast!$2:$2,0)),"#ekrk")),"#popis")</f>
        <v>3211.1200424408912</v>
      </c>
      <c r="W1059" s="365">
        <f>IF($Q1059="ekrk",IF($R1059="data",IFERROR(INDEX(data!$A:$ALL,MATCH($M1059,data!$A:$A,0),MATCH(W$2,data!$1:$1,0)),"#data"),IFERROR(V1059*INDEX(indexy_SDcast!$A:$ALI,MATCH($R1059,indexy_SDcast!$K:$K,0),MATCH(W$2,indexy_SDcast!$2:$2,0)),"#ekrk")),"#popis")</f>
        <v>3283.6383170412009</v>
      </c>
      <c r="X1059" s="365">
        <f>IF($Q1059="ekrk",IF($R1059="data",IFERROR(INDEX(data!$A:$ALL,MATCH($M1059,data!$A:$A,0),MATCH(X$2,data!$1:$1,0)),"#data"),IFERROR(W1059*INDEX(indexy_SDcast!$A:$ALI,MATCH($R1059,indexy_SDcast!$K:$K,0),MATCH(X$2,indexy_SDcast!$2:$2,0)),"#ekrk")),"#popis")</f>
        <v>3358.4793452647709</v>
      </c>
      <c r="Y1059" s="362">
        <f>IF($Q1059="ekrk",IF($R1059="data",IFERROR(INDEX(data!$A:$ALL,MATCH($M1059,data!$A:$A,0),MATCH(Y$2,data!$1:$1,0)),"#data"),IFERROR(X1059*INDEX(indexy_SDcast!$A:$ALI,MATCH($R1059,indexy_SDcast!$K:$K,0),MATCH(Y$2,indexy_SDcast!$2:$2,0)),"#ekrk")),"#popis")</f>
        <v>3450.1398733831429</v>
      </c>
    </row>
    <row r="1060" spans="1:25" x14ac:dyDescent="0.25">
      <c r="A1060" s="330">
        <v>133005</v>
      </c>
      <c r="B1060" s="329">
        <v>188.39183</v>
      </c>
      <c r="C1060" s="157"/>
      <c r="D1060" s="330">
        <v>133005</v>
      </c>
      <c r="E1060" s="329">
        <v>188.39183</v>
      </c>
      <c r="F1060" s="157"/>
      <c r="G1060" s="330">
        <v>133005</v>
      </c>
      <c r="H1060" s="329">
        <v>188.39183</v>
      </c>
      <c r="I1060" s="157"/>
      <c r="J1060" s="330">
        <v>133005</v>
      </c>
      <c r="K1060" s="329">
        <v>188.39183</v>
      </c>
      <c r="L1060" s="157"/>
      <c r="M1060" s="360">
        <f t="shared" si="104"/>
        <v>133005</v>
      </c>
      <c r="N1060" s="237">
        <f t="shared" si="105"/>
        <v>188.39183</v>
      </c>
      <c r="O1060" s="361"/>
      <c r="P1060" s="361"/>
      <c r="Q1060" s="361" t="s">
        <v>698</v>
      </c>
      <c r="R1060" s="362">
        <f>IF(Q1060="ekrk",INDEX(indexy_SDcast!$A:$C,MATCH($M1060,indexy_SDcast!$A:$A,0),2),"")</f>
        <v>33</v>
      </c>
      <c r="S1060" s="236"/>
      <c r="T1060" s="364">
        <f t="shared" si="106"/>
        <v>133005</v>
      </c>
      <c r="U1060" s="365">
        <f t="shared" si="107"/>
        <v>188.39183</v>
      </c>
      <c r="V1060" s="365">
        <f>IF($Q1060="ekrk",IF($R1060="data",IFERROR(INDEX(data!$A:$ALL,MATCH($M1060,data!$A:$A,0),MATCH(V$2,data!$1:$1,0)),"#data"),IFERROR(U1060*INDEX(indexy_SDcast!$A:$ALI,MATCH($R1060,indexy_SDcast!$K:$K,0),MATCH(V$2,indexy_SDcast!$2:$2,0)),"#ekrk")),"#popis")</f>
        <v>190.95461465889275</v>
      </c>
      <c r="W1060" s="365">
        <f>IF($Q1060="ekrk",IF($R1060="data",IFERROR(INDEX(data!$A:$ALL,MATCH($M1060,data!$A:$A,0),MATCH(W$2,data!$1:$1,0)),"#data"),IFERROR(V1060*INDEX(indexy_SDcast!$A:$ALI,MATCH($R1060,indexy_SDcast!$K:$K,0),MATCH(W$2,indexy_SDcast!$2:$2,0)),"#ekrk")),"#popis")</f>
        <v>195.26703493562079</v>
      </c>
      <c r="X1060" s="365">
        <f>IF($Q1060="ekrk",IF($R1060="data",IFERROR(INDEX(data!$A:$ALL,MATCH($M1060,data!$A:$A,0),MATCH(X$2,data!$1:$1,0)),"#data"),IFERROR(W1060*INDEX(indexy_SDcast!$A:$ALI,MATCH($R1060,indexy_SDcast!$K:$K,0),MATCH(X$2,indexy_SDcast!$2:$2,0)),"#ekrk")),"#popis")</f>
        <v>199.717581634661</v>
      </c>
      <c r="Y1060" s="362">
        <f>IF($Q1060="ekrk",IF($R1060="data",IFERROR(INDEX(data!$A:$ALL,MATCH($M1060,data!$A:$A,0),MATCH(Y$2,data!$1:$1,0)),"#data"),IFERROR(X1060*INDEX(indexy_SDcast!$A:$ALI,MATCH($R1060,indexy_SDcast!$K:$K,0),MATCH(Y$2,indexy_SDcast!$2:$2,0)),"#ekrk")),"#popis")</f>
        <v>205.16832797703992</v>
      </c>
    </row>
    <row r="1061" spans="1:25" x14ac:dyDescent="0.25">
      <c r="A1061" s="330">
        <v>133012</v>
      </c>
      <c r="B1061" s="329">
        <v>10401.690950000004</v>
      </c>
      <c r="C1061" s="157"/>
      <c r="D1061" s="330">
        <v>133012</v>
      </c>
      <c r="E1061" s="329">
        <v>10401.690950000004</v>
      </c>
      <c r="F1061" s="157"/>
      <c r="G1061" s="330">
        <v>133012</v>
      </c>
      <c r="H1061" s="329">
        <v>10401.690950000004</v>
      </c>
      <c r="I1061" s="157"/>
      <c r="J1061" s="330">
        <v>133012</v>
      </c>
      <c r="K1061" s="329">
        <v>10401.690950000004</v>
      </c>
      <c r="L1061" s="157"/>
      <c r="M1061" s="360">
        <f t="shared" si="104"/>
        <v>133012</v>
      </c>
      <c r="N1061" s="237">
        <f t="shared" si="105"/>
        <v>10401.690950000004</v>
      </c>
      <c r="O1061" s="361"/>
      <c r="P1061" s="361"/>
      <c r="Q1061" s="361" t="s">
        <v>698</v>
      </c>
      <c r="R1061" s="362">
        <f>IF(Q1061="ekrk",INDEX(indexy_SDcast!$A:$C,MATCH($M1061,indexy_SDcast!$A:$A,0),2),"")</f>
        <v>22</v>
      </c>
      <c r="S1061" s="236"/>
      <c r="T1061" s="364">
        <f t="shared" si="106"/>
        <v>133012</v>
      </c>
      <c r="U1061" s="365">
        <f t="shared" si="107"/>
        <v>10401.690950000004</v>
      </c>
      <c r="V1061" s="365">
        <f>IF($Q1061="ekrk",IF($R1061="data",IFERROR(INDEX(data!$A:$ALL,MATCH($M1061,data!$A:$A,0),MATCH(V$2,data!$1:$1,0)),"#data"),IFERROR(U1061*INDEX(indexy_SDcast!$A:$ALI,MATCH($R1061,indexy_SDcast!$K:$K,0),MATCH(V$2,indexy_SDcast!$2:$2,0)),"#ekrk")),"#popis")</f>
        <v>10401.690950000004</v>
      </c>
      <c r="W1061" s="365">
        <f>IF($Q1061="ekrk",IF($R1061="data",IFERROR(INDEX(data!$A:$ALL,MATCH($M1061,data!$A:$A,0),MATCH(W$2,data!$1:$1,0)),"#data"),IFERROR(V1061*INDEX(indexy_SDcast!$A:$ALI,MATCH($R1061,indexy_SDcast!$K:$K,0),MATCH(W$2,indexy_SDcast!$2:$2,0)),"#ekrk")),"#popis")</f>
        <v>10401.690950000004</v>
      </c>
      <c r="X1061" s="365">
        <f>IF($Q1061="ekrk",IF($R1061="data",IFERROR(INDEX(data!$A:$ALL,MATCH($M1061,data!$A:$A,0),MATCH(X$2,data!$1:$1,0)),"#data"),IFERROR(W1061*INDEX(indexy_SDcast!$A:$ALI,MATCH($R1061,indexy_SDcast!$K:$K,0),MATCH(X$2,indexy_SDcast!$2:$2,0)),"#ekrk")),"#popis")</f>
        <v>10401.690950000004</v>
      </c>
      <c r="Y1061" s="362">
        <f>IF($Q1061="ekrk",IF($R1061="data",IFERROR(INDEX(data!$A:$ALL,MATCH($M1061,data!$A:$A,0),MATCH(Y$2,data!$1:$1,0)),"#data"),IFERROR(X1061*INDEX(indexy_SDcast!$A:$ALI,MATCH($R1061,indexy_SDcast!$K:$K,0),MATCH(Y$2,indexy_SDcast!$2:$2,0)),"#ekrk")),"#popis")</f>
        <v>10401.690950000004</v>
      </c>
    </row>
    <row r="1062" spans="1:25" x14ac:dyDescent="0.25">
      <c r="A1062" s="330">
        <v>133014</v>
      </c>
      <c r="B1062" s="329">
        <v>3873.0210699999975</v>
      </c>
      <c r="C1062" s="157"/>
      <c r="D1062" s="330">
        <v>133014</v>
      </c>
      <c r="E1062" s="329">
        <v>3873.0210699999975</v>
      </c>
      <c r="F1062" s="157"/>
      <c r="G1062" s="330">
        <v>133014</v>
      </c>
      <c r="H1062" s="329">
        <v>3873.0210699999975</v>
      </c>
      <c r="I1062" s="157"/>
      <c r="J1062" s="330">
        <v>133014</v>
      </c>
      <c r="K1062" s="329">
        <v>3873.0210699999975</v>
      </c>
      <c r="L1062" s="157"/>
      <c r="M1062" s="360">
        <f t="shared" si="104"/>
        <v>133014</v>
      </c>
      <c r="N1062" s="237">
        <f t="shared" si="105"/>
        <v>3873.0210699999975</v>
      </c>
      <c r="O1062" s="361"/>
      <c r="P1062" s="361"/>
      <c r="Q1062" s="361" t="s">
        <v>698</v>
      </c>
      <c r="R1062" s="362">
        <f>IF(Q1062="ekrk",INDEX(indexy_SDcast!$A:$C,MATCH($M1062,indexy_SDcast!$A:$A,0),2),"")</f>
        <v>22</v>
      </c>
      <c r="S1062" s="236"/>
      <c r="T1062" s="364">
        <f t="shared" si="106"/>
        <v>133014</v>
      </c>
      <c r="U1062" s="365">
        <f t="shared" si="107"/>
        <v>3873.0210699999975</v>
      </c>
      <c r="V1062" s="365">
        <f>IF($Q1062="ekrk",IF($R1062="data",IFERROR(INDEX(data!$A:$ALL,MATCH($M1062,data!$A:$A,0),MATCH(V$2,data!$1:$1,0)),"#data"),IFERROR(U1062*INDEX(indexy_SDcast!$A:$ALI,MATCH($R1062,indexy_SDcast!$K:$K,0),MATCH(V$2,indexy_SDcast!$2:$2,0)),"#ekrk")),"#popis")</f>
        <v>3873.0210699999975</v>
      </c>
      <c r="W1062" s="365">
        <f>IF($Q1062="ekrk",IF($R1062="data",IFERROR(INDEX(data!$A:$ALL,MATCH($M1062,data!$A:$A,0),MATCH(W$2,data!$1:$1,0)),"#data"),IFERROR(V1062*INDEX(indexy_SDcast!$A:$ALI,MATCH($R1062,indexy_SDcast!$K:$K,0),MATCH(W$2,indexy_SDcast!$2:$2,0)),"#ekrk")),"#popis")</f>
        <v>3873.0210699999975</v>
      </c>
      <c r="X1062" s="365">
        <f>IF($Q1062="ekrk",IF($R1062="data",IFERROR(INDEX(data!$A:$ALL,MATCH($M1062,data!$A:$A,0),MATCH(X$2,data!$1:$1,0)),"#data"),IFERROR(W1062*INDEX(indexy_SDcast!$A:$ALI,MATCH($R1062,indexy_SDcast!$K:$K,0),MATCH(X$2,indexy_SDcast!$2:$2,0)),"#ekrk")),"#popis")</f>
        <v>3873.0210699999975</v>
      </c>
      <c r="Y1062" s="362">
        <f>IF($Q1062="ekrk",IF($R1062="data",IFERROR(INDEX(data!$A:$ALL,MATCH($M1062,data!$A:$A,0),MATCH(Y$2,data!$1:$1,0)),"#data"),IFERROR(X1062*INDEX(indexy_SDcast!$A:$ALI,MATCH($R1062,indexy_SDcast!$K:$K,0),MATCH(Y$2,indexy_SDcast!$2:$2,0)),"#ekrk")),"#popis")</f>
        <v>3873.0210699999975</v>
      </c>
    </row>
    <row r="1063" spans="1:25" x14ac:dyDescent="0.25">
      <c r="A1063" s="330">
        <v>134001</v>
      </c>
      <c r="B1063" s="329">
        <v>549.44185999999968</v>
      </c>
      <c r="C1063" s="157"/>
      <c r="D1063" s="330">
        <v>134001</v>
      </c>
      <c r="E1063" s="329">
        <v>549.44185999999968</v>
      </c>
      <c r="F1063" s="157"/>
      <c r="G1063" s="330">
        <v>134001</v>
      </c>
      <c r="H1063" s="329">
        <v>549.44185999999968</v>
      </c>
      <c r="I1063" s="157"/>
      <c r="J1063" s="330">
        <v>134001</v>
      </c>
      <c r="K1063" s="329">
        <v>549.44185999999968</v>
      </c>
      <c r="L1063" s="157"/>
      <c r="M1063" s="360">
        <f t="shared" si="104"/>
        <v>134001</v>
      </c>
      <c r="N1063" s="237">
        <f t="shared" si="105"/>
        <v>549.44185999999968</v>
      </c>
      <c r="O1063" s="361"/>
      <c r="P1063" s="361"/>
      <c r="Q1063" s="361" t="s">
        <v>698</v>
      </c>
      <c r="R1063" s="362">
        <f>IF(Q1063="ekrk",INDEX(indexy_SDcast!$A:$C,MATCH($M1063,indexy_SDcast!$A:$A,0),2),"")</f>
        <v>22</v>
      </c>
      <c r="S1063" s="236"/>
      <c r="T1063" s="364">
        <f t="shared" si="106"/>
        <v>134001</v>
      </c>
      <c r="U1063" s="365">
        <f t="shared" si="107"/>
        <v>549.44185999999968</v>
      </c>
      <c r="V1063" s="365">
        <f>IF($Q1063="ekrk",IF($R1063="data",IFERROR(INDEX(data!$A:$ALL,MATCH($M1063,data!$A:$A,0),MATCH(V$2,data!$1:$1,0)),"#data"),IFERROR(U1063*INDEX(indexy_SDcast!$A:$ALI,MATCH($R1063,indexy_SDcast!$K:$K,0),MATCH(V$2,indexy_SDcast!$2:$2,0)),"#ekrk")),"#popis")</f>
        <v>549.44185999999968</v>
      </c>
      <c r="W1063" s="365">
        <f>IF($Q1063="ekrk",IF($R1063="data",IFERROR(INDEX(data!$A:$ALL,MATCH($M1063,data!$A:$A,0),MATCH(W$2,data!$1:$1,0)),"#data"),IFERROR(V1063*INDEX(indexy_SDcast!$A:$ALI,MATCH($R1063,indexy_SDcast!$K:$K,0),MATCH(W$2,indexy_SDcast!$2:$2,0)),"#ekrk")),"#popis")</f>
        <v>549.44185999999968</v>
      </c>
      <c r="X1063" s="365">
        <f>IF($Q1063="ekrk",IF($R1063="data",IFERROR(INDEX(data!$A:$ALL,MATCH($M1063,data!$A:$A,0),MATCH(X$2,data!$1:$1,0)),"#data"),IFERROR(W1063*INDEX(indexy_SDcast!$A:$ALI,MATCH($R1063,indexy_SDcast!$K:$K,0),MATCH(X$2,indexy_SDcast!$2:$2,0)),"#ekrk")),"#popis")</f>
        <v>549.44185999999968</v>
      </c>
      <c r="Y1063" s="362">
        <f>IF($Q1063="ekrk",IF($R1063="data",IFERROR(INDEX(data!$A:$ALL,MATCH($M1063,data!$A:$A,0),MATCH(Y$2,data!$1:$1,0)),"#data"),IFERROR(X1063*INDEX(indexy_SDcast!$A:$ALI,MATCH($R1063,indexy_SDcast!$K:$K,0),MATCH(Y$2,indexy_SDcast!$2:$2,0)),"#ekrk")),"#popis")</f>
        <v>549.44185999999968</v>
      </c>
    </row>
    <row r="1064" spans="1:25" x14ac:dyDescent="0.25">
      <c r="A1064" s="330">
        <v>134002</v>
      </c>
      <c r="B1064" s="329">
        <v>144597.29751</v>
      </c>
      <c r="C1064" s="157"/>
      <c r="D1064" s="330">
        <v>134002</v>
      </c>
      <c r="E1064" s="329">
        <v>144597.29751</v>
      </c>
      <c r="F1064" s="157"/>
      <c r="G1064" s="330">
        <v>134002</v>
      </c>
      <c r="H1064" s="329">
        <v>144597.29751</v>
      </c>
      <c r="I1064" s="157"/>
      <c r="J1064" s="330">
        <v>134002</v>
      </c>
      <c r="K1064" s="329">
        <v>144597.29751</v>
      </c>
      <c r="L1064" s="157"/>
      <c r="M1064" s="360">
        <f t="shared" si="104"/>
        <v>134002</v>
      </c>
      <c r="N1064" s="237">
        <f t="shared" si="105"/>
        <v>144597.29751</v>
      </c>
      <c r="O1064" s="361"/>
      <c r="P1064" s="361"/>
      <c r="Q1064" s="361" t="s">
        <v>698</v>
      </c>
      <c r="R1064" s="362">
        <f>IF(Q1064="ekrk",INDEX(indexy_SDcast!$A:$C,MATCH($M1064,indexy_SDcast!$A:$A,0),2),"")</f>
        <v>31</v>
      </c>
      <c r="S1064" s="236"/>
      <c r="T1064" s="364">
        <f t="shared" si="106"/>
        <v>134002</v>
      </c>
      <c r="U1064" s="365">
        <f t="shared" si="107"/>
        <v>144597.29751</v>
      </c>
      <c r="V1064" s="365">
        <f>IF($Q1064="ekrk",IF($R1064="data",IFERROR(INDEX(data!$A:$ALL,MATCH($M1064,data!$A:$A,0),MATCH(V$2,data!$1:$1,0)),"#data"),IFERROR(U1064*INDEX(indexy_SDcast!$A:$ALI,MATCH($R1064,indexy_SDcast!$K:$K,0),MATCH(V$2,indexy_SDcast!$2:$2,0)),"#ekrk")),"#popis")</f>
        <v>147991.2826432602</v>
      </c>
      <c r="W1064" s="365">
        <f>IF($Q1064="ekrk",IF($R1064="data",IFERROR(INDEX(data!$A:$ALL,MATCH($M1064,data!$A:$A,0),MATCH(W$2,data!$1:$1,0)),"#data"),IFERROR(V1064*INDEX(indexy_SDcast!$A:$ALI,MATCH($R1064,indexy_SDcast!$K:$K,0),MATCH(W$2,indexy_SDcast!$2:$2,0)),"#ekrk")),"#popis")</f>
        <v>152384.15784465621</v>
      </c>
      <c r="X1064" s="365">
        <f>IF($Q1064="ekrk",IF($R1064="data",IFERROR(INDEX(data!$A:$ALL,MATCH($M1064,data!$A:$A,0),MATCH(X$2,data!$1:$1,0)),"#data"),IFERROR(W1064*INDEX(indexy_SDcast!$A:$ALI,MATCH($R1064,indexy_SDcast!$K:$K,0),MATCH(X$2,indexy_SDcast!$2:$2,0)),"#ekrk")),"#popis")</f>
        <v>157265.52270593916</v>
      </c>
      <c r="Y1064" s="362">
        <f>IF($Q1064="ekrk",IF($R1064="data",IFERROR(INDEX(data!$A:$ALL,MATCH($M1064,data!$A:$A,0),MATCH(Y$2,data!$1:$1,0)),"#data"),IFERROR(X1064*INDEX(indexy_SDcast!$A:$ALI,MATCH($R1064,indexy_SDcast!$K:$K,0),MATCH(Y$2,indexy_SDcast!$2:$2,0)),"#ekrk")),"#popis")</f>
        <v>162689.31601566376</v>
      </c>
    </row>
    <row r="1065" spans="1:25" x14ac:dyDescent="0.25">
      <c r="A1065" s="330">
        <v>134004</v>
      </c>
      <c r="B1065" s="329">
        <v>836.14588000000003</v>
      </c>
      <c r="C1065" s="157"/>
      <c r="D1065" s="330">
        <v>134004</v>
      </c>
      <c r="E1065" s="329">
        <v>836.14588000000003</v>
      </c>
      <c r="F1065" s="157"/>
      <c r="G1065" s="330">
        <v>134004</v>
      </c>
      <c r="H1065" s="329">
        <v>836.14588000000003</v>
      </c>
      <c r="I1065" s="157"/>
      <c r="J1065" s="330">
        <v>134004</v>
      </c>
      <c r="K1065" s="329">
        <v>836.14588000000003</v>
      </c>
      <c r="L1065" s="157"/>
      <c r="M1065" s="360">
        <f t="shared" si="104"/>
        <v>134004</v>
      </c>
      <c r="N1065" s="237">
        <f t="shared" si="105"/>
        <v>836.14588000000003</v>
      </c>
      <c r="O1065" s="361"/>
      <c r="P1065" s="361"/>
      <c r="Q1065" s="361" t="s">
        <v>698</v>
      </c>
      <c r="R1065" s="362">
        <f>IF(Q1065="ekrk",INDEX(indexy_SDcast!$A:$C,MATCH($M1065,indexy_SDcast!$A:$A,0),2),"")</f>
        <v>22</v>
      </c>
      <c r="S1065" s="236"/>
      <c r="T1065" s="364">
        <f t="shared" si="106"/>
        <v>134004</v>
      </c>
      <c r="U1065" s="365">
        <f t="shared" si="107"/>
        <v>836.14588000000003</v>
      </c>
      <c r="V1065" s="365">
        <f>IF($Q1065="ekrk",IF($R1065="data",IFERROR(INDEX(data!$A:$ALL,MATCH($M1065,data!$A:$A,0),MATCH(V$2,data!$1:$1,0)),"#data"),IFERROR(U1065*INDEX(indexy_SDcast!$A:$ALI,MATCH($R1065,indexy_SDcast!$K:$K,0),MATCH(V$2,indexy_SDcast!$2:$2,0)),"#ekrk")),"#popis")</f>
        <v>836.14588000000003</v>
      </c>
      <c r="W1065" s="365">
        <f>IF($Q1065="ekrk",IF($R1065="data",IFERROR(INDEX(data!$A:$ALL,MATCH($M1065,data!$A:$A,0),MATCH(W$2,data!$1:$1,0)),"#data"),IFERROR(V1065*INDEX(indexy_SDcast!$A:$ALI,MATCH($R1065,indexy_SDcast!$K:$K,0),MATCH(W$2,indexy_SDcast!$2:$2,0)),"#ekrk")),"#popis")</f>
        <v>836.14588000000003</v>
      </c>
      <c r="X1065" s="365">
        <f>IF($Q1065="ekrk",IF($R1065="data",IFERROR(INDEX(data!$A:$ALL,MATCH($M1065,data!$A:$A,0),MATCH(X$2,data!$1:$1,0)),"#data"),IFERROR(W1065*INDEX(indexy_SDcast!$A:$ALI,MATCH($R1065,indexy_SDcast!$K:$K,0),MATCH(X$2,indexy_SDcast!$2:$2,0)),"#ekrk")),"#popis")</f>
        <v>836.14588000000003</v>
      </c>
      <c r="Y1065" s="362">
        <f>IF($Q1065="ekrk",IF($R1065="data",IFERROR(INDEX(data!$A:$ALL,MATCH($M1065,data!$A:$A,0),MATCH(Y$2,data!$1:$1,0)),"#data"),IFERROR(X1065*INDEX(indexy_SDcast!$A:$ALI,MATCH($R1065,indexy_SDcast!$K:$K,0),MATCH(Y$2,indexy_SDcast!$2:$2,0)),"#ekrk")),"#popis")</f>
        <v>836.14588000000003</v>
      </c>
    </row>
    <row r="1066" spans="1:25" x14ac:dyDescent="0.25">
      <c r="A1066" s="330">
        <v>139001</v>
      </c>
      <c r="B1066" s="329">
        <v>10698.31638</v>
      </c>
      <c r="C1066" s="157"/>
      <c r="D1066" s="330">
        <v>139001</v>
      </c>
      <c r="E1066" s="329">
        <v>10698.31638</v>
      </c>
      <c r="F1066" s="157"/>
      <c r="G1066" s="330">
        <v>139001</v>
      </c>
      <c r="H1066" s="329">
        <v>10698.31638</v>
      </c>
      <c r="I1066" s="157"/>
      <c r="J1066" s="330">
        <v>139001</v>
      </c>
      <c r="K1066" s="329">
        <v>10698.31638</v>
      </c>
      <c r="L1066" s="157"/>
      <c r="M1066" s="360">
        <f t="shared" si="104"/>
        <v>139001</v>
      </c>
      <c r="N1066" s="237">
        <f t="shared" si="105"/>
        <v>10698.31638</v>
      </c>
      <c r="O1066" s="361"/>
      <c r="P1066" s="361"/>
      <c r="Q1066" s="361" t="s">
        <v>698</v>
      </c>
      <c r="R1066" s="362">
        <v>34</v>
      </c>
      <c r="S1066" s="236"/>
      <c r="T1066" s="364">
        <f t="shared" si="106"/>
        <v>139001</v>
      </c>
      <c r="U1066" s="365">
        <f t="shared" si="107"/>
        <v>10698.31638</v>
      </c>
      <c r="V1066" s="365">
        <f>IF($Q1066="ekrk",IF($R1066="data",IFERROR(INDEX(data!$A:$ALL,MATCH($M1066,data!$A:$A,0),MATCH(V$2,data!$1:$1,0)),"#data"),IFERROR(U1066*INDEX(indexy_SDcast!$A:$ALI,MATCH($R1066,indexy_SDcast!$K:$K,0),MATCH(V$2,indexy_SDcast!$2:$2,0)),"#ekrk")),"#popis")</f>
        <v>10734.067489732732</v>
      </c>
      <c r="W1066" s="365">
        <f>IF($Q1066="ekrk",IF($R1066="data",IFERROR(INDEX(data!$A:$ALL,MATCH($M1066,data!$A:$A,0),MATCH(W$2,data!$1:$1,0)),"#data"),IFERROR(V1066*INDEX(indexy_SDcast!$A:$ALI,MATCH($R1066,indexy_SDcast!$K:$K,0),MATCH(W$2,indexy_SDcast!$2:$2,0)),"#ekrk")),"#popis")</f>
        <v>10801.338642034249</v>
      </c>
      <c r="X1066" s="365">
        <f>IF($Q1066="ekrk",IF($R1066="data",IFERROR(INDEX(data!$A:$ALL,MATCH($M1066,data!$A:$A,0),MATCH(X$2,data!$1:$1,0)),"#data"),IFERROR(W1066*INDEX(indexy_SDcast!$A:$ALI,MATCH($R1066,indexy_SDcast!$K:$K,0),MATCH(X$2,indexy_SDcast!$2:$2,0)),"#ekrk")),"#popis")</f>
        <v>10882.21851055594</v>
      </c>
      <c r="Y1066" s="362">
        <f>IF($Q1066="ekrk",IF($R1066="data",IFERROR(INDEX(data!$A:$ALL,MATCH($M1066,data!$A:$A,0),MATCH(Y$2,data!$1:$1,0)),"#data"),IFERROR(X1066*INDEX(indexy_SDcast!$A:$ALI,MATCH($R1066,indexy_SDcast!$K:$K,0),MATCH(Y$2,indexy_SDcast!$2:$2,0)),"#ekrk")),"#popis")</f>
        <v>10983.83351628703</v>
      </c>
    </row>
    <row r="1067" spans="1:25" x14ac:dyDescent="0.25">
      <c r="A1067" s="330">
        <v>139002</v>
      </c>
      <c r="B1067" s="329">
        <v>17.67615</v>
      </c>
      <c r="C1067" s="157"/>
      <c r="D1067" s="330">
        <v>139002</v>
      </c>
      <c r="E1067" s="329">
        <v>17.67615</v>
      </c>
      <c r="F1067" s="157"/>
      <c r="G1067" s="330">
        <v>139002</v>
      </c>
      <c r="H1067" s="329">
        <v>17.67615</v>
      </c>
      <c r="I1067" s="157"/>
      <c r="J1067" s="330">
        <v>139002</v>
      </c>
      <c r="K1067" s="329">
        <v>17.67615</v>
      </c>
      <c r="L1067" s="157"/>
      <c r="M1067" s="360">
        <f t="shared" si="104"/>
        <v>139002</v>
      </c>
      <c r="N1067" s="237">
        <f t="shared" si="105"/>
        <v>17.67615</v>
      </c>
      <c r="O1067" s="361"/>
      <c r="P1067" s="361"/>
      <c r="Q1067" s="361" t="s">
        <v>698</v>
      </c>
      <c r="R1067" s="362">
        <f>IF(Q1067="ekrk",INDEX(indexy_SDcast!$A:$C,MATCH($M1067,indexy_SDcast!$A:$A,0),2),"")</f>
        <v>21</v>
      </c>
      <c r="S1067" s="236"/>
      <c r="T1067" s="364">
        <f t="shared" si="106"/>
        <v>139002</v>
      </c>
      <c r="U1067" s="365">
        <f t="shared" si="107"/>
        <v>17.67615</v>
      </c>
      <c r="V1067" s="365">
        <f>IF($Q1067="ekrk",IF($R1067="data",IFERROR(INDEX(data!$A:$ALL,MATCH($M1067,data!$A:$A,0),MATCH(V$2,data!$1:$1,0)),"#data"),IFERROR(U1067*INDEX(indexy_SDcast!$A:$ALI,MATCH($R1067,indexy_SDcast!$K:$K,0),MATCH(V$2,indexy_SDcast!$2:$2,0)),"#ekrk")),"#popis")</f>
        <v>13.2571125</v>
      </c>
      <c r="W1067" s="365">
        <f>IF($Q1067="ekrk",IF($R1067="data",IFERROR(INDEX(data!$A:$ALL,MATCH($M1067,data!$A:$A,0),MATCH(W$2,data!$1:$1,0)),"#data"),IFERROR(V1067*INDEX(indexy_SDcast!$A:$ALI,MATCH($R1067,indexy_SDcast!$K:$K,0),MATCH(W$2,indexy_SDcast!$2:$2,0)),"#ekrk")),"#popis")</f>
        <v>8.8380749999999999</v>
      </c>
      <c r="X1067" s="365">
        <f>IF($Q1067="ekrk",IF($R1067="data",IFERROR(INDEX(data!$A:$ALL,MATCH($M1067,data!$A:$A,0),MATCH(X$2,data!$1:$1,0)),"#data"),IFERROR(W1067*INDEX(indexy_SDcast!$A:$ALI,MATCH($R1067,indexy_SDcast!$K:$K,0),MATCH(X$2,indexy_SDcast!$2:$2,0)),"#ekrk")),"#popis")</f>
        <v>4.4190375</v>
      </c>
      <c r="Y1067" s="362">
        <f>IF($Q1067="ekrk",IF($R1067="data",IFERROR(INDEX(data!$A:$ALL,MATCH($M1067,data!$A:$A,0),MATCH(Y$2,data!$1:$1,0)),"#data"),IFERROR(X1067*INDEX(indexy_SDcast!$A:$ALI,MATCH($R1067,indexy_SDcast!$K:$K,0),MATCH(Y$2,indexy_SDcast!$2:$2,0)),"#ekrk")),"#popis")</f>
        <v>0</v>
      </c>
    </row>
    <row r="1068" spans="1:25" x14ac:dyDescent="0.25">
      <c r="A1068" s="330">
        <v>192000</v>
      </c>
      <c r="B1068" s="329">
        <v>203971.95919000002</v>
      </c>
      <c r="C1068" s="157"/>
      <c r="D1068" s="330">
        <v>192000</v>
      </c>
      <c r="E1068" s="329">
        <v>203971.95919000002</v>
      </c>
      <c r="F1068" s="157"/>
      <c r="G1068" s="330">
        <v>192000</v>
      </c>
      <c r="H1068" s="329">
        <v>203971.95919000002</v>
      </c>
      <c r="I1068" s="157"/>
      <c r="J1068" s="352">
        <v>192000</v>
      </c>
      <c r="K1068" s="353">
        <v>0</v>
      </c>
      <c r="L1068" s="157"/>
      <c r="M1068" s="360">
        <f t="shared" si="104"/>
        <v>192000</v>
      </c>
      <c r="N1068" s="237">
        <f t="shared" si="105"/>
        <v>0</v>
      </c>
      <c r="O1068" s="361"/>
      <c r="P1068" s="361"/>
      <c r="Q1068" s="361" t="s">
        <v>698</v>
      </c>
      <c r="R1068" s="362">
        <f>IF(Q1068="ekrk",INDEX(indexy_SDcast!$A:$C,MATCH($M1068,indexy_SDcast!$A:$A,0),2),"")</f>
        <v>37</v>
      </c>
      <c r="S1068" s="236"/>
      <c r="T1068" s="364">
        <f t="shared" si="106"/>
        <v>192000</v>
      </c>
      <c r="U1068" s="365">
        <f t="shared" si="107"/>
        <v>0</v>
      </c>
      <c r="V1068" s="365">
        <f>IF($Q1068="ekrk",IF($R1068="data",IFERROR(INDEX(data!$A:$ALL,MATCH($M1068,data!$A:$A,0),MATCH(V$2,data!$1:$1,0)),"#data"),IFERROR(U1068*INDEX(indexy_SDcast!$A:$ALI,MATCH($R1068,indexy_SDcast!$K:$K,0),MATCH(V$2,indexy_SDcast!$2:$2,0)),"#ekrk")),"#popis")</f>
        <v>0</v>
      </c>
      <c r="W1068" s="365">
        <f>IF($Q1068="ekrk",IF($R1068="data",IFERROR(INDEX(data!$A:$ALL,MATCH($M1068,data!$A:$A,0),MATCH(W$2,data!$1:$1,0)),"#data"),IFERROR(V1068*INDEX(indexy_SDcast!$A:$ALI,MATCH($R1068,indexy_SDcast!$K:$K,0),MATCH(W$2,indexy_SDcast!$2:$2,0)),"#ekrk")),"#popis")</f>
        <v>0</v>
      </c>
      <c r="X1068" s="365">
        <f>IF($Q1068="ekrk",IF($R1068="data",IFERROR(INDEX(data!$A:$ALL,MATCH($M1068,data!$A:$A,0),MATCH(X$2,data!$1:$1,0)),"#data"),IFERROR(W1068*INDEX(indexy_SDcast!$A:$ALI,MATCH($R1068,indexy_SDcast!$K:$K,0),MATCH(X$2,indexy_SDcast!$2:$2,0)),"#ekrk")),"#popis")</f>
        <v>0</v>
      </c>
      <c r="Y1068" s="362">
        <f>IF($Q1068="ekrk",IF($R1068="data",IFERROR(INDEX(data!$A:$ALL,MATCH($M1068,data!$A:$A,0),MATCH(Y$2,data!$1:$1,0)),"#data"),IFERROR(X1068*INDEX(indexy_SDcast!$A:$ALI,MATCH($R1068,indexy_SDcast!$K:$K,0),MATCH(Y$2,indexy_SDcast!$2:$2,0)),"#ekrk")),"#popis")</f>
        <v>0</v>
      </c>
    </row>
    <row r="1069" spans="1:25" x14ac:dyDescent="0.25">
      <c r="A1069" s="330">
        <v>221002</v>
      </c>
      <c r="B1069" s="329">
        <v>52116.85398</v>
      </c>
      <c r="C1069" s="157"/>
      <c r="D1069" s="330">
        <v>221002</v>
      </c>
      <c r="E1069" s="329">
        <v>52116.85398</v>
      </c>
      <c r="F1069" s="157"/>
      <c r="G1069" s="330">
        <v>221002</v>
      </c>
      <c r="H1069" s="329">
        <v>52116.85398</v>
      </c>
      <c r="I1069" s="157"/>
      <c r="J1069" s="330">
        <v>221002</v>
      </c>
      <c r="K1069" s="329">
        <v>52116.85398</v>
      </c>
      <c r="L1069" s="157"/>
      <c r="M1069" s="360">
        <f t="shared" si="104"/>
        <v>221002</v>
      </c>
      <c r="N1069" s="237">
        <f t="shared" si="105"/>
        <v>52116.85398</v>
      </c>
      <c r="O1069" s="361"/>
      <c r="P1069" s="361"/>
      <c r="Q1069" s="361" t="s">
        <v>698</v>
      </c>
      <c r="R1069" s="362">
        <f>IF(Q1069="ekrk",INDEX(indexy_SDcast!$A:$C,MATCH($M1069,indexy_SDcast!$A:$A,0),2),"")</f>
        <v>22</v>
      </c>
      <c r="S1069" s="236"/>
      <c r="T1069" s="364">
        <f t="shared" si="106"/>
        <v>221002</v>
      </c>
      <c r="U1069" s="365">
        <f t="shared" si="107"/>
        <v>52116.85398</v>
      </c>
      <c r="V1069" s="365">
        <f>IF($Q1069="ekrk",IF($R1069="data",IFERROR(INDEX(data!$A:$ALL,MATCH($M1069,data!$A:$A,0),MATCH(V$2,data!$1:$1,0)),"#data"),IFERROR(U1069*INDEX(indexy_SDcast!$A:$ALI,MATCH($R1069,indexy_SDcast!$K:$K,0),MATCH(V$2,indexy_SDcast!$2:$2,0)),"#ekrk")),"#popis")</f>
        <v>52116.85398</v>
      </c>
      <c r="W1069" s="365">
        <f>IF($Q1069="ekrk",IF($R1069="data",IFERROR(INDEX(data!$A:$ALL,MATCH($M1069,data!$A:$A,0),MATCH(W$2,data!$1:$1,0)),"#data"),IFERROR(V1069*INDEX(indexy_SDcast!$A:$ALI,MATCH($R1069,indexy_SDcast!$K:$K,0),MATCH(W$2,indexy_SDcast!$2:$2,0)),"#ekrk")),"#popis")</f>
        <v>52116.85398</v>
      </c>
      <c r="X1069" s="365">
        <f>IF($Q1069="ekrk",IF($R1069="data",IFERROR(INDEX(data!$A:$ALL,MATCH($M1069,data!$A:$A,0),MATCH(X$2,data!$1:$1,0)),"#data"),IFERROR(W1069*INDEX(indexy_SDcast!$A:$ALI,MATCH($R1069,indexy_SDcast!$K:$K,0),MATCH(X$2,indexy_SDcast!$2:$2,0)),"#ekrk")),"#popis")</f>
        <v>52116.85398</v>
      </c>
      <c r="Y1069" s="362">
        <f>IF($Q1069="ekrk",IF($R1069="data",IFERROR(INDEX(data!$A:$ALL,MATCH($M1069,data!$A:$A,0),MATCH(Y$2,data!$1:$1,0)),"#data"),IFERROR(X1069*INDEX(indexy_SDcast!$A:$ALI,MATCH($R1069,indexy_SDcast!$K:$K,0),MATCH(Y$2,indexy_SDcast!$2:$2,0)),"#ekrk")),"#popis")</f>
        <v>52116.85398</v>
      </c>
    </row>
    <row r="1070" spans="1:25" x14ac:dyDescent="0.25">
      <c r="A1070" s="330">
        <v>221004</v>
      </c>
      <c r="B1070" s="329">
        <v>104221.50885</v>
      </c>
      <c r="C1070" s="157"/>
      <c r="D1070" s="330">
        <v>221004</v>
      </c>
      <c r="E1070" s="329">
        <v>104221.50885</v>
      </c>
      <c r="F1070" s="157"/>
      <c r="G1070" s="330">
        <v>221004</v>
      </c>
      <c r="H1070" s="329">
        <v>104221.50885</v>
      </c>
      <c r="I1070" s="157"/>
      <c r="J1070" s="330">
        <v>221004</v>
      </c>
      <c r="K1070" s="329">
        <v>104221.50885</v>
      </c>
      <c r="L1070" s="157"/>
      <c r="M1070" s="360">
        <f t="shared" si="104"/>
        <v>221004</v>
      </c>
      <c r="N1070" s="237">
        <f t="shared" si="105"/>
        <v>104221.50885</v>
      </c>
      <c r="O1070" s="361"/>
      <c r="P1070" s="361"/>
      <c r="Q1070" s="361" t="s">
        <v>698</v>
      </c>
      <c r="R1070" s="362">
        <f>IF(Q1070="ekrk",INDEX(indexy_SDcast!$A:$C,MATCH($M1070,indexy_SDcast!$A:$A,0),2),"")</f>
        <v>22</v>
      </c>
      <c r="S1070" s="236"/>
      <c r="T1070" s="364">
        <f t="shared" si="106"/>
        <v>221004</v>
      </c>
      <c r="U1070" s="365">
        <f t="shared" si="107"/>
        <v>104221.50885</v>
      </c>
      <c r="V1070" s="365">
        <f>IF($Q1070="ekrk",IF($R1070="data",IFERROR(INDEX(data!$A:$ALL,MATCH($M1070,data!$A:$A,0),MATCH(V$2,data!$1:$1,0)),"#data"),IFERROR(U1070*INDEX(indexy_SDcast!$A:$ALI,MATCH($R1070,indexy_SDcast!$K:$K,0),MATCH(V$2,indexy_SDcast!$2:$2,0)),"#ekrk")),"#popis")</f>
        <v>104221.50885</v>
      </c>
      <c r="W1070" s="365">
        <f>IF($Q1070="ekrk",IF($R1070="data",IFERROR(INDEX(data!$A:$ALL,MATCH($M1070,data!$A:$A,0),MATCH(W$2,data!$1:$1,0)),"#data"),IFERROR(V1070*INDEX(indexy_SDcast!$A:$ALI,MATCH($R1070,indexy_SDcast!$K:$K,0),MATCH(W$2,indexy_SDcast!$2:$2,0)),"#ekrk")),"#popis")</f>
        <v>104221.50885</v>
      </c>
      <c r="X1070" s="365">
        <f>IF($Q1070="ekrk",IF($R1070="data",IFERROR(INDEX(data!$A:$ALL,MATCH($M1070,data!$A:$A,0),MATCH(X$2,data!$1:$1,0)),"#data"),IFERROR(W1070*INDEX(indexy_SDcast!$A:$ALI,MATCH($R1070,indexy_SDcast!$K:$K,0),MATCH(X$2,indexy_SDcast!$2:$2,0)),"#ekrk")),"#popis")</f>
        <v>104221.50885</v>
      </c>
      <c r="Y1070" s="362">
        <f>IF($Q1070="ekrk",IF($R1070="data",IFERROR(INDEX(data!$A:$ALL,MATCH($M1070,data!$A:$A,0),MATCH(Y$2,data!$1:$1,0)),"#data"),IFERROR(X1070*INDEX(indexy_SDcast!$A:$ALI,MATCH($R1070,indexy_SDcast!$K:$K,0),MATCH(Y$2,indexy_SDcast!$2:$2,0)),"#ekrk")),"#popis")</f>
        <v>104221.50885</v>
      </c>
    </row>
    <row r="1071" spans="1:25" x14ac:dyDescent="0.25">
      <c r="A1071" s="330">
        <v>221005</v>
      </c>
      <c r="B1071" s="329">
        <v>1867.0135699999998</v>
      </c>
      <c r="C1071" s="157"/>
      <c r="D1071" s="330">
        <v>221005</v>
      </c>
      <c r="E1071" s="329">
        <v>1867.0135699999998</v>
      </c>
      <c r="F1071" s="157"/>
      <c r="G1071" s="330">
        <v>221005</v>
      </c>
      <c r="H1071" s="329">
        <v>1867.0135699999998</v>
      </c>
      <c r="I1071" s="157"/>
      <c r="J1071" s="330">
        <v>221005</v>
      </c>
      <c r="K1071" s="329">
        <v>1867.0135699999998</v>
      </c>
      <c r="L1071" s="157"/>
      <c r="M1071" s="360">
        <f t="shared" si="104"/>
        <v>221005</v>
      </c>
      <c r="N1071" s="237">
        <f t="shared" si="105"/>
        <v>1867.0135699999998</v>
      </c>
      <c r="O1071" s="361"/>
      <c r="P1071" s="361"/>
      <c r="Q1071" s="361" t="s">
        <v>698</v>
      </c>
      <c r="R1071" s="362">
        <f>IF(Q1071="ekrk",INDEX(indexy_SDcast!$A:$C,MATCH($M1071,indexy_SDcast!$A:$A,0),2),"")</f>
        <v>22</v>
      </c>
      <c r="S1071" s="236"/>
      <c r="T1071" s="364">
        <f t="shared" si="106"/>
        <v>221005</v>
      </c>
      <c r="U1071" s="365">
        <f t="shared" si="107"/>
        <v>1867.0135699999998</v>
      </c>
      <c r="V1071" s="365">
        <f>IF($Q1071="ekrk",IF($R1071="data",IFERROR(INDEX(data!$A:$ALL,MATCH($M1071,data!$A:$A,0),MATCH(V$2,data!$1:$1,0)),"#data"),IFERROR(U1071*INDEX(indexy_SDcast!$A:$ALI,MATCH($R1071,indexy_SDcast!$K:$K,0),MATCH(V$2,indexy_SDcast!$2:$2,0)),"#ekrk")),"#popis")</f>
        <v>1867.0135699999998</v>
      </c>
      <c r="W1071" s="365">
        <f>IF($Q1071="ekrk",IF($R1071="data",IFERROR(INDEX(data!$A:$ALL,MATCH($M1071,data!$A:$A,0),MATCH(W$2,data!$1:$1,0)),"#data"),IFERROR(V1071*INDEX(indexy_SDcast!$A:$ALI,MATCH($R1071,indexy_SDcast!$K:$K,0),MATCH(W$2,indexy_SDcast!$2:$2,0)),"#ekrk")),"#popis")</f>
        <v>1867.0135699999998</v>
      </c>
      <c r="X1071" s="365">
        <f>IF($Q1071="ekrk",IF($R1071="data",IFERROR(INDEX(data!$A:$ALL,MATCH($M1071,data!$A:$A,0),MATCH(X$2,data!$1:$1,0)),"#data"),IFERROR(W1071*INDEX(indexy_SDcast!$A:$ALI,MATCH($R1071,indexy_SDcast!$K:$K,0),MATCH(X$2,indexy_SDcast!$2:$2,0)),"#ekrk")),"#popis")</f>
        <v>1867.0135699999998</v>
      </c>
      <c r="Y1071" s="362">
        <f>IF($Q1071="ekrk",IF($R1071="data",IFERROR(INDEX(data!$A:$ALL,MATCH($M1071,data!$A:$A,0),MATCH(Y$2,data!$1:$1,0)),"#data"),IFERROR(X1071*INDEX(indexy_SDcast!$A:$ALI,MATCH($R1071,indexy_SDcast!$K:$K,0),MATCH(Y$2,indexy_SDcast!$2:$2,0)),"#ekrk")),"#popis")</f>
        <v>1867.0135699999998</v>
      </c>
    </row>
    <row r="1072" spans="1:25" x14ac:dyDescent="0.25">
      <c r="A1072" s="330">
        <v>229001</v>
      </c>
      <c r="B1072" s="329">
        <v>7778.9449100000002</v>
      </c>
      <c r="C1072" s="157"/>
      <c r="D1072" s="330">
        <v>229001</v>
      </c>
      <c r="E1072" s="329">
        <v>7778.9449100000002</v>
      </c>
      <c r="F1072" s="157"/>
      <c r="G1072" s="330">
        <v>229001</v>
      </c>
      <c r="H1072" s="329">
        <v>7778.9449100000002</v>
      </c>
      <c r="I1072" s="157"/>
      <c r="J1072" s="330">
        <v>229001</v>
      </c>
      <c r="K1072" s="329">
        <v>7778.9449100000002</v>
      </c>
      <c r="L1072" s="157"/>
      <c r="M1072" s="360">
        <f t="shared" si="104"/>
        <v>229001</v>
      </c>
      <c r="N1072" s="237">
        <f t="shared" si="105"/>
        <v>7778.9449100000002</v>
      </c>
      <c r="O1072" s="361"/>
      <c r="P1072" s="361"/>
      <c r="Q1072" s="361" t="s">
        <v>698</v>
      </c>
      <c r="R1072" s="362">
        <f>IF(Q1072="ekrk",INDEX(indexy_SDcast!$A:$C,MATCH($M1072,indexy_SDcast!$A:$A,0),2),"")</f>
        <v>22</v>
      </c>
      <c r="S1072" s="236"/>
      <c r="T1072" s="364">
        <f t="shared" si="106"/>
        <v>229001</v>
      </c>
      <c r="U1072" s="365">
        <f t="shared" si="107"/>
        <v>7778.9449100000002</v>
      </c>
      <c r="V1072" s="365">
        <f>IF($Q1072="ekrk",IF($R1072="data",IFERROR(INDEX(data!$A:$ALL,MATCH($M1072,data!$A:$A,0),MATCH(V$2,data!$1:$1,0)),"#data"),IFERROR(U1072*INDEX(indexy_SDcast!$A:$ALI,MATCH($R1072,indexy_SDcast!$K:$K,0),MATCH(V$2,indexy_SDcast!$2:$2,0)),"#ekrk")),"#popis")</f>
        <v>7778.9449100000002</v>
      </c>
      <c r="W1072" s="365">
        <f>IF($Q1072="ekrk",IF($R1072="data",IFERROR(INDEX(data!$A:$ALL,MATCH($M1072,data!$A:$A,0),MATCH(W$2,data!$1:$1,0)),"#data"),IFERROR(V1072*INDEX(indexy_SDcast!$A:$ALI,MATCH($R1072,indexy_SDcast!$K:$K,0),MATCH(W$2,indexy_SDcast!$2:$2,0)),"#ekrk")),"#popis")</f>
        <v>7778.9449100000002</v>
      </c>
      <c r="X1072" s="365">
        <f>IF($Q1072="ekrk",IF($R1072="data",IFERROR(INDEX(data!$A:$ALL,MATCH($M1072,data!$A:$A,0),MATCH(X$2,data!$1:$1,0)),"#data"),IFERROR(W1072*INDEX(indexy_SDcast!$A:$ALI,MATCH($R1072,indexy_SDcast!$K:$K,0),MATCH(X$2,indexy_SDcast!$2:$2,0)),"#ekrk")),"#popis")</f>
        <v>7778.9449100000002</v>
      </c>
      <c r="Y1072" s="362">
        <f>IF($Q1072="ekrk",IF($R1072="data",IFERROR(INDEX(data!$A:$ALL,MATCH($M1072,data!$A:$A,0),MATCH(Y$2,data!$1:$1,0)),"#data"),IFERROR(X1072*INDEX(indexy_SDcast!$A:$ALI,MATCH($R1072,indexy_SDcast!$K:$K,0),MATCH(Y$2,indexy_SDcast!$2:$2,0)),"#ekrk")),"#popis")</f>
        <v>7778.9449100000002</v>
      </c>
    </row>
    <row r="1073" spans="1:44" x14ac:dyDescent="0.25">
      <c r="A1073" s="330">
        <v>229005</v>
      </c>
      <c r="B1073" s="329">
        <v>13222.253080000002</v>
      </c>
      <c r="C1073" s="157"/>
      <c r="D1073" s="330">
        <v>229005</v>
      </c>
      <c r="E1073" s="329">
        <v>13222.253080000002</v>
      </c>
      <c r="F1073" s="157"/>
      <c r="G1073" s="330">
        <v>229005</v>
      </c>
      <c r="H1073" s="329">
        <v>13222.253080000002</v>
      </c>
      <c r="I1073" s="157"/>
      <c r="J1073" s="330">
        <v>229005</v>
      </c>
      <c r="K1073" s="329">
        <v>13222.253080000002</v>
      </c>
      <c r="L1073" s="157"/>
      <c r="M1073" s="360">
        <f t="shared" si="104"/>
        <v>229005</v>
      </c>
      <c r="N1073" s="237">
        <f t="shared" si="105"/>
        <v>13222.253080000002</v>
      </c>
      <c r="O1073" s="361"/>
      <c r="P1073" s="361"/>
      <c r="Q1073" s="361" t="s">
        <v>698</v>
      </c>
      <c r="R1073" s="362">
        <f>IF(Q1073="ekrk",INDEX(indexy_SDcast!$A:$C,MATCH($M1073,indexy_SDcast!$A:$A,0),2),"")</f>
        <v>22</v>
      </c>
      <c r="S1073" s="236"/>
      <c r="T1073" s="364">
        <f t="shared" si="106"/>
        <v>229005</v>
      </c>
      <c r="U1073" s="365">
        <f t="shared" si="107"/>
        <v>13222.253080000002</v>
      </c>
      <c r="V1073" s="365">
        <f>IF($Q1073="ekrk",IF($R1073="data",IFERROR(INDEX(data!$A:$ALL,MATCH($M1073,data!$A:$A,0),MATCH(V$2,data!$1:$1,0)),"#data"),IFERROR(U1073*INDEX(indexy_SDcast!$A:$ALI,MATCH($R1073,indexy_SDcast!$K:$K,0),MATCH(V$2,indexy_SDcast!$2:$2,0)),"#ekrk")),"#popis")</f>
        <v>13222.253080000002</v>
      </c>
      <c r="W1073" s="365">
        <f>IF($Q1073="ekrk",IF($R1073="data",IFERROR(INDEX(data!$A:$ALL,MATCH($M1073,data!$A:$A,0),MATCH(W$2,data!$1:$1,0)),"#data"),IFERROR(V1073*INDEX(indexy_SDcast!$A:$ALI,MATCH($R1073,indexy_SDcast!$K:$K,0),MATCH(W$2,indexy_SDcast!$2:$2,0)),"#ekrk")),"#popis")</f>
        <v>13222.253080000002</v>
      </c>
      <c r="X1073" s="365">
        <f>IF($Q1073="ekrk",IF($R1073="data",IFERROR(INDEX(data!$A:$ALL,MATCH($M1073,data!$A:$A,0),MATCH(X$2,data!$1:$1,0)),"#data"),IFERROR(W1073*INDEX(indexy_SDcast!$A:$ALI,MATCH($R1073,indexy_SDcast!$K:$K,0),MATCH(X$2,indexy_SDcast!$2:$2,0)),"#ekrk")),"#popis")</f>
        <v>13222.253080000002</v>
      </c>
      <c r="Y1073" s="362">
        <f>IF($Q1073="ekrk",IF($R1073="data",IFERROR(INDEX(data!$A:$ALL,MATCH($M1073,data!$A:$A,0),MATCH(Y$2,data!$1:$1,0)),"#data"),IFERROR(X1073*INDEX(indexy_SDcast!$A:$ALI,MATCH($R1073,indexy_SDcast!$K:$K,0),MATCH(Y$2,indexy_SDcast!$2:$2,0)),"#ekrk")),"#popis")</f>
        <v>13222.253080000002</v>
      </c>
    </row>
    <row r="1074" spans="1:44" s="18" customFormat="1" x14ac:dyDescent="0.25">
      <c r="A1074" s="333" t="s">
        <v>708</v>
      </c>
      <c r="B1074" s="334">
        <v>-447064.93544999993</v>
      </c>
      <c r="C1074" s="164"/>
      <c r="D1074" s="333" t="s">
        <v>708</v>
      </c>
      <c r="E1074" s="334">
        <v>-447064.93544999993</v>
      </c>
      <c r="F1074" s="164"/>
      <c r="G1074" s="333" t="s">
        <v>708</v>
      </c>
      <c r="H1074" s="334">
        <v>-447064.93544999993</v>
      </c>
      <c r="I1074" s="164"/>
      <c r="J1074" s="333" t="s">
        <v>708</v>
      </c>
      <c r="K1074" s="334">
        <v>-447064.93544999993</v>
      </c>
      <c r="L1074" s="164"/>
      <c r="M1074" s="358" t="str">
        <f t="shared" si="104"/>
        <v>D319PAY</v>
      </c>
      <c r="N1074" s="239">
        <f t="shared" si="105"/>
        <v>-447064.93544999993</v>
      </c>
      <c r="O1074" s="243"/>
      <c r="P1074" s="243">
        <f>MATCH(Q1074,Q1075:Q$1550,0)</f>
        <v>6</v>
      </c>
      <c r="Q1074" s="243" t="s">
        <v>697</v>
      </c>
      <c r="R1074" s="359" t="str">
        <f>IF(Q1074="ekrk",INDEX(indexy_SDcast!$A:$C,MATCH($M1074,indexy_SDcast!$A:$A,0),2),"")</f>
        <v/>
      </c>
      <c r="S1074" s="240"/>
      <c r="T1074" s="363" t="str">
        <f t="shared" si="106"/>
        <v>D319PAY</v>
      </c>
      <c r="U1074" s="244">
        <f>SUM(U1075:U1079)</f>
        <v>-447064.93544999993</v>
      </c>
      <c r="V1074" s="244">
        <f>SUM(V1075:V1079)</f>
        <v>-724159.04188279994</v>
      </c>
      <c r="W1074" s="244">
        <f>SUM(W1075:W1079)</f>
        <v>-750047.31613068865</v>
      </c>
      <c r="X1074" s="244">
        <f>SUM(X1075:X1079)</f>
        <v>-770688.60684496979</v>
      </c>
      <c r="Y1074" s="359">
        <f>SUM(Y1075:Y1079)</f>
        <v>-790690.89567968925</v>
      </c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58"/>
      <c r="AM1074" s="58"/>
      <c r="AN1074" s="58"/>
      <c r="AO1074" s="58"/>
      <c r="AP1074" s="58"/>
      <c r="AQ1074" s="58"/>
      <c r="AR1074" s="58"/>
    </row>
    <row r="1075" spans="1:44" x14ac:dyDescent="0.25">
      <c r="A1075" s="330">
        <v>644001</v>
      </c>
      <c r="B1075" s="329">
        <v>-367138.29331999994</v>
      </c>
      <c r="C1075" s="157"/>
      <c r="D1075" s="330">
        <v>644001</v>
      </c>
      <c r="E1075" s="329">
        <v>-367138.29331999994</v>
      </c>
      <c r="F1075" s="157"/>
      <c r="G1075" s="330">
        <v>644001</v>
      </c>
      <c r="H1075" s="329">
        <v>-367138.29331999994</v>
      </c>
      <c r="I1075" s="157"/>
      <c r="J1075" s="330">
        <v>644001</v>
      </c>
      <c r="K1075" s="329">
        <v>-367138.29331999994</v>
      </c>
      <c r="L1075" s="157"/>
      <c r="M1075" s="360">
        <f t="shared" si="104"/>
        <v>644001</v>
      </c>
      <c r="N1075" s="237">
        <f t="shared" si="105"/>
        <v>-367138.29331999994</v>
      </c>
      <c r="O1075" s="361"/>
      <c r="P1075" s="361"/>
      <c r="Q1075" s="361" t="s">
        <v>698</v>
      </c>
      <c r="R1075" s="362" t="str">
        <f>IF(Q1075="ekrk",INDEX(indexy_SDcast!$A:$C,MATCH($M1075,indexy_SDcast!$A:$A,0),2),"")</f>
        <v>data</v>
      </c>
      <c r="S1075" s="236"/>
      <c r="T1075" s="364">
        <f t="shared" si="106"/>
        <v>644001</v>
      </c>
      <c r="U1075" s="365">
        <f>N1075</f>
        <v>-367138.29331999994</v>
      </c>
      <c r="V1075" s="365">
        <f>IF($Q1075="ekrk",IF($R1075="data",IFERROR(INDEX(data!$A:$ALL,MATCH($M1075,data!$A:$A,0),MATCH(V$2,data!$1:$1,0)),"#data"),IFERROR(U1075*INDEX(indexy_SDcast!$A:$ALI,MATCH($R1075,indexy_SDcast!$K:$K,0),MATCH(V$2,indexy_SDcast!$2:$2,0)),"#ekrk")),"#popis")</f>
        <v>-553636.83391548705</v>
      </c>
      <c r="W1075" s="365">
        <f>IF($Q1075="ekrk",IF($R1075="data",IFERROR(INDEX(data!$A:$ALL,MATCH($M1075,data!$A:$A,0),MATCH(W$2,data!$1:$1,0)),"#data"),IFERROR(V1075*INDEX(indexy_SDcast!$A:$ALI,MATCH($R1075,indexy_SDcast!$K:$K,0),MATCH(W$2,indexy_SDcast!$2:$2,0)),"#ekrk")),"#popis")</f>
        <v>-575994.99620368984</v>
      </c>
      <c r="X1075" s="365">
        <f>IF($Q1075="ekrk",IF($R1075="data",IFERROR(INDEX(data!$A:$ALL,MATCH($M1075,data!$A:$A,0),MATCH(X$2,data!$1:$1,0)),"#data"),IFERROR(W1075*INDEX(indexy_SDcast!$A:$ALI,MATCH($R1075,indexy_SDcast!$K:$K,0),MATCH(X$2,indexy_SDcast!$2:$2,0)),"#ekrk")),"#popis")</f>
        <v>-592685.95903400891</v>
      </c>
      <c r="Y1075" s="362">
        <f>IF($Q1075="ekrk",IF($R1075="data",IFERROR(INDEX(data!$A:$ALL,MATCH($M1075,data!$A:$A,0),MATCH(Y$2,data!$1:$1,0)),"#data"),IFERROR(X1075*INDEX(indexy_SDcast!$A:$ALI,MATCH($R1075,indexy_SDcast!$K:$K,0),MATCH(Y$2,indexy_SDcast!$2:$2,0)),"#ekrk")),"#popis")</f>
        <v>-608504.95237392548</v>
      </c>
    </row>
    <row r="1076" spans="1:44" x14ac:dyDescent="0.25">
      <c r="A1076" s="330">
        <v>644002</v>
      </c>
      <c r="B1076" s="329">
        <v>-72390.224830000036</v>
      </c>
      <c r="C1076" s="157"/>
      <c r="D1076" s="330">
        <v>644002</v>
      </c>
      <c r="E1076" s="329">
        <v>-72390.224830000036</v>
      </c>
      <c r="F1076" s="157"/>
      <c r="G1076" s="330">
        <v>644002</v>
      </c>
      <c r="H1076" s="329">
        <v>-72390.224830000036</v>
      </c>
      <c r="I1076" s="157"/>
      <c r="J1076" s="330">
        <v>644002</v>
      </c>
      <c r="K1076" s="329">
        <v>-72390.224830000036</v>
      </c>
      <c r="L1076" s="157"/>
      <c r="M1076" s="360">
        <f t="shared" si="104"/>
        <v>644002</v>
      </c>
      <c r="N1076" s="237">
        <f t="shared" si="105"/>
        <v>-72390.224830000036</v>
      </c>
      <c r="O1076" s="361"/>
      <c r="P1076" s="361"/>
      <c r="Q1076" s="361" t="s">
        <v>698</v>
      </c>
      <c r="R1076" s="362" t="str">
        <f>IF(Q1076="ekrk",INDEX(indexy_SDcast!$A:$C,MATCH($M1076,indexy_SDcast!$A:$A,0),2),"")</f>
        <v>data</v>
      </c>
      <c r="S1076" s="236"/>
      <c r="T1076" s="364">
        <f t="shared" si="106"/>
        <v>644002</v>
      </c>
      <c r="U1076" s="365">
        <f>N1076</f>
        <v>-72390.224830000036</v>
      </c>
      <c r="V1076" s="365">
        <f>IF($Q1076="ekrk",IF($R1076="data",IFERROR(INDEX(data!$A:$ALL,MATCH($M1076,data!$A:$A,0),MATCH(V$2,data!$1:$1,0)),"#data"),IFERROR(U1076*INDEX(indexy_SDcast!$A:$ALI,MATCH($R1076,indexy_SDcast!$K:$K,0),MATCH(V$2,indexy_SDcast!$2:$2,0)),"#ekrk")),"#popis")</f>
        <v>-162931.87802876128</v>
      </c>
      <c r="W1076" s="365">
        <f>IF($Q1076="ekrk",IF($R1076="data",IFERROR(INDEX(data!$A:$ALL,MATCH($M1076,data!$A:$A,0),MATCH(W$2,data!$1:$1,0)),"#data"),IFERROR(V1076*INDEX(indexy_SDcast!$A:$ALI,MATCH($R1076,indexy_SDcast!$K:$K,0),MATCH(W$2,indexy_SDcast!$2:$2,0)),"#ekrk")),"#popis")</f>
        <v>-166312.65427728652</v>
      </c>
      <c r="X1076" s="365">
        <f>IF($Q1076="ekrk",IF($R1076="data",IFERROR(INDEX(data!$A:$ALL,MATCH($M1076,data!$A:$A,0),MATCH(X$2,data!$1:$1,0)),"#data"),IFERROR(W1076*INDEX(indexy_SDcast!$A:$ALI,MATCH($R1076,indexy_SDcast!$K:$K,0),MATCH(X$2,indexy_SDcast!$2:$2,0)),"#ekrk")),"#popis")</f>
        <v>-170095.86989098444</v>
      </c>
      <c r="Y1076" s="362">
        <f>IF($Q1076="ekrk",IF($R1076="data",IFERROR(INDEX(data!$A:$ALL,MATCH($M1076,data!$A:$A,0),MATCH(Y$2,data!$1:$1,0)),"#data"),IFERROR(X1076*INDEX(indexy_SDcast!$A:$ALI,MATCH($R1076,indexy_SDcast!$K:$K,0),MATCH(Y$2,indexy_SDcast!$2:$2,0)),"#ekrk")),"#popis")</f>
        <v>-174102.19779528416</v>
      </c>
    </row>
    <row r="1077" spans="1:44" x14ac:dyDescent="0.25">
      <c r="A1077" s="330">
        <v>644003</v>
      </c>
      <c r="B1077" s="329">
        <v>-739.83138999999994</v>
      </c>
      <c r="C1077" s="157"/>
      <c r="D1077" s="330">
        <v>644003</v>
      </c>
      <c r="E1077" s="329">
        <v>-739.83138999999994</v>
      </c>
      <c r="F1077" s="157"/>
      <c r="G1077" s="330">
        <v>644003</v>
      </c>
      <c r="H1077" s="329">
        <v>-739.83138999999994</v>
      </c>
      <c r="I1077" s="157"/>
      <c r="J1077" s="330">
        <v>644003</v>
      </c>
      <c r="K1077" s="329">
        <v>-739.83138999999994</v>
      </c>
      <c r="L1077" s="157"/>
      <c r="M1077" s="360">
        <f t="shared" si="104"/>
        <v>644003</v>
      </c>
      <c r="N1077" s="237">
        <f t="shared" si="105"/>
        <v>-739.83138999999994</v>
      </c>
      <c r="O1077" s="361"/>
      <c r="P1077" s="361"/>
      <c r="Q1077" s="361" t="s">
        <v>698</v>
      </c>
      <c r="R1077" s="362">
        <f>IF(Q1077="ekrk",INDEX(indexy_SDcast!$A:$C,MATCH($M1077,indexy_SDcast!$A:$A,0),2),"")</f>
        <v>25</v>
      </c>
      <c r="S1077" s="236"/>
      <c r="T1077" s="364">
        <f t="shared" si="106"/>
        <v>644003</v>
      </c>
      <c r="U1077" s="365">
        <f>N1077</f>
        <v>-739.83138999999994</v>
      </c>
      <c r="V1077" s="365">
        <f>IF($Q1077="ekrk",IF($R1077="data",IFERROR(INDEX(data!$A:$ALL,MATCH($M1077,data!$A:$A,0),MATCH(V$2,data!$1:$1,0)),"#data"),IFERROR(U1077*INDEX(indexy_SDcast!$A:$ALI,MATCH($R1077,indexy_SDcast!$K:$K,0),MATCH(V$2,indexy_SDcast!$2:$2,0)),"#ekrk")),"#popis")</f>
        <v>-745.41526334871037</v>
      </c>
      <c r="W1077" s="365">
        <f>IF($Q1077="ekrk",IF($R1077="data",IFERROR(INDEX(data!$A:$ALL,MATCH($M1077,data!$A:$A,0),MATCH(W$2,data!$1:$1,0)),"#data"),IFERROR(V1077*INDEX(indexy_SDcast!$A:$ALI,MATCH($R1077,indexy_SDcast!$K:$K,0),MATCH(W$2,indexy_SDcast!$2:$2,0)),"#ekrk")),"#popis")</f>
        <v>-760.8823545533711</v>
      </c>
      <c r="X1077" s="365">
        <f>IF($Q1077="ekrk",IF($R1077="data",IFERROR(INDEX(data!$A:$ALL,MATCH($M1077,data!$A:$A,0),MATCH(X$2,data!$1:$1,0)),"#data"),IFERROR(W1077*INDEX(indexy_SDcast!$A:$ALI,MATCH($R1077,indexy_SDcast!$K:$K,0),MATCH(X$2,indexy_SDcast!$2:$2,0)),"#ekrk")),"#popis")</f>
        <v>-778.19061059944568</v>
      </c>
      <c r="Y1077" s="362">
        <f>IF($Q1077="ekrk",IF($R1077="data",IFERROR(INDEX(data!$A:$ALL,MATCH($M1077,data!$A:$A,0),MATCH(Y$2,data!$1:$1,0)),"#data"),IFERROR(X1077*INDEX(indexy_SDcast!$A:$ALI,MATCH($R1077,indexy_SDcast!$K:$K,0),MATCH(Y$2,indexy_SDcast!$2:$2,0)),"#ekrk")),"#popis")</f>
        <v>-796.51960800606537</v>
      </c>
    </row>
    <row r="1078" spans="1:44" x14ac:dyDescent="0.25">
      <c r="A1078" s="330">
        <v>644004</v>
      </c>
      <c r="B1078" s="329">
        <v>-6403.2859099999996</v>
      </c>
      <c r="C1078" s="157"/>
      <c r="D1078" s="330">
        <v>644004</v>
      </c>
      <c r="E1078" s="329">
        <v>-6403.2859099999996</v>
      </c>
      <c r="F1078" s="157"/>
      <c r="G1078" s="330">
        <v>644004</v>
      </c>
      <c r="H1078" s="329">
        <v>-6403.2859099999996</v>
      </c>
      <c r="I1078" s="157"/>
      <c r="J1078" s="330">
        <v>644004</v>
      </c>
      <c r="K1078" s="329">
        <v>-6403.2859099999996</v>
      </c>
      <c r="L1078" s="157"/>
      <c r="M1078" s="360">
        <f t="shared" si="104"/>
        <v>644004</v>
      </c>
      <c r="N1078" s="237">
        <f t="shared" si="105"/>
        <v>-6403.2859099999996</v>
      </c>
      <c r="O1078" s="361"/>
      <c r="P1078" s="361"/>
      <c r="Q1078" s="361" t="s">
        <v>698</v>
      </c>
      <c r="R1078" s="362">
        <f>IF(Q1078="ekrk",INDEX(indexy_SDcast!$A:$C,MATCH($M1078,indexy_SDcast!$A:$A,0),2),"")</f>
        <v>25</v>
      </c>
      <c r="S1078" s="236"/>
      <c r="T1078" s="364">
        <f t="shared" si="106"/>
        <v>644004</v>
      </c>
      <c r="U1078" s="365">
        <f>N1078</f>
        <v>-6403.2859099999996</v>
      </c>
      <c r="V1078" s="365">
        <f>IF($Q1078="ekrk",IF($R1078="data",IFERROR(INDEX(data!$A:$ALL,MATCH($M1078,data!$A:$A,0),MATCH(V$2,data!$1:$1,0)),"#data"),IFERROR(U1078*INDEX(indexy_SDcast!$A:$ALI,MATCH($R1078,indexy_SDcast!$K:$K,0),MATCH(V$2,indexy_SDcast!$2:$2,0)),"#ekrk")),"#popis")</f>
        <v>-6451.614675202869</v>
      </c>
      <c r="W1078" s="365">
        <f>IF($Q1078="ekrk",IF($R1078="data",IFERROR(INDEX(data!$A:$ALL,MATCH($M1078,data!$A:$A,0),MATCH(W$2,data!$1:$1,0)),"#data"),IFERROR(V1078*INDEX(indexy_SDcast!$A:$ALI,MATCH($R1078,indexy_SDcast!$K:$K,0),MATCH(W$2,indexy_SDcast!$2:$2,0)),"#ekrk")),"#popis")</f>
        <v>-6585.4832951589497</v>
      </c>
      <c r="X1078" s="365">
        <f>IF($Q1078="ekrk",IF($R1078="data",IFERROR(INDEX(data!$A:$ALL,MATCH($M1078,data!$A:$A,0),MATCH(X$2,data!$1:$1,0)),"#data"),IFERROR(W1078*INDEX(indexy_SDcast!$A:$ALI,MATCH($R1078,indexy_SDcast!$K:$K,0),MATCH(X$2,indexy_SDcast!$2:$2,0)),"#ekrk")),"#popis")</f>
        <v>-6735.2873093769749</v>
      </c>
      <c r="Y1078" s="362">
        <f>IF($Q1078="ekrk",IF($R1078="data",IFERROR(INDEX(data!$A:$ALL,MATCH($M1078,data!$A:$A,0),MATCH(Y$2,data!$1:$1,0)),"#data"),IFERROR(X1078*INDEX(indexy_SDcast!$A:$ALI,MATCH($R1078,indexy_SDcast!$K:$K,0),MATCH(Y$2,indexy_SDcast!$2:$2,0)),"#ekrk")),"#popis")</f>
        <v>-6893.9259024734838</v>
      </c>
    </row>
    <row r="1079" spans="1:44" x14ac:dyDescent="0.25">
      <c r="A1079" s="330">
        <v>647001</v>
      </c>
      <c r="B1079" s="329">
        <v>-393.3</v>
      </c>
      <c r="C1079" s="157"/>
      <c r="D1079" s="330">
        <v>647001</v>
      </c>
      <c r="E1079" s="329">
        <v>-393.3</v>
      </c>
      <c r="F1079" s="157"/>
      <c r="G1079" s="330">
        <v>647001</v>
      </c>
      <c r="H1079" s="329">
        <v>-393.3</v>
      </c>
      <c r="I1079" s="157"/>
      <c r="J1079" s="330">
        <v>647001</v>
      </c>
      <c r="K1079" s="329">
        <v>-393.3</v>
      </c>
      <c r="L1079" s="157"/>
      <c r="M1079" s="360">
        <f t="shared" si="104"/>
        <v>647001</v>
      </c>
      <c r="N1079" s="237">
        <f t="shared" si="105"/>
        <v>-393.3</v>
      </c>
      <c r="O1079" s="361"/>
      <c r="P1079" s="361"/>
      <c r="Q1079" s="361" t="s">
        <v>698</v>
      </c>
      <c r="R1079" s="362">
        <f>IF(Q1079="ekrk",INDEX(indexy_SDcast!$A:$C,MATCH($M1079,indexy_SDcast!$A:$A,0),2),"")</f>
        <v>9</v>
      </c>
      <c r="S1079" s="236"/>
      <c r="T1079" s="364">
        <f t="shared" si="106"/>
        <v>647001</v>
      </c>
      <c r="U1079" s="365">
        <f>N1079</f>
        <v>-393.3</v>
      </c>
      <c r="V1079" s="365">
        <f>IF($Q1079="ekrk",IF($R1079="data",IFERROR(INDEX(data!$A:$ALL,MATCH($M1079,data!$A:$A,0),MATCH(V$2,data!$1:$1,0)),"#data"),IFERROR(U1079*INDEX(indexy_SDcast!$A:$ALI,MATCH($R1079,indexy_SDcast!$K:$K,0),MATCH(V$2,indexy_SDcast!$2:$2,0)),"#ekrk")),"#popis")</f>
        <v>-393.3</v>
      </c>
      <c r="W1079" s="365">
        <f>IF($Q1079="ekrk",IF($R1079="data",IFERROR(INDEX(data!$A:$ALL,MATCH($M1079,data!$A:$A,0),MATCH(W$2,data!$1:$1,0)),"#data"),IFERROR(V1079*INDEX(indexy_SDcast!$A:$ALI,MATCH($R1079,indexy_SDcast!$K:$K,0),MATCH(W$2,indexy_SDcast!$2:$2,0)),"#ekrk")),"#popis")</f>
        <v>-393.3</v>
      </c>
      <c r="X1079" s="365">
        <f>IF($Q1079="ekrk",IF($R1079="data",IFERROR(INDEX(data!$A:$ALL,MATCH($M1079,data!$A:$A,0),MATCH(X$2,data!$1:$1,0)),"#data"),IFERROR(W1079*INDEX(indexy_SDcast!$A:$ALI,MATCH($R1079,indexy_SDcast!$K:$K,0),MATCH(X$2,indexy_SDcast!$2:$2,0)),"#ekrk")),"#popis")</f>
        <v>-393.3</v>
      </c>
      <c r="Y1079" s="362">
        <f>IF($Q1079="ekrk",IF($R1079="data",IFERROR(INDEX(data!$A:$ALL,MATCH($M1079,data!$A:$A,0),MATCH(Y$2,data!$1:$1,0)),"#data"),IFERROR(X1079*INDEX(indexy_SDcast!$A:$ALI,MATCH($R1079,indexy_SDcast!$K:$K,0),MATCH(Y$2,indexy_SDcast!$2:$2,0)),"#ekrk")),"#popis")</f>
        <v>-393.3</v>
      </c>
    </row>
    <row r="1080" spans="1:44" s="18" customFormat="1" x14ac:dyDescent="0.25">
      <c r="A1080" s="333" t="s">
        <v>709</v>
      </c>
      <c r="B1080" s="334">
        <v>-282903.55382999987</v>
      </c>
      <c r="C1080" s="164"/>
      <c r="D1080" s="333" t="s">
        <v>709</v>
      </c>
      <c r="E1080" s="334">
        <v>-282903.55382999987</v>
      </c>
      <c r="F1080" s="164"/>
      <c r="G1080" s="333" t="s">
        <v>709</v>
      </c>
      <c r="H1080" s="334">
        <v>-282903.55382999987</v>
      </c>
      <c r="I1080" s="164"/>
      <c r="J1080" s="333" t="s">
        <v>709</v>
      </c>
      <c r="K1080" s="334">
        <v>-282903.55382999987</v>
      </c>
      <c r="L1080" s="164"/>
      <c r="M1080" s="358" t="str">
        <f t="shared" si="104"/>
        <v>D39PAY</v>
      </c>
      <c r="N1080" s="239">
        <f t="shared" si="105"/>
        <v>-282903.55382999987</v>
      </c>
      <c r="O1080" s="243"/>
      <c r="P1080" s="243">
        <f>MATCH(Q1080,Q1081:Q$1550,0)</f>
        <v>8</v>
      </c>
      <c r="Q1080" s="243" t="s">
        <v>697</v>
      </c>
      <c r="R1080" s="359" t="str">
        <f>IF(Q1080="ekrk",INDEX(indexy_SDcast!$A:$C,MATCH($M1080,indexy_SDcast!$A:$A,0),2),"")</f>
        <v/>
      </c>
      <c r="S1080" s="240"/>
      <c r="T1080" s="363" t="str">
        <f t="shared" si="106"/>
        <v>D39PAY</v>
      </c>
      <c r="U1080" s="244">
        <f>SUM(U1081:U1087)</f>
        <v>-282903.55382999982</v>
      </c>
      <c r="V1080" s="244">
        <f>SUM(V1081:V1087)</f>
        <v>-8975.3701733410599</v>
      </c>
      <c r="W1080" s="244">
        <f>SUM(W1081:W1087)</f>
        <v>-9152.0256827357807</v>
      </c>
      <c r="X1080" s="244">
        <f>SUM(X1081:X1087)</f>
        <v>-9349.7098334332422</v>
      </c>
      <c r="Y1080" s="359">
        <f>SUM(Y1081:Y1087)</f>
        <v>-9559.0522579859098</v>
      </c>
      <c r="Z1080" s="58"/>
      <c r="AA1080" s="58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58"/>
      <c r="AM1080" s="58"/>
      <c r="AN1080" s="58"/>
      <c r="AO1080" s="58"/>
      <c r="AP1080" s="58"/>
      <c r="AQ1080" s="58"/>
      <c r="AR1080" s="58"/>
    </row>
    <row r="1081" spans="1:44" x14ac:dyDescent="0.25">
      <c r="A1081" s="330">
        <v>644000</v>
      </c>
      <c r="B1081" s="329">
        <v>-13606</v>
      </c>
      <c r="C1081" s="157"/>
      <c r="D1081" s="330">
        <v>644001</v>
      </c>
      <c r="E1081" s="329">
        <v>-13606</v>
      </c>
      <c r="F1081" s="157"/>
      <c r="G1081" s="330"/>
      <c r="H1081" s="329"/>
      <c r="I1081" s="157"/>
      <c r="J1081" s="330"/>
      <c r="K1081" s="329"/>
      <c r="L1081" s="157"/>
      <c r="M1081" s="360"/>
      <c r="N1081" s="237"/>
      <c r="O1081" s="361"/>
      <c r="P1081" s="361"/>
      <c r="Q1081" s="361"/>
      <c r="R1081" s="362"/>
      <c r="S1081" s="236"/>
      <c r="T1081" s="364"/>
      <c r="U1081" s="365"/>
      <c r="V1081" s="365"/>
      <c r="W1081" s="365"/>
      <c r="X1081" s="365"/>
      <c r="Y1081" s="362"/>
    </row>
    <row r="1082" spans="1:44" x14ac:dyDescent="0.25">
      <c r="A1082" s="330">
        <v>644001</v>
      </c>
      <c r="B1082" s="329">
        <v>-431038.98634999979</v>
      </c>
      <c r="C1082" s="157"/>
      <c r="D1082" s="330">
        <v>644001</v>
      </c>
      <c r="E1082" s="329">
        <v>-431038.98634999979</v>
      </c>
      <c r="F1082" s="157"/>
      <c r="G1082" s="330">
        <v>644001</v>
      </c>
      <c r="H1082" s="349">
        <f>E1082+E1087+E1081</f>
        <v>-184644.98634999979</v>
      </c>
      <c r="I1082" s="157"/>
      <c r="J1082" s="330">
        <v>644001</v>
      </c>
      <c r="K1082" s="329">
        <f>H1082+H1087</f>
        <v>-184644.98634999979</v>
      </c>
      <c r="L1082" s="157"/>
      <c r="M1082" s="360">
        <f t="shared" ref="M1082:M1113" si="108">J1082</f>
        <v>644001</v>
      </c>
      <c r="N1082" s="237">
        <f t="shared" ref="N1082:N1113" si="109">K1082</f>
        <v>-184644.98634999979</v>
      </c>
      <c r="O1082" s="361"/>
      <c r="P1082" s="361"/>
      <c r="Q1082" s="361" t="s">
        <v>698</v>
      </c>
      <c r="R1082" s="362">
        <v>2</v>
      </c>
      <c r="S1082" s="236"/>
      <c r="T1082" s="364">
        <f t="shared" ref="T1082:U1086" si="110">M1082</f>
        <v>644001</v>
      </c>
      <c r="U1082" s="365">
        <f t="shared" si="110"/>
        <v>-184644.98634999979</v>
      </c>
      <c r="V1082" s="365">
        <f>IF($Q1082="ekrk",IF($R1082="data",IFERROR(INDEX(data!$A:$ALL,MATCH($M1082,data!$A:$A,0),MATCH(V$2,data!$1:$1,0)),"#data"),IFERROR(U1082*INDEX(indexy_SDcast!$A:$ALI,MATCH($R1082,indexy_SDcast!$K:$K,0),MATCH(V$2,indexy_SDcast!$2:$2,0)),"#ekrk")),"#popis")</f>
        <v>0</v>
      </c>
      <c r="W1082" s="365">
        <f>IF($Q1082="ekrk",IF($R1082="data",IFERROR(INDEX(data!$A:$ALL,MATCH($M1082,data!$A:$A,0),MATCH(W$2,data!$1:$1,0)),"#data"),IFERROR(V1082*INDEX(indexy_SDcast!$A:$ALI,MATCH($R1082,indexy_SDcast!$K:$K,0),MATCH(W$2,indexy_SDcast!$2:$2,0)),"#ekrk")),"#popis")</f>
        <v>0</v>
      </c>
      <c r="X1082" s="365">
        <f>IF($Q1082="ekrk",IF($R1082="data",IFERROR(INDEX(data!$A:$ALL,MATCH($M1082,data!$A:$A,0),MATCH(X$2,data!$1:$1,0)),"#data"),IFERROR(W1082*INDEX(indexy_SDcast!$A:$ALI,MATCH($R1082,indexy_SDcast!$K:$K,0),MATCH(X$2,indexy_SDcast!$2:$2,0)),"#ekrk")),"#popis")</f>
        <v>0</v>
      </c>
      <c r="Y1082" s="362">
        <f>IF($Q1082="ekrk",IF($R1082="data",IFERROR(INDEX(data!$A:$ALL,MATCH($M1082,data!$A:$A,0),MATCH(Y$2,data!$1:$1,0)),"#data"),IFERROR(X1082*INDEX(indexy_SDcast!$A:$ALI,MATCH($R1082,indexy_SDcast!$K:$K,0),MATCH(Y$2,indexy_SDcast!$2:$2,0)),"#ekrk")),"#popis")</f>
        <v>0</v>
      </c>
    </row>
    <row r="1083" spans="1:44" x14ac:dyDescent="0.25">
      <c r="A1083" s="330">
        <v>644002</v>
      </c>
      <c r="B1083" s="329">
        <v>-89346.972840000002</v>
      </c>
      <c r="C1083" s="157"/>
      <c r="D1083" s="330">
        <v>644002</v>
      </c>
      <c r="E1083" s="329">
        <v>-89346.972840000002</v>
      </c>
      <c r="F1083" s="157"/>
      <c r="G1083" s="330">
        <v>644002</v>
      </c>
      <c r="H1083" s="329">
        <v>-89346.972840000002</v>
      </c>
      <c r="I1083" s="157"/>
      <c r="J1083" s="330">
        <v>644002</v>
      </c>
      <c r="K1083" s="329">
        <v>-89346.972840000002</v>
      </c>
      <c r="L1083" s="157"/>
      <c r="M1083" s="360">
        <f t="shared" si="108"/>
        <v>644002</v>
      </c>
      <c r="N1083" s="237">
        <f t="shared" si="109"/>
        <v>-89346.972840000002</v>
      </c>
      <c r="O1083" s="361"/>
      <c r="P1083" s="361"/>
      <c r="Q1083" s="361" t="s">
        <v>698</v>
      </c>
      <c r="R1083" s="362">
        <v>2</v>
      </c>
      <c r="S1083" s="236"/>
      <c r="T1083" s="364">
        <f t="shared" si="110"/>
        <v>644002</v>
      </c>
      <c r="U1083" s="365">
        <f t="shared" si="110"/>
        <v>-89346.972840000002</v>
      </c>
      <c r="V1083" s="365">
        <f>IF($Q1083="ekrk",IF($R1083="data",IFERROR(INDEX(data!$A:$ALL,MATCH($M1083,data!$A:$A,0),MATCH(V$2,data!$1:$1,0)),"#data"),IFERROR(U1083*INDEX(indexy_SDcast!$A:$ALI,MATCH($R1083,indexy_SDcast!$K:$K,0),MATCH(V$2,indexy_SDcast!$2:$2,0)),"#ekrk")),"#popis")</f>
        <v>0</v>
      </c>
      <c r="W1083" s="365">
        <f>IF($Q1083="ekrk",IF($R1083="data",IFERROR(INDEX(data!$A:$ALL,MATCH($M1083,data!$A:$A,0),MATCH(W$2,data!$1:$1,0)),"#data"),IFERROR(V1083*INDEX(indexy_SDcast!$A:$ALI,MATCH($R1083,indexy_SDcast!$K:$K,0),MATCH(W$2,indexy_SDcast!$2:$2,0)),"#ekrk")),"#popis")</f>
        <v>0</v>
      </c>
      <c r="X1083" s="365">
        <f>IF($Q1083="ekrk",IF($R1083="data",IFERROR(INDEX(data!$A:$ALL,MATCH($M1083,data!$A:$A,0),MATCH(X$2,data!$1:$1,0)),"#data"),IFERROR(W1083*INDEX(indexy_SDcast!$A:$ALI,MATCH($R1083,indexy_SDcast!$K:$K,0),MATCH(X$2,indexy_SDcast!$2:$2,0)),"#ekrk")),"#popis")</f>
        <v>0</v>
      </c>
      <c r="Y1083" s="362">
        <f>IF($Q1083="ekrk",IF($R1083="data",IFERROR(INDEX(data!$A:$ALL,MATCH($M1083,data!$A:$A,0),MATCH(Y$2,data!$1:$1,0)),"#data"),IFERROR(X1083*INDEX(indexy_SDcast!$A:$ALI,MATCH($R1083,indexy_SDcast!$K:$K,0),MATCH(Y$2,indexy_SDcast!$2:$2,0)),"#ekrk")),"#popis")</f>
        <v>0</v>
      </c>
    </row>
    <row r="1084" spans="1:44" x14ac:dyDescent="0.25">
      <c r="A1084" s="330">
        <v>644003</v>
      </c>
      <c r="B1084" s="329">
        <v>-932.99372000000005</v>
      </c>
      <c r="C1084" s="157"/>
      <c r="D1084" s="330">
        <v>644003</v>
      </c>
      <c r="E1084" s="329">
        <v>-932.99372000000005</v>
      </c>
      <c r="F1084" s="157"/>
      <c r="G1084" s="330">
        <v>644003</v>
      </c>
      <c r="H1084" s="329">
        <v>-932.99372000000005</v>
      </c>
      <c r="I1084" s="157"/>
      <c r="J1084" s="330">
        <v>644003</v>
      </c>
      <c r="K1084" s="329">
        <v>-932.99372000000005</v>
      </c>
      <c r="L1084" s="157"/>
      <c r="M1084" s="360">
        <f t="shared" si="108"/>
        <v>644003</v>
      </c>
      <c r="N1084" s="237">
        <f t="shared" si="109"/>
        <v>-932.99372000000005</v>
      </c>
      <c r="O1084" s="361"/>
      <c r="P1084" s="361"/>
      <c r="Q1084" s="361" t="s">
        <v>698</v>
      </c>
      <c r="R1084" s="362">
        <f>IF(Q1084="ekrk",INDEX(indexy_SDcast!$A:$C,MATCH($M1084,indexy_SDcast!$A:$A,0),2),"")</f>
        <v>25</v>
      </c>
      <c r="S1084" s="236"/>
      <c r="T1084" s="364">
        <f t="shared" si="110"/>
        <v>644003</v>
      </c>
      <c r="U1084" s="365">
        <f t="shared" si="110"/>
        <v>-932.99372000000005</v>
      </c>
      <c r="V1084" s="365">
        <f>IF($Q1084="ekrk",IF($R1084="data",IFERROR(INDEX(data!$A:$ALL,MATCH($M1084,data!$A:$A,0),MATCH(V$2,data!$1:$1,0)),"#data"),IFERROR(U1084*INDEX(indexy_SDcast!$A:$ALI,MATCH($R1084,indexy_SDcast!$K:$K,0),MATCH(V$2,indexy_SDcast!$2:$2,0)),"#ekrk")),"#popis")</f>
        <v>-940.03548497245174</v>
      </c>
      <c r="W1084" s="365">
        <f>IF($Q1084="ekrk",IF($R1084="data",IFERROR(INDEX(data!$A:$ALL,MATCH($M1084,data!$A:$A,0),MATCH(W$2,data!$1:$1,0)),"#data"),IFERROR(V1084*INDEX(indexy_SDcast!$A:$ALI,MATCH($R1084,indexy_SDcast!$K:$K,0),MATCH(W$2,indexy_SDcast!$2:$2,0)),"#ekrk")),"#popis")</f>
        <v>-959.54087384303705</v>
      </c>
      <c r="X1084" s="365">
        <f>IF($Q1084="ekrk",IF($R1084="data",IFERROR(INDEX(data!$A:$ALL,MATCH($M1084,data!$A:$A,0),MATCH(X$2,data!$1:$1,0)),"#data"),IFERROR(W1084*INDEX(indexy_SDcast!$A:$ALI,MATCH($R1084,indexy_SDcast!$K:$K,0),MATCH(X$2,indexy_SDcast!$2:$2,0)),"#ekrk")),"#popis")</f>
        <v>-981.36813666725914</v>
      </c>
      <c r="Y1084" s="362">
        <f>IF($Q1084="ekrk",IF($R1084="data",IFERROR(INDEX(data!$A:$ALL,MATCH($M1084,data!$A:$A,0),MATCH(Y$2,data!$1:$1,0)),"#data"),IFERROR(X1084*INDEX(indexy_SDcast!$A:$ALI,MATCH($R1084,indexy_SDcast!$K:$K,0),MATCH(Y$2,indexy_SDcast!$2:$2,0)),"#ekrk")),"#popis")</f>
        <v>-1004.482645872218</v>
      </c>
    </row>
    <row r="1085" spans="1:44" x14ac:dyDescent="0.25">
      <c r="A1085" s="330">
        <v>644004</v>
      </c>
      <c r="B1085" s="329">
        <v>-7516.90092</v>
      </c>
      <c r="C1085" s="157"/>
      <c r="D1085" s="330">
        <v>644004</v>
      </c>
      <c r="E1085" s="329">
        <v>-7516.90092</v>
      </c>
      <c r="F1085" s="157"/>
      <c r="G1085" s="330">
        <v>644004</v>
      </c>
      <c r="H1085" s="329">
        <v>-7516.90092</v>
      </c>
      <c r="I1085" s="157"/>
      <c r="J1085" s="330">
        <v>644004</v>
      </c>
      <c r="K1085" s="329">
        <v>-7516.90092</v>
      </c>
      <c r="L1085" s="157"/>
      <c r="M1085" s="360">
        <f t="shared" si="108"/>
        <v>644004</v>
      </c>
      <c r="N1085" s="237">
        <f t="shared" si="109"/>
        <v>-7516.90092</v>
      </c>
      <c r="O1085" s="361"/>
      <c r="P1085" s="361"/>
      <c r="Q1085" s="361" t="s">
        <v>698</v>
      </c>
      <c r="R1085" s="362">
        <f>IF(Q1085="ekrk",INDEX(indexy_SDcast!$A:$C,MATCH($M1085,indexy_SDcast!$A:$A,0),2),"")</f>
        <v>25</v>
      </c>
      <c r="S1085" s="236"/>
      <c r="T1085" s="364">
        <f t="shared" si="110"/>
        <v>644004</v>
      </c>
      <c r="U1085" s="365">
        <f t="shared" si="110"/>
        <v>-7516.90092</v>
      </c>
      <c r="V1085" s="365">
        <f>IF($Q1085="ekrk",IF($R1085="data",IFERROR(INDEX(data!$A:$ALL,MATCH($M1085,data!$A:$A,0),MATCH(V$2,data!$1:$1,0)),"#data"),IFERROR(U1085*INDEX(indexy_SDcast!$A:$ALI,MATCH($R1085,indexy_SDcast!$K:$K,0),MATCH(V$2,indexy_SDcast!$2:$2,0)),"#ekrk")),"#popis")</f>
        <v>-7573.6346883686074</v>
      </c>
      <c r="W1085" s="365">
        <f>IF($Q1085="ekrk",IF($R1085="data",IFERROR(INDEX(data!$A:$ALL,MATCH($M1085,data!$A:$A,0),MATCH(W$2,data!$1:$1,0)),"#data"),IFERROR(V1085*INDEX(indexy_SDcast!$A:$ALI,MATCH($R1085,indexy_SDcast!$K:$K,0),MATCH(W$2,indexy_SDcast!$2:$2,0)),"#ekrk")),"#popis")</f>
        <v>-7730.7848088927421</v>
      </c>
      <c r="X1085" s="365">
        <f>IF($Q1085="ekrk",IF($R1085="data",IFERROR(INDEX(data!$A:$ALL,MATCH($M1085,data!$A:$A,0),MATCH(X$2,data!$1:$1,0)),"#data"),IFERROR(W1085*INDEX(indexy_SDcast!$A:$ALI,MATCH($R1085,indexy_SDcast!$K:$K,0),MATCH(X$2,indexy_SDcast!$2:$2,0)),"#ekrk")),"#popis")</f>
        <v>-7906.6416967659825</v>
      </c>
      <c r="Y1085" s="362">
        <f>IF($Q1085="ekrk",IF($R1085="data",IFERROR(INDEX(data!$A:$ALL,MATCH($M1085,data!$A:$A,0),MATCH(Y$2,data!$1:$1,0)),"#data"),IFERROR(X1085*INDEX(indexy_SDcast!$A:$ALI,MATCH($R1085,indexy_SDcast!$K:$K,0),MATCH(Y$2,indexy_SDcast!$2:$2,0)),"#ekrk")),"#popis")</f>
        <v>-8092.8696121136909</v>
      </c>
    </row>
    <row r="1086" spans="1:44" x14ac:dyDescent="0.25">
      <c r="A1086" s="330">
        <v>647001</v>
      </c>
      <c r="B1086" s="329">
        <v>-461.7</v>
      </c>
      <c r="C1086" s="157"/>
      <c r="D1086" s="330">
        <v>647001</v>
      </c>
      <c r="E1086" s="329">
        <v>-461.7</v>
      </c>
      <c r="F1086" s="157"/>
      <c r="G1086" s="330">
        <v>647001</v>
      </c>
      <c r="H1086" s="329">
        <v>-461.7</v>
      </c>
      <c r="I1086" s="157"/>
      <c r="J1086" s="330">
        <v>647001</v>
      </c>
      <c r="K1086" s="329">
        <v>-461.7</v>
      </c>
      <c r="L1086" s="157"/>
      <c r="M1086" s="360">
        <f t="shared" si="108"/>
        <v>647001</v>
      </c>
      <c r="N1086" s="237">
        <f t="shared" si="109"/>
        <v>-461.7</v>
      </c>
      <c r="O1086" s="361"/>
      <c r="P1086" s="361"/>
      <c r="Q1086" s="361" t="s">
        <v>698</v>
      </c>
      <c r="R1086" s="362">
        <f>IF(Q1086="ekrk",INDEX(indexy_SDcast!$A:$C,MATCH($M1086,indexy_SDcast!$A:$A,0),2),"")</f>
        <v>9</v>
      </c>
      <c r="S1086" s="236"/>
      <c r="T1086" s="364">
        <f t="shared" si="110"/>
        <v>647001</v>
      </c>
      <c r="U1086" s="365">
        <f t="shared" si="110"/>
        <v>-461.7</v>
      </c>
      <c r="V1086" s="365">
        <f>IF($Q1086="ekrk",IF($R1086="data",IFERROR(INDEX(data!$A:$ALL,MATCH($M1086,data!$A:$A,0),MATCH(V$2,data!$1:$1,0)),"#data"),IFERROR(U1086*INDEX(indexy_SDcast!$A:$ALI,MATCH($R1086,indexy_SDcast!$K:$K,0),MATCH(V$2,indexy_SDcast!$2:$2,0)),"#ekrk")),"#popis")</f>
        <v>-461.7</v>
      </c>
      <c r="W1086" s="365">
        <f>IF($Q1086="ekrk",IF($R1086="data",IFERROR(INDEX(data!$A:$ALL,MATCH($M1086,data!$A:$A,0),MATCH(W$2,data!$1:$1,0)),"#data"),IFERROR(V1086*INDEX(indexy_SDcast!$A:$ALI,MATCH($R1086,indexy_SDcast!$K:$K,0),MATCH(W$2,indexy_SDcast!$2:$2,0)),"#ekrk")),"#popis")</f>
        <v>-461.7</v>
      </c>
      <c r="X1086" s="365">
        <f>IF($Q1086="ekrk",IF($R1086="data",IFERROR(INDEX(data!$A:$ALL,MATCH($M1086,data!$A:$A,0),MATCH(X$2,data!$1:$1,0)),"#data"),IFERROR(W1086*INDEX(indexy_SDcast!$A:$ALI,MATCH($R1086,indexy_SDcast!$K:$K,0),MATCH(X$2,indexy_SDcast!$2:$2,0)),"#ekrk")),"#popis")</f>
        <v>-461.7</v>
      </c>
      <c r="Y1086" s="362">
        <f>IF($Q1086="ekrk",IF($R1086="data",IFERROR(INDEX(data!$A:$ALL,MATCH($M1086,data!$A:$A,0),MATCH(Y$2,data!$1:$1,0)),"#data"),IFERROR(X1086*INDEX(indexy_SDcast!$A:$ALI,MATCH($R1086,indexy_SDcast!$K:$K,0),MATCH(Y$2,indexy_SDcast!$2:$2,0)),"#ekrk")),"#popis")</f>
        <v>-461.7</v>
      </c>
    </row>
    <row r="1087" spans="1:44" x14ac:dyDescent="0.25">
      <c r="A1087" s="330" t="s">
        <v>710</v>
      </c>
      <c r="B1087" s="329">
        <v>260000</v>
      </c>
      <c r="C1087" s="157"/>
      <c r="D1087" s="348">
        <v>644001</v>
      </c>
      <c r="E1087" s="329">
        <v>260000</v>
      </c>
      <c r="F1087" s="157"/>
      <c r="G1087" s="330"/>
      <c r="H1087" s="329"/>
      <c r="I1087" s="157"/>
      <c r="J1087" s="330"/>
      <c r="K1087" s="329"/>
      <c r="L1087" s="157"/>
      <c r="M1087" s="360">
        <f t="shared" si="108"/>
        <v>0</v>
      </c>
      <c r="N1087" s="237">
        <f t="shared" si="109"/>
        <v>0</v>
      </c>
      <c r="O1087" s="361"/>
      <c r="P1087" s="361"/>
      <c r="Q1087" s="361"/>
      <c r="R1087" s="362"/>
      <c r="S1087" s="236"/>
      <c r="T1087" s="364"/>
      <c r="U1087" s="365"/>
      <c r="V1087" s="365"/>
      <c r="W1087" s="365"/>
      <c r="X1087" s="365"/>
      <c r="Y1087" s="362"/>
    </row>
    <row r="1088" spans="1:44" s="18" customFormat="1" x14ac:dyDescent="0.25">
      <c r="A1088" s="333" t="s">
        <v>711</v>
      </c>
      <c r="B1088" s="334">
        <v>0</v>
      </c>
      <c r="C1088" s="164"/>
      <c r="D1088" s="333" t="s">
        <v>711</v>
      </c>
      <c r="E1088" s="334">
        <v>0</v>
      </c>
      <c r="F1088" s="164"/>
      <c r="G1088" s="333" t="s">
        <v>711</v>
      </c>
      <c r="H1088" s="334">
        <v>0</v>
      </c>
      <c r="I1088" s="164"/>
      <c r="J1088" s="333" t="s">
        <v>711</v>
      </c>
      <c r="K1088" s="334">
        <v>0</v>
      </c>
      <c r="L1088" s="164"/>
      <c r="M1088" s="358" t="str">
        <f t="shared" si="108"/>
        <v>D39REC</v>
      </c>
      <c r="N1088" s="239">
        <f t="shared" si="109"/>
        <v>0</v>
      </c>
      <c r="O1088" s="243"/>
      <c r="P1088" s="243">
        <f>MATCH(Q1088,Q1089:Q$1550,0)</f>
        <v>3</v>
      </c>
      <c r="Q1088" s="243" t="s">
        <v>697</v>
      </c>
      <c r="R1088" s="359" t="str">
        <f>IF(Q1088="ekrk",INDEX(indexy_SDcast!$A:$C,MATCH($M1088,indexy_SDcast!$A:$A,0),2),"")</f>
        <v/>
      </c>
      <c r="S1088" s="240"/>
      <c r="T1088" s="363" t="str">
        <f>M1088</f>
        <v>D39REC</v>
      </c>
      <c r="U1088" s="244">
        <f>SUM(U1089:U1090)</f>
        <v>0</v>
      </c>
      <c r="V1088" s="244">
        <f>SUM(V1089:V1090)</f>
        <v>0</v>
      </c>
      <c r="W1088" s="244">
        <f>SUM(W1089:W1090)</f>
        <v>0</v>
      </c>
      <c r="X1088" s="244">
        <f>SUM(X1089:X1090)</f>
        <v>0</v>
      </c>
      <c r="Y1088" s="359">
        <f>SUM(Y1089:Y1090)</f>
        <v>0</v>
      </c>
      <c r="Z1088" s="58"/>
      <c r="AA1088" s="58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58"/>
      <c r="AM1088" s="58"/>
      <c r="AN1088" s="58"/>
      <c r="AO1088" s="58"/>
      <c r="AP1088" s="58"/>
      <c r="AQ1088" s="58"/>
      <c r="AR1088" s="58"/>
    </row>
    <row r="1089" spans="1:44" x14ac:dyDescent="0.25">
      <c r="A1089" s="330" t="s">
        <v>712</v>
      </c>
      <c r="B1089" s="329">
        <v>-260000</v>
      </c>
      <c r="C1089" s="157"/>
      <c r="D1089" s="348"/>
      <c r="E1089" s="349"/>
      <c r="F1089" s="157"/>
      <c r="G1089" s="330"/>
      <c r="H1089" s="329"/>
      <c r="I1089" s="157"/>
      <c r="J1089" s="330"/>
      <c r="K1089" s="329"/>
      <c r="L1089" s="157"/>
      <c r="M1089" s="360">
        <f t="shared" si="108"/>
        <v>0</v>
      </c>
      <c r="N1089" s="237">
        <f t="shared" si="109"/>
        <v>0</v>
      </c>
      <c r="O1089" s="361"/>
      <c r="P1089" s="361"/>
      <c r="Q1089" s="361"/>
      <c r="R1089" s="362"/>
      <c r="S1089" s="236"/>
      <c r="T1089" s="364"/>
      <c r="U1089" s="365"/>
      <c r="V1089" s="365"/>
      <c r="W1089" s="365"/>
      <c r="X1089" s="365"/>
      <c r="Y1089" s="362"/>
    </row>
    <row r="1090" spans="1:44" x14ac:dyDescent="0.25">
      <c r="A1090" s="330" t="s">
        <v>699</v>
      </c>
      <c r="B1090" s="329">
        <v>260000</v>
      </c>
      <c r="C1090" s="157"/>
      <c r="D1090" s="348"/>
      <c r="E1090" s="349"/>
      <c r="F1090" s="157"/>
      <c r="G1090" s="330"/>
      <c r="H1090" s="329"/>
      <c r="I1090" s="157"/>
      <c r="J1090" s="330"/>
      <c r="K1090" s="329"/>
      <c r="L1090" s="157"/>
      <c r="M1090" s="360">
        <f t="shared" si="108"/>
        <v>0</v>
      </c>
      <c r="N1090" s="237">
        <f t="shared" si="109"/>
        <v>0</v>
      </c>
      <c r="O1090" s="361"/>
      <c r="P1090" s="361"/>
      <c r="Q1090" s="361"/>
      <c r="R1090" s="362"/>
      <c r="S1090" s="236"/>
      <c r="T1090" s="364"/>
      <c r="U1090" s="365"/>
      <c r="V1090" s="365"/>
      <c r="W1090" s="365"/>
      <c r="X1090" s="365"/>
      <c r="Y1090" s="362"/>
    </row>
    <row r="1091" spans="1:44" s="18" customFormat="1" x14ac:dyDescent="0.25">
      <c r="A1091" s="333" t="s">
        <v>713</v>
      </c>
      <c r="B1091" s="334">
        <v>-1412765.3362799999</v>
      </c>
      <c r="C1091" s="164"/>
      <c r="D1091" s="333" t="s">
        <v>713</v>
      </c>
      <c r="E1091" s="334">
        <v>-1412765.3362799999</v>
      </c>
      <c r="F1091" s="164"/>
      <c r="G1091" s="333" t="s">
        <v>713</v>
      </c>
      <c r="H1091" s="334">
        <v>-1412765.3362799999</v>
      </c>
      <c r="I1091" s="164"/>
      <c r="J1091" s="333" t="s">
        <v>713</v>
      </c>
      <c r="K1091" s="334">
        <v>-1412765.3362799999</v>
      </c>
      <c r="L1091" s="164"/>
      <c r="M1091" s="358" t="str">
        <f t="shared" si="108"/>
        <v>D41PUBPAY</v>
      </c>
      <c r="N1091" s="239">
        <f t="shared" si="109"/>
        <v>-1412765.3362799999</v>
      </c>
      <c r="O1091" s="243"/>
      <c r="P1091" s="243">
        <f>MATCH(Q1091,Q1092:Q$1550,0)</f>
        <v>11</v>
      </c>
      <c r="Q1091" s="243" t="s">
        <v>697</v>
      </c>
      <c r="R1091" s="359" t="str">
        <f>IF(Q1091="ekrk",INDEX(indexy_SDcast!$A:$C,MATCH($M1091,indexy_SDcast!$A:$A,0),2),"")</f>
        <v/>
      </c>
      <c r="S1091" s="240"/>
      <c r="T1091" s="363" t="str">
        <f t="shared" ref="T1091:T1108" si="111">M1091</f>
        <v>D41PUBPAY</v>
      </c>
      <c r="U1091" s="244">
        <f>SUM(U1092:U1101)</f>
        <v>-1412765.3362799999</v>
      </c>
      <c r="V1091" s="244">
        <f ca="1">SUM(V1092:V1101)</f>
        <v>-1438231.9833565184</v>
      </c>
      <c r="W1091" s="244">
        <f ca="1">SUM(W1092:W1101)</f>
        <v>-1494981.9640816208</v>
      </c>
      <c r="X1091" s="244">
        <f ca="1">SUM(X1092:X1101)</f>
        <v>-1598088.9665260646</v>
      </c>
      <c r="Y1091" s="359">
        <f ca="1">SUM(Y1092:Y1101)</f>
        <v>-1738683.6198952391</v>
      </c>
      <c r="Z1091" s="58"/>
      <c r="AA1091" s="58"/>
      <c r="AB1091" s="58"/>
      <c r="AC1091" s="58"/>
      <c r="AD1091" s="58"/>
      <c r="AE1091" s="58"/>
      <c r="AF1091" s="58"/>
      <c r="AG1091" s="58"/>
      <c r="AH1091" s="58"/>
      <c r="AI1091" s="58"/>
      <c r="AJ1091" s="58"/>
      <c r="AK1091" s="58"/>
      <c r="AL1091" s="58"/>
      <c r="AM1091" s="58"/>
      <c r="AN1091" s="58"/>
      <c r="AO1091" s="58"/>
      <c r="AP1091" s="58"/>
      <c r="AQ1091" s="58"/>
      <c r="AR1091" s="58"/>
    </row>
    <row r="1092" spans="1:44" x14ac:dyDescent="0.25">
      <c r="A1092" s="330">
        <v>322001</v>
      </c>
      <c r="B1092" s="329">
        <v>76280</v>
      </c>
      <c r="C1092" s="157"/>
      <c r="D1092" s="330">
        <v>322001</v>
      </c>
      <c r="E1092" s="329">
        <v>76280</v>
      </c>
      <c r="F1092" s="157"/>
      <c r="G1092" s="330">
        <v>322001</v>
      </c>
      <c r="H1092" s="329">
        <v>76280</v>
      </c>
      <c r="I1092" s="157"/>
      <c r="J1092" s="330">
        <v>322001</v>
      </c>
      <c r="K1092" s="329">
        <v>76280</v>
      </c>
      <c r="L1092" s="157"/>
      <c r="M1092" s="360">
        <f t="shared" si="108"/>
        <v>322001</v>
      </c>
      <c r="N1092" s="237">
        <f t="shared" si="109"/>
        <v>76280</v>
      </c>
      <c r="O1092" s="361"/>
      <c r="P1092" s="361"/>
      <c r="Q1092" s="361" t="s">
        <v>698</v>
      </c>
      <c r="R1092" s="362">
        <f>IF(Q1092="ekrk",INDEX(indexy_SDcast!$A:$C,MATCH($M1092,indexy_SDcast!$A:$A,0),2),"")</f>
        <v>2</v>
      </c>
      <c r="S1092" s="236"/>
      <c r="T1092" s="364">
        <f t="shared" si="111"/>
        <v>322001</v>
      </c>
      <c r="U1092" s="365">
        <f t="shared" ref="U1092:U1101" si="112">N1092</f>
        <v>76280</v>
      </c>
      <c r="V1092" s="365">
        <f>IF($Q1092="ekrk",IF($R1092="data",IFERROR(INDEX(data!$A:$ALL,MATCH($M1092,data!$A:$A,0),MATCH(V$2,data!$1:$1,0)),"#data"),IFERROR(U1092*INDEX(indexy_SDcast!$A:$ALI,MATCH($R1092,indexy_SDcast!$K:$K,0),MATCH(V$2,indexy_SDcast!$2:$2,0)),"#ekrk")),"#popis")</f>
        <v>0</v>
      </c>
      <c r="W1092" s="365">
        <f>IF($Q1092="ekrk",IF($R1092="data",IFERROR(INDEX(data!$A:$ALL,MATCH($M1092,data!$A:$A,0),MATCH(W$2,data!$1:$1,0)),"#data"),IFERROR(V1092*INDEX(indexy_SDcast!$A:$ALI,MATCH($R1092,indexy_SDcast!$K:$K,0),MATCH(W$2,indexy_SDcast!$2:$2,0)),"#ekrk")),"#popis")</f>
        <v>0</v>
      </c>
      <c r="X1092" s="365">
        <f>IF($Q1092="ekrk",IF($R1092="data",IFERROR(INDEX(data!$A:$ALL,MATCH($M1092,data!$A:$A,0),MATCH(X$2,data!$1:$1,0)),"#data"),IFERROR(W1092*INDEX(indexy_SDcast!$A:$ALI,MATCH($R1092,indexy_SDcast!$K:$K,0),MATCH(X$2,indexy_SDcast!$2:$2,0)),"#ekrk")),"#popis")</f>
        <v>0</v>
      </c>
      <c r="Y1092" s="362">
        <f>IF($Q1092="ekrk",IF($R1092="data",IFERROR(INDEX(data!$A:$ALL,MATCH($M1092,data!$A:$A,0),MATCH(Y$2,data!$1:$1,0)),"#data"),IFERROR(X1092*INDEX(indexy_SDcast!$A:$ALI,MATCH($R1092,indexy_SDcast!$K:$K,0),MATCH(Y$2,indexy_SDcast!$2:$2,0)),"#ekrk")),"#popis")</f>
        <v>0</v>
      </c>
    </row>
    <row r="1093" spans="1:44" x14ac:dyDescent="0.25">
      <c r="A1093" s="330">
        <v>651001</v>
      </c>
      <c r="B1093" s="329">
        <v>-388.14941000000005</v>
      </c>
      <c r="C1093" s="157"/>
      <c r="D1093" s="330">
        <v>651001</v>
      </c>
      <c r="E1093" s="329">
        <v>-388.14941000000005</v>
      </c>
      <c r="F1093" s="157"/>
      <c r="G1093" s="330">
        <v>651001</v>
      </c>
      <c r="H1093" s="356">
        <f>E1093+E1101</f>
        <v>12394.85059</v>
      </c>
      <c r="I1093" s="157"/>
      <c r="J1093" s="330">
        <v>651001</v>
      </c>
      <c r="K1093" s="329">
        <f>H1093+H1101</f>
        <v>12394.85059</v>
      </c>
      <c r="L1093" s="157"/>
      <c r="M1093" s="360">
        <f t="shared" si="108"/>
        <v>651001</v>
      </c>
      <c r="N1093" s="237">
        <f t="shared" si="109"/>
        <v>12394.85059</v>
      </c>
      <c r="O1093" s="361"/>
      <c r="P1093" s="361"/>
      <c r="Q1093" s="361" t="s">
        <v>698</v>
      </c>
      <c r="R1093" s="362">
        <f>IF(Q1093="ekrk",INDEX(indexy_SDcast!$A:$C,MATCH($M1093,indexy_SDcast!$A:$A,0),2),"")</f>
        <v>2</v>
      </c>
      <c r="S1093" s="236"/>
      <c r="T1093" s="364">
        <f t="shared" si="111"/>
        <v>651001</v>
      </c>
      <c r="U1093" s="365">
        <f t="shared" si="112"/>
        <v>12394.85059</v>
      </c>
      <c r="V1093" s="365">
        <f>IF($Q1093="ekrk",IF($R1093="data",IFERROR(INDEX(data!$A:$ALL,MATCH($M1093,data!$A:$A,0),MATCH(V$2,data!$1:$1,0)),"#data"),IFERROR(U1093*INDEX(indexy_SDcast!$A:$ALI,MATCH($R1093,indexy_SDcast!$K:$K,0),MATCH(V$2,indexy_SDcast!$2:$2,0)),"#ekrk")),"#popis")</f>
        <v>0</v>
      </c>
      <c r="W1093" s="365">
        <f>IF($Q1093="ekrk",IF($R1093="data",IFERROR(INDEX(data!$A:$ALL,MATCH($M1093,data!$A:$A,0),MATCH(W$2,data!$1:$1,0)),"#data"),IFERROR(V1093*INDEX(indexy_SDcast!$A:$ALI,MATCH($R1093,indexy_SDcast!$K:$K,0),MATCH(W$2,indexy_SDcast!$2:$2,0)),"#ekrk")),"#popis")</f>
        <v>0</v>
      </c>
      <c r="X1093" s="365">
        <f>IF($Q1093="ekrk",IF($R1093="data",IFERROR(INDEX(data!$A:$ALL,MATCH($M1093,data!$A:$A,0),MATCH(X$2,data!$1:$1,0)),"#data"),IFERROR(W1093*INDEX(indexy_SDcast!$A:$ALI,MATCH($R1093,indexy_SDcast!$K:$K,0),MATCH(X$2,indexy_SDcast!$2:$2,0)),"#ekrk")),"#popis")</f>
        <v>0</v>
      </c>
      <c r="Y1093" s="362">
        <f>IF($Q1093="ekrk",IF($R1093="data",IFERROR(INDEX(data!$A:$ALL,MATCH($M1093,data!$A:$A,0),MATCH(Y$2,data!$1:$1,0)),"#data"),IFERROR(X1093*INDEX(indexy_SDcast!$A:$ALI,MATCH($R1093,indexy_SDcast!$K:$K,0),MATCH(Y$2,indexy_SDcast!$2:$2,0)),"#ekrk")),"#popis")</f>
        <v>0</v>
      </c>
    </row>
    <row r="1094" spans="1:44" x14ac:dyDescent="0.25">
      <c r="A1094" s="330">
        <v>651002</v>
      </c>
      <c r="B1094" s="329">
        <v>-639423.82341000019</v>
      </c>
      <c r="C1094" s="157"/>
      <c r="D1094" s="330">
        <v>651002</v>
      </c>
      <c r="E1094" s="329">
        <v>-639423.82341000019</v>
      </c>
      <c r="F1094" s="157"/>
      <c r="G1094" s="330">
        <v>651002</v>
      </c>
      <c r="H1094" s="329">
        <v>-639423.82341000019</v>
      </c>
      <c r="I1094" s="157"/>
      <c r="J1094" s="330">
        <v>651002</v>
      </c>
      <c r="K1094" s="329">
        <v>-639423.82341000019</v>
      </c>
      <c r="L1094" s="157"/>
      <c r="M1094" s="360">
        <f t="shared" si="108"/>
        <v>651002</v>
      </c>
      <c r="N1094" s="237">
        <f t="shared" si="109"/>
        <v>-639423.82341000019</v>
      </c>
      <c r="O1094" s="361"/>
      <c r="P1094" s="361"/>
      <c r="Q1094" s="361" t="s">
        <v>698</v>
      </c>
      <c r="R1094" s="362">
        <f>IF(Q1094="ekrk",INDEX(indexy_SDcast!$A:$C,MATCH($M1094,indexy_SDcast!$A:$A,0),2),"")</f>
        <v>2</v>
      </c>
      <c r="S1094" s="236"/>
      <c r="T1094" s="364">
        <f t="shared" si="111"/>
        <v>651002</v>
      </c>
      <c r="U1094" s="365">
        <f t="shared" si="112"/>
        <v>-639423.82341000019</v>
      </c>
      <c r="V1094" s="365">
        <f>IF($Q1094="ekrk",IF($R1094="data",IFERROR(INDEX(data!$A:$ALL,MATCH($M1094,data!$A:$A,0),MATCH(V$2,data!$1:$1,0)),"#data"),IFERROR(U1094*INDEX(indexy_SDcast!$A:$ALI,MATCH($R1094,indexy_SDcast!$K:$K,0),MATCH(V$2,indexy_SDcast!$2:$2,0)),"#ekrk")),"#popis")</f>
        <v>0</v>
      </c>
      <c r="W1094" s="365">
        <f>IF($Q1094="ekrk",IF($R1094="data",IFERROR(INDEX(data!$A:$ALL,MATCH($M1094,data!$A:$A,0),MATCH(W$2,data!$1:$1,0)),"#data"),IFERROR(V1094*INDEX(indexy_SDcast!$A:$ALI,MATCH($R1094,indexy_SDcast!$K:$K,0),MATCH(W$2,indexy_SDcast!$2:$2,0)),"#ekrk")),"#popis")</f>
        <v>0</v>
      </c>
      <c r="X1094" s="365">
        <f>IF($Q1094="ekrk",IF($R1094="data",IFERROR(INDEX(data!$A:$ALL,MATCH($M1094,data!$A:$A,0),MATCH(X$2,data!$1:$1,0)),"#data"),IFERROR(W1094*INDEX(indexy_SDcast!$A:$ALI,MATCH($R1094,indexy_SDcast!$K:$K,0),MATCH(X$2,indexy_SDcast!$2:$2,0)),"#ekrk")),"#popis")</f>
        <v>0</v>
      </c>
      <c r="Y1094" s="362">
        <f>IF($Q1094="ekrk",IF($R1094="data",IFERROR(INDEX(data!$A:$ALL,MATCH($M1094,data!$A:$A,0),MATCH(Y$2,data!$1:$1,0)),"#data"),IFERROR(X1094*INDEX(indexy_SDcast!$A:$ALI,MATCH($R1094,indexy_SDcast!$K:$K,0),MATCH(Y$2,indexy_SDcast!$2:$2,0)),"#ekrk")),"#popis")</f>
        <v>0</v>
      </c>
    </row>
    <row r="1095" spans="1:44" x14ac:dyDescent="0.25">
      <c r="A1095" s="330">
        <v>651004</v>
      </c>
      <c r="B1095" s="329">
        <v>-1652.8875099999996</v>
      </c>
      <c r="C1095" s="157"/>
      <c r="D1095" s="330">
        <v>651004</v>
      </c>
      <c r="E1095" s="329">
        <v>-1652.8875099999996</v>
      </c>
      <c r="F1095" s="157"/>
      <c r="G1095" s="330">
        <v>651004</v>
      </c>
      <c r="H1095" s="329">
        <v>-1652.8875099999996</v>
      </c>
      <c r="I1095" s="157"/>
      <c r="J1095" s="330">
        <v>651004</v>
      </c>
      <c r="K1095" s="329">
        <v>-1652.8875099999996</v>
      </c>
      <c r="L1095" s="157"/>
      <c r="M1095" s="360">
        <f t="shared" si="108"/>
        <v>651004</v>
      </c>
      <c r="N1095" s="237">
        <f t="shared" si="109"/>
        <v>-1652.8875099999996</v>
      </c>
      <c r="O1095" s="361"/>
      <c r="P1095" s="361"/>
      <c r="Q1095" s="361" t="s">
        <v>698</v>
      </c>
      <c r="R1095" s="362">
        <f>IF(Q1095="ekrk",INDEX(indexy_SDcast!$A:$C,MATCH($M1095,indexy_SDcast!$A:$A,0),2),"")</f>
        <v>2</v>
      </c>
      <c r="S1095" s="236"/>
      <c r="T1095" s="364">
        <f t="shared" si="111"/>
        <v>651004</v>
      </c>
      <c r="U1095" s="365">
        <f t="shared" si="112"/>
        <v>-1652.8875099999996</v>
      </c>
      <c r="V1095" s="365">
        <f>IF($Q1095="ekrk",IF($R1095="data",IFERROR(INDEX(data!$A:$ALL,MATCH($M1095,data!$A:$A,0),MATCH(V$2,data!$1:$1,0)),"#data"),IFERROR(U1095*INDEX(indexy_SDcast!$A:$ALI,MATCH($R1095,indexy_SDcast!$K:$K,0),MATCH(V$2,indexy_SDcast!$2:$2,0)),"#ekrk")),"#popis")</f>
        <v>0</v>
      </c>
      <c r="W1095" s="365">
        <f>IF($Q1095="ekrk",IF($R1095="data",IFERROR(INDEX(data!$A:$ALL,MATCH($M1095,data!$A:$A,0),MATCH(W$2,data!$1:$1,0)),"#data"),IFERROR(V1095*INDEX(indexy_SDcast!$A:$ALI,MATCH($R1095,indexy_SDcast!$K:$K,0),MATCH(W$2,indexy_SDcast!$2:$2,0)),"#ekrk")),"#popis")</f>
        <v>0</v>
      </c>
      <c r="X1095" s="365">
        <f>IF($Q1095="ekrk",IF($R1095="data",IFERROR(INDEX(data!$A:$ALL,MATCH($M1095,data!$A:$A,0),MATCH(X$2,data!$1:$1,0)),"#data"),IFERROR(W1095*INDEX(indexy_SDcast!$A:$ALI,MATCH($R1095,indexy_SDcast!$K:$K,0),MATCH(X$2,indexy_SDcast!$2:$2,0)),"#ekrk")),"#popis")</f>
        <v>0</v>
      </c>
      <c r="Y1095" s="362">
        <f>IF($Q1095="ekrk",IF($R1095="data",IFERROR(INDEX(data!$A:$ALL,MATCH($M1095,data!$A:$A,0),MATCH(Y$2,data!$1:$1,0)),"#data"),IFERROR(X1095*INDEX(indexy_SDcast!$A:$ALI,MATCH($R1095,indexy_SDcast!$K:$K,0),MATCH(Y$2,indexy_SDcast!$2:$2,0)),"#ekrk")),"#popis")</f>
        <v>0</v>
      </c>
    </row>
    <row r="1096" spans="1:44" x14ac:dyDescent="0.25">
      <c r="A1096" s="330">
        <v>651005</v>
      </c>
      <c r="B1096" s="329">
        <v>-91172</v>
      </c>
      <c r="C1096" s="157"/>
      <c r="D1096" s="330">
        <v>651005</v>
      </c>
      <c r="E1096" s="329">
        <v>-91172</v>
      </c>
      <c r="F1096" s="157"/>
      <c r="G1096" s="330">
        <v>651005</v>
      </c>
      <c r="H1096" s="329">
        <v>-91172</v>
      </c>
      <c r="I1096" s="157"/>
      <c r="J1096" s="330">
        <v>651005</v>
      </c>
      <c r="K1096" s="329">
        <v>-91172</v>
      </c>
      <c r="L1096" s="157"/>
      <c r="M1096" s="360">
        <f t="shared" si="108"/>
        <v>651005</v>
      </c>
      <c r="N1096" s="237">
        <f t="shared" si="109"/>
        <v>-91172</v>
      </c>
      <c r="O1096" s="361"/>
      <c r="P1096" s="361"/>
      <c r="Q1096" s="361" t="s">
        <v>698</v>
      </c>
      <c r="R1096" s="362">
        <f>IF(Q1096="ekrk",INDEX(indexy_SDcast!$A:$C,MATCH($M1096,indexy_SDcast!$A:$A,0),2),"")</f>
        <v>2</v>
      </c>
      <c r="S1096" s="236"/>
      <c r="T1096" s="364">
        <f t="shared" si="111"/>
        <v>651005</v>
      </c>
      <c r="U1096" s="365">
        <f t="shared" si="112"/>
        <v>-91172</v>
      </c>
      <c r="V1096" s="365">
        <f>IF($Q1096="ekrk",IF($R1096="data",IFERROR(INDEX(data!$A:$ALL,MATCH($M1096,data!$A:$A,0),MATCH(V$2,data!$1:$1,0)),"#data"),IFERROR(U1096*INDEX(indexy_SDcast!$A:$ALI,MATCH($R1096,indexy_SDcast!$K:$K,0),MATCH(V$2,indexy_SDcast!$2:$2,0)),"#ekrk")),"#popis")</f>
        <v>0</v>
      </c>
      <c r="W1096" s="365">
        <f>IF($Q1096="ekrk",IF($R1096="data",IFERROR(INDEX(data!$A:$ALL,MATCH($M1096,data!$A:$A,0),MATCH(W$2,data!$1:$1,0)),"#data"),IFERROR(V1096*INDEX(indexy_SDcast!$A:$ALI,MATCH($R1096,indexy_SDcast!$K:$K,0),MATCH(W$2,indexy_SDcast!$2:$2,0)),"#ekrk")),"#popis")</f>
        <v>0</v>
      </c>
      <c r="X1096" s="365">
        <f>IF($Q1096="ekrk",IF($R1096="data",IFERROR(INDEX(data!$A:$ALL,MATCH($M1096,data!$A:$A,0),MATCH(X$2,data!$1:$1,0)),"#data"),IFERROR(W1096*INDEX(indexy_SDcast!$A:$ALI,MATCH($R1096,indexy_SDcast!$K:$K,0),MATCH(X$2,indexy_SDcast!$2:$2,0)),"#ekrk")),"#popis")</f>
        <v>0</v>
      </c>
      <c r="Y1096" s="362">
        <f>IF($Q1096="ekrk",IF($R1096="data",IFERROR(INDEX(data!$A:$ALL,MATCH($M1096,data!$A:$A,0),MATCH(Y$2,data!$1:$1,0)),"#data"),IFERROR(X1096*INDEX(indexy_SDcast!$A:$ALI,MATCH($R1096,indexy_SDcast!$K:$K,0),MATCH(Y$2,indexy_SDcast!$2:$2,0)),"#ekrk")),"#popis")</f>
        <v>0</v>
      </c>
    </row>
    <row r="1097" spans="1:44" x14ac:dyDescent="0.25">
      <c r="A1097" s="330">
        <v>652002</v>
      </c>
      <c r="B1097" s="329">
        <v>-675588.73243999993</v>
      </c>
      <c r="C1097" s="157"/>
      <c r="D1097" s="330">
        <v>652002</v>
      </c>
      <c r="E1097" s="329">
        <v>-675588.73243999993</v>
      </c>
      <c r="F1097" s="157"/>
      <c r="G1097" s="330">
        <v>652002</v>
      </c>
      <c r="H1097" s="329">
        <v>-675588.73243999993</v>
      </c>
      <c r="I1097" s="157"/>
      <c r="J1097" s="330">
        <v>652002</v>
      </c>
      <c r="K1097" s="329">
        <v>-675588.73243999993</v>
      </c>
      <c r="L1097" s="157"/>
      <c r="M1097" s="360">
        <f t="shared" si="108"/>
        <v>652002</v>
      </c>
      <c r="N1097" s="237">
        <f t="shared" si="109"/>
        <v>-675588.73243999993</v>
      </c>
      <c r="O1097" s="361"/>
      <c r="P1097" s="361"/>
      <c r="Q1097" s="361" t="s">
        <v>698</v>
      </c>
      <c r="R1097" s="362">
        <f>IF(Q1097="ekrk",INDEX(indexy_SDcast!$A:$C,MATCH($M1097,indexy_SDcast!$A:$A,0),2),"")</f>
        <v>2</v>
      </c>
      <c r="S1097" s="236"/>
      <c r="T1097" s="364">
        <f t="shared" si="111"/>
        <v>652002</v>
      </c>
      <c r="U1097" s="365">
        <f t="shared" si="112"/>
        <v>-675588.73243999993</v>
      </c>
      <c r="V1097" s="365">
        <f>IF($Q1097="ekrk",IF($R1097="data",IFERROR(INDEX(data!$A:$ALL,MATCH($M1097,data!$A:$A,0),MATCH(V$2,data!$1:$1,0)),"#data"),IFERROR(U1097*INDEX(indexy_SDcast!$A:$ALI,MATCH($R1097,indexy_SDcast!$K:$K,0),MATCH(V$2,indexy_SDcast!$2:$2,0)),"#ekrk")),"#popis")</f>
        <v>0</v>
      </c>
      <c r="W1097" s="365">
        <f>IF($Q1097="ekrk",IF($R1097="data",IFERROR(INDEX(data!$A:$ALL,MATCH($M1097,data!$A:$A,0),MATCH(W$2,data!$1:$1,0)),"#data"),IFERROR(V1097*INDEX(indexy_SDcast!$A:$ALI,MATCH($R1097,indexy_SDcast!$K:$K,0),MATCH(W$2,indexy_SDcast!$2:$2,0)),"#ekrk")),"#popis")</f>
        <v>0</v>
      </c>
      <c r="X1097" s="365">
        <f>IF($Q1097="ekrk",IF($R1097="data",IFERROR(INDEX(data!$A:$ALL,MATCH($M1097,data!$A:$A,0),MATCH(X$2,data!$1:$1,0)),"#data"),IFERROR(W1097*INDEX(indexy_SDcast!$A:$ALI,MATCH($R1097,indexy_SDcast!$K:$K,0),MATCH(X$2,indexy_SDcast!$2:$2,0)),"#ekrk")),"#popis")</f>
        <v>0</v>
      </c>
      <c r="Y1097" s="362">
        <f>IF($Q1097="ekrk",IF($R1097="data",IFERROR(INDEX(data!$A:$ALL,MATCH($M1097,data!$A:$A,0),MATCH(Y$2,data!$1:$1,0)),"#data"),IFERROR(X1097*INDEX(indexy_SDcast!$A:$ALI,MATCH($R1097,indexy_SDcast!$K:$K,0),MATCH(Y$2,indexy_SDcast!$2:$2,0)),"#ekrk")),"#popis")</f>
        <v>0</v>
      </c>
    </row>
    <row r="1098" spans="1:44" x14ac:dyDescent="0.25">
      <c r="A1098" s="330">
        <v>652003</v>
      </c>
      <c r="B1098" s="329">
        <v>-14.071679999999999</v>
      </c>
      <c r="C1098" s="157"/>
      <c r="D1098" s="330">
        <v>652003</v>
      </c>
      <c r="E1098" s="329">
        <v>-14.071679999999999</v>
      </c>
      <c r="F1098" s="157"/>
      <c r="G1098" s="330">
        <v>652003</v>
      </c>
      <c r="H1098" s="329">
        <v>-14.071679999999999</v>
      </c>
      <c r="I1098" s="157"/>
      <c r="J1098" s="330">
        <v>652003</v>
      </c>
      <c r="K1098" s="329">
        <v>-14.071679999999999</v>
      </c>
      <c r="L1098" s="157"/>
      <c r="M1098" s="360">
        <f t="shared" si="108"/>
        <v>652003</v>
      </c>
      <c r="N1098" s="237">
        <f t="shared" si="109"/>
        <v>-14.071679999999999</v>
      </c>
      <c r="O1098" s="361"/>
      <c r="P1098" s="361"/>
      <c r="Q1098" s="361" t="s">
        <v>698</v>
      </c>
      <c r="R1098" s="362">
        <f>IF(Q1098="ekrk",INDEX(indexy_SDcast!$A:$C,MATCH($M1098,indexy_SDcast!$A:$A,0),2),"")</f>
        <v>2</v>
      </c>
      <c r="S1098" s="236"/>
      <c r="T1098" s="364">
        <f t="shared" si="111"/>
        <v>652003</v>
      </c>
      <c r="U1098" s="365">
        <f t="shared" si="112"/>
        <v>-14.071679999999999</v>
      </c>
      <c r="V1098" s="365">
        <f>IF($Q1098="ekrk",IF($R1098="data",IFERROR(INDEX(data!$A:$ALL,MATCH($M1098,data!$A:$A,0),MATCH(V$2,data!$1:$1,0)),"#data"),IFERROR(U1098*INDEX(indexy_SDcast!$A:$ALI,MATCH($R1098,indexy_SDcast!$K:$K,0),MATCH(V$2,indexy_SDcast!$2:$2,0)),"#ekrk")),"#popis")</f>
        <v>0</v>
      </c>
      <c r="W1098" s="365">
        <f>IF($Q1098="ekrk",IF($R1098="data",IFERROR(INDEX(data!$A:$ALL,MATCH($M1098,data!$A:$A,0),MATCH(W$2,data!$1:$1,0)),"#data"),IFERROR(V1098*INDEX(indexy_SDcast!$A:$ALI,MATCH($R1098,indexy_SDcast!$K:$K,0),MATCH(W$2,indexy_SDcast!$2:$2,0)),"#ekrk")),"#popis")</f>
        <v>0</v>
      </c>
      <c r="X1098" s="365">
        <f>IF($Q1098="ekrk",IF($R1098="data",IFERROR(INDEX(data!$A:$ALL,MATCH($M1098,data!$A:$A,0),MATCH(X$2,data!$1:$1,0)),"#data"),IFERROR(W1098*INDEX(indexy_SDcast!$A:$ALI,MATCH($R1098,indexy_SDcast!$K:$K,0),MATCH(X$2,indexy_SDcast!$2:$2,0)),"#ekrk")),"#popis")</f>
        <v>0</v>
      </c>
      <c r="Y1098" s="362">
        <f>IF($Q1098="ekrk",IF($R1098="data",IFERROR(INDEX(data!$A:$ALL,MATCH($M1098,data!$A:$A,0),MATCH(Y$2,data!$1:$1,0)),"#data"),IFERROR(X1098*INDEX(indexy_SDcast!$A:$ALI,MATCH($R1098,indexy_SDcast!$K:$K,0),MATCH(Y$2,indexy_SDcast!$2:$2,0)),"#ekrk")),"#popis")</f>
        <v>0</v>
      </c>
    </row>
    <row r="1099" spans="1:44" x14ac:dyDescent="0.25">
      <c r="A1099" s="330">
        <v>652004</v>
      </c>
      <c r="B1099" s="329">
        <v>-23884</v>
      </c>
      <c r="C1099" s="157"/>
      <c r="D1099" s="330">
        <v>652004</v>
      </c>
      <c r="E1099" s="329">
        <v>-23884</v>
      </c>
      <c r="F1099" s="157"/>
      <c r="G1099" s="330">
        <v>652004</v>
      </c>
      <c r="H1099" s="329">
        <v>-23884</v>
      </c>
      <c r="I1099" s="157"/>
      <c r="J1099" s="330">
        <v>652004</v>
      </c>
      <c r="K1099" s="329">
        <v>-23884</v>
      </c>
      <c r="L1099" s="157"/>
      <c r="M1099" s="360">
        <f t="shared" si="108"/>
        <v>652004</v>
      </c>
      <c r="N1099" s="237">
        <f t="shared" si="109"/>
        <v>-23884</v>
      </c>
      <c r="O1099" s="361"/>
      <c r="P1099" s="361"/>
      <c r="Q1099" s="361" t="s">
        <v>698</v>
      </c>
      <c r="R1099" s="362">
        <f>IF(Q1099="ekrk",INDEX(indexy_SDcast!$A:$C,MATCH($M1099,indexy_SDcast!$A:$A,0),2),"")</f>
        <v>2</v>
      </c>
      <c r="S1099" s="236"/>
      <c r="T1099" s="364">
        <f t="shared" si="111"/>
        <v>652004</v>
      </c>
      <c r="U1099" s="365">
        <f t="shared" si="112"/>
        <v>-23884</v>
      </c>
      <c r="V1099" s="365">
        <f>IF($Q1099="ekrk",IF($R1099="data",IFERROR(INDEX(data!$A:$ALL,MATCH($M1099,data!$A:$A,0),MATCH(V$2,data!$1:$1,0)),"#data"),IFERROR(U1099*INDEX(indexy_SDcast!$A:$ALI,MATCH($R1099,indexy_SDcast!$K:$K,0),MATCH(V$2,indexy_SDcast!$2:$2,0)),"#ekrk")),"#popis")</f>
        <v>0</v>
      </c>
      <c r="W1099" s="365">
        <f>IF($Q1099="ekrk",IF($R1099="data",IFERROR(INDEX(data!$A:$ALL,MATCH($M1099,data!$A:$A,0),MATCH(W$2,data!$1:$1,0)),"#data"),IFERROR(V1099*INDEX(indexy_SDcast!$A:$ALI,MATCH($R1099,indexy_SDcast!$K:$K,0),MATCH(W$2,indexy_SDcast!$2:$2,0)),"#ekrk")),"#popis")</f>
        <v>0</v>
      </c>
      <c r="X1099" s="365">
        <f>IF($Q1099="ekrk",IF($R1099="data",IFERROR(INDEX(data!$A:$ALL,MATCH($M1099,data!$A:$A,0),MATCH(X$2,data!$1:$1,0)),"#data"),IFERROR(W1099*INDEX(indexy_SDcast!$A:$ALI,MATCH($R1099,indexy_SDcast!$K:$K,0),MATCH(X$2,indexy_SDcast!$2:$2,0)),"#ekrk")),"#popis")</f>
        <v>0</v>
      </c>
      <c r="Y1099" s="362">
        <f>IF($Q1099="ekrk",IF($R1099="data",IFERROR(INDEX(data!$A:$ALL,MATCH($M1099,data!$A:$A,0),MATCH(Y$2,data!$1:$1,0)),"#data"),IFERROR(X1099*INDEX(indexy_SDcast!$A:$ALI,MATCH($R1099,indexy_SDcast!$K:$K,0),MATCH(Y$2,indexy_SDcast!$2:$2,0)),"#ekrk")),"#popis")</f>
        <v>0</v>
      </c>
    </row>
    <row r="1100" spans="1:44" x14ac:dyDescent="0.25">
      <c r="A1100" s="330">
        <v>653003</v>
      </c>
      <c r="B1100" s="329">
        <v>-69704.671829999992</v>
      </c>
      <c r="C1100" s="157"/>
      <c r="D1100" s="330">
        <v>653003</v>
      </c>
      <c r="E1100" s="329">
        <v>-69704.671829999992</v>
      </c>
      <c r="F1100" s="157"/>
      <c r="G1100" s="330">
        <v>653003</v>
      </c>
      <c r="H1100" s="329">
        <v>-69704.671829999992</v>
      </c>
      <c r="I1100" s="157"/>
      <c r="J1100" s="330">
        <v>653003</v>
      </c>
      <c r="K1100" s="329">
        <v>-69704.671829999992</v>
      </c>
      <c r="L1100" s="157"/>
      <c r="M1100" s="360">
        <f t="shared" si="108"/>
        <v>653003</v>
      </c>
      <c r="N1100" s="237">
        <f t="shared" si="109"/>
        <v>-69704.671829999992</v>
      </c>
      <c r="O1100" s="361"/>
      <c r="P1100" s="361"/>
      <c r="Q1100" s="361" t="s">
        <v>698</v>
      </c>
      <c r="R1100" s="362">
        <f>IF(Q1100="ekrk",INDEX(indexy_SDcast!$A:$C,MATCH($M1100,indexy_SDcast!$A:$A,0),2),"")</f>
        <v>2</v>
      </c>
      <c r="S1100" s="236"/>
      <c r="T1100" s="364">
        <f t="shared" si="111"/>
        <v>653003</v>
      </c>
      <c r="U1100" s="365">
        <f t="shared" si="112"/>
        <v>-69704.671829999992</v>
      </c>
      <c r="V1100" s="365">
        <f>IF($Q1100="ekrk",IF($R1100="data",IFERROR(INDEX(data!$A:$ALL,MATCH($M1100,data!$A:$A,0),MATCH(V$2,data!$1:$1,0)),"#data"),IFERROR(U1100*INDEX(indexy_SDcast!$A:$ALI,MATCH($R1100,indexy_SDcast!$K:$K,0),MATCH(V$2,indexy_SDcast!$2:$2,0)),"#ekrk")),"#popis")</f>
        <v>0</v>
      </c>
      <c r="W1100" s="365">
        <f>IF($Q1100="ekrk",IF($R1100="data",IFERROR(INDEX(data!$A:$ALL,MATCH($M1100,data!$A:$A,0),MATCH(W$2,data!$1:$1,0)),"#data"),IFERROR(V1100*INDEX(indexy_SDcast!$A:$ALI,MATCH($R1100,indexy_SDcast!$K:$K,0),MATCH(W$2,indexy_SDcast!$2:$2,0)),"#ekrk")),"#popis")</f>
        <v>0</v>
      </c>
      <c r="X1100" s="365">
        <f>IF($Q1100="ekrk",IF($R1100="data",IFERROR(INDEX(data!$A:$ALL,MATCH($M1100,data!$A:$A,0),MATCH(X$2,data!$1:$1,0)),"#data"),IFERROR(W1100*INDEX(indexy_SDcast!$A:$ALI,MATCH($R1100,indexy_SDcast!$K:$K,0),MATCH(X$2,indexy_SDcast!$2:$2,0)),"#ekrk")),"#popis")</f>
        <v>0</v>
      </c>
      <c r="Y1100" s="362">
        <f>IF($Q1100="ekrk",IF($R1100="data",IFERROR(INDEX(data!$A:$ALL,MATCH($M1100,data!$A:$A,0),MATCH(Y$2,data!$1:$1,0)),"#data"),IFERROR(X1100*INDEX(indexy_SDcast!$A:$ALI,MATCH($R1100,indexy_SDcast!$K:$K,0),MATCH(Y$2,indexy_SDcast!$2:$2,0)),"#ekrk")),"#popis")</f>
        <v>0</v>
      </c>
    </row>
    <row r="1101" spans="1:44" x14ac:dyDescent="0.25">
      <c r="A1101" s="330" t="s">
        <v>994</v>
      </c>
      <c r="B1101" s="329">
        <v>12783</v>
      </c>
      <c r="C1101" s="157"/>
      <c r="D1101" s="348">
        <v>651001</v>
      </c>
      <c r="E1101" s="329">
        <v>12783</v>
      </c>
      <c r="F1101" s="157"/>
      <c r="G1101" s="355">
        <v>651000</v>
      </c>
      <c r="H1101" s="356">
        <v>0</v>
      </c>
      <c r="I1101" s="157"/>
      <c r="J1101" s="330">
        <f>G1101</f>
        <v>651000</v>
      </c>
      <c r="K1101" s="329">
        <f>H1101</f>
        <v>0</v>
      </c>
      <c r="L1101" s="157"/>
      <c r="M1101" s="360">
        <f t="shared" si="108"/>
        <v>651000</v>
      </c>
      <c r="N1101" s="237">
        <f t="shared" si="109"/>
        <v>0</v>
      </c>
      <c r="O1101" s="361"/>
      <c r="P1101" s="361"/>
      <c r="Q1101" s="361" t="s">
        <v>698</v>
      </c>
      <c r="R1101" s="362" t="str">
        <f>IF(Q1101="ekrk",INDEX(indexy_SDcast!$A:$C,MATCH($M1101,indexy_SDcast!$A:$A,0),2),"")</f>
        <v>data</v>
      </c>
      <c r="S1101" s="236"/>
      <c r="T1101" s="364">
        <f t="shared" si="111"/>
        <v>651000</v>
      </c>
      <c r="U1101" s="365">
        <f t="shared" si="112"/>
        <v>0</v>
      </c>
      <c r="V1101" s="365">
        <f ca="1">IF($Q1101="ekrk",IF($R1101="data",IFERROR(INDEX(data!$A:$ALL,MATCH($M1101,data!$A:$A,0),MATCH(V$2,data!$1:$1,0)),"#data"),IFERROR(U1101*INDEX(indexy_SDcast!$A:$ALI,MATCH($R1101,indexy_SDcast!$K:$K,0),MATCH(V$2,indexy_SDcast!$2:$2,0)),"#ekrk")),"#popis")</f>
        <v>-1438231.9833565184</v>
      </c>
      <c r="W1101" s="365">
        <f ca="1">IF($Q1101="ekrk",IF($R1101="data",IFERROR(INDEX(data!$A:$ALL,MATCH($M1101,data!$A:$A,0),MATCH(W$2,data!$1:$1,0)),"#data"),IFERROR(V1101*INDEX(indexy_SDcast!$A:$ALI,MATCH($R1101,indexy_SDcast!$K:$K,0),MATCH(W$2,indexy_SDcast!$2:$2,0)),"#ekrk")),"#popis")</f>
        <v>-1494981.9640816208</v>
      </c>
      <c r="X1101" s="365">
        <f ca="1">IF($Q1101="ekrk",IF($R1101="data",IFERROR(INDEX(data!$A:$ALL,MATCH($M1101,data!$A:$A,0),MATCH(X$2,data!$1:$1,0)),"#data"),IFERROR(W1101*INDEX(indexy_SDcast!$A:$ALI,MATCH($R1101,indexy_SDcast!$K:$K,0),MATCH(X$2,indexy_SDcast!$2:$2,0)),"#ekrk")),"#popis")</f>
        <v>-1598088.9665260646</v>
      </c>
      <c r="Y1101" s="362">
        <f ca="1">IF($Q1101="ekrk",IF($R1101="data",IFERROR(INDEX(data!$A:$ALL,MATCH($M1101,data!$A:$A,0),MATCH(Y$2,data!$1:$1,0)),"#data"),IFERROR(X1101*INDEX(indexy_SDcast!$A:$ALI,MATCH($R1101,indexy_SDcast!$K:$K,0),MATCH(Y$2,indexy_SDcast!$2:$2,0)),"#ekrk")),"#popis")</f>
        <v>-1738683.6198952391</v>
      </c>
    </row>
    <row r="1102" spans="1:44" s="18" customFormat="1" x14ac:dyDescent="0.25">
      <c r="A1102" s="333" t="s">
        <v>714</v>
      </c>
      <c r="B1102" s="334">
        <v>149277.67445999998</v>
      </c>
      <c r="C1102" s="164"/>
      <c r="D1102" s="333" t="s">
        <v>714</v>
      </c>
      <c r="E1102" s="334">
        <v>149277.67445999998</v>
      </c>
      <c r="F1102" s="164"/>
      <c r="G1102" s="333" t="s">
        <v>714</v>
      </c>
      <c r="H1102" s="334">
        <v>149277.67445999998</v>
      </c>
      <c r="I1102" s="164"/>
      <c r="J1102" s="333" t="s">
        <v>714</v>
      </c>
      <c r="K1102" s="334">
        <v>149277.67445999998</v>
      </c>
      <c r="L1102" s="164"/>
      <c r="M1102" s="358" t="str">
        <f t="shared" si="108"/>
        <v>D41PUBREC</v>
      </c>
      <c r="N1102" s="239">
        <f t="shared" si="109"/>
        <v>149277.67445999998</v>
      </c>
      <c r="O1102" s="243"/>
      <c r="P1102" s="243">
        <f>MATCH(Q1102,Q1103:Q$1550,0)</f>
        <v>12</v>
      </c>
      <c r="Q1102" s="243" t="s">
        <v>697</v>
      </c>
      <c r="R1102" s="359" t="str">
        <f>IF(Q1102="ekrk",INDEX(indexy_SDcast!$A:$C,MATCH($M1102,indexy_SDcast!$A:$A,0),2),"")</f>
        <v/>
      </c>
      <c r="S1102" s="240"/>
      <c r="T1102" s="363" t="str">
        <f t="shared" si="111"/>
        <v>D41PUBREC</v>
      </c>
      <c r="U1102" s="244">
        <f>SUM(U1103:U1113)</f>
        <v>149277.67445999995</v>
      </c>
      <c r="V1102" s="244">
        <f>SUM(V1103:V1113)</f>
        <v>138225.60589079553</v>
      </c>
      <c r="W1102" s="244">
        <f>SUM(W1103:W1113)</f>
        <v>137688.68067853339</v>
      </c>
      <c r="X1102" s="244">
        <f>SUM(X1103:X1113)</f>
        <v>151648.73619734967</v>
      </c>
      <c r="Y1102" s="359">
        <f>SUM(Y1103:Y1113)</f>
        <v>177421.14638593362</v>
      </c>
      <c r="Z1102" s="58"/>
      <c r="AA1102" s="58"/>
      <c r="AB1102" s="58"/>
      <c r="AC1102" s="58"/>
      <c r="AD1102" s="58"/>
      <c r="AE1102" s="58"/>
      <c r="AF1102" s="58"/>
      <c r="AG1102" s="58"/>
      <c r="AH1102" s="58"/>
      <c r="AI1102" s="58"/>
      <c r="AJ1102" s="58"/>
      <c r="AK1102" s="58"/>
      <c r="AL1102" s="58"/>
      <c r="AM1102" s="58"/>
      <c r="AN1102" s="58"/>
      <c r="AO1102" s="58"/>
      <c r="AP1102" s="58"/>
      <c r="AQ1102" s="58"/>
      <c r="AR1102" s="58"/>
    </row>
    <row r="1103" spans="1:44" x14ac:dyDescent="0.25">
      <c r="A1103" s="330">
        <v>241000</v>
      </c>
      <c r="B1103" s="329">
        <v>30084.132839999998</v>
      </c>
      <c r="C1103" s="157"/>
      <c r="D1103" s="330">
        <v>241000</v>
      </c>
      <c r="E1103" s="329">
        <v>30084.132839999998</v>
      </c>
      <c r="F1103" s="157"/>
      <c r="G1103" s="330">
        <v>241000</v>
      </c>
      <c r="H1103" s="329">
        <v>30084.132839999998</v>
      </c>
      <c r="I1103" s="157"/>
      <c r="J1103" s="330">
        <v>241000</v>
      </c>
      <c r="K1103" s="329">
        <v>30084.132839999998</v>
      </c>
      <c r="L1103" s="157"/>
      <c r="M1103" s="360">
        <f t="shared" si="108"/>
        <v>241000</v>
      </c>
      <c r="N1103" s="237">
        <f t="shared" si="109"/>
        <v>30084.132839999998</v>
      </c>
      <c r="O1103" s="361"/>
      <c r="P1103" s="361"/>
      <c r="Q1103" s="361" t="s">
        <v>698</v>
      </c>
      <c r="R1103" s="362">
        <f>IF(Q1103="ekrk",INDEX(indexy_SDcast!$A:$C,MATCH($M1103,indexy_SDcast!$A:$A,0),2),"")</f>
        <v>22</v>
      </c>
      <c r="S1103" s="236"/>
      <c r="T1103" s="364">
        <f t="shared" si="111"/>
        <v>241000</v>
      </c>
      <c r="U1103" s="365">
        <f t="shared" ref="U1103:U1108" si="113">N1103</f>
        <v>30084.132839999998</v>
      </c>
      <c r="V1103" s="365">
        <f>IF($Q1103="ekrk",IF($R1103="data",IFERROR(INDEX(data!$A:$ALL,MATCH($M1103,data!$A:$A,0),MATCH(V$2,data!$1:$1,0)),"#data"),IFERROR(U1103*INDEX(indexy_SDcast!$A:$ALI,MATCH($R1103,indexy_SDcast!$K:$K,0),MATCH(V$2,indexy_SDcast!$2:$2,0)),"#ekrk")),"#popis")</f>
        <v>30084.132839999998</v>
      </c>
      <c r="W1103" s="365">
        <f>IF($Q1103="ekrk",IF($R1103="data",IFERROR(INDEX(data!$A:$ALL,MATCH($M1103,data!$A:$A,0),MATCH(W$2,data!$1:$1,0)),"#data"),IFERROR(V1103*INDEX(indexy_SDcast!$A:$ALI,MATCH($R1103,indexy_SDcast!$K:$K,0),MATCH(W$2,indexy_SDcast!$2:$2,0)),"#ekrk")),"#popis")</f>
        <v>30084.132839999998</v>
      </c>
      <c r="X1103" s="365">
        <f>IF($Q1103="ekrk",IF($R1103="data",IFERROR(INDEX(data!$A:$ALL,MATCH($M1103,data!$A:$A,0),MATCH(X$2,data!$1:$1,0)),"#data"),IFERROR(W1103*INDEX(indexy_SDcast!$A:$ALI,MATCH($R1103,indexy_SDcast!$K:$K,0),MATCH(X$2,indexy_SDcast!$2:$2,0)),"#ekrk")),"#popis")</f>
        <v>30084.132839999998</v>
      </c>
      <c r="Y1103" s="362">
        <f>IF($Q1103="ekrk",IF($R1103="data",IFERROR(INDEX(data!$A:$ALL,MATCH($M1103,data!$A:$A,0),MATCH(Y$2,data!$1:$1,0)),"#data"),IFERROR(X1103*INDEX(indexy_SDcast!$A:$ALI,MATCH($R1103,indexy_SDcast!$K:$K,0),MATCH(Y$2,indexy_SDcast!$2:$2,0)),"#ekrk")),"#popis")</f>
        <v>30084.132839999998</v>
      </c>
    </row>
    <row r="1104" spans="1:44" x14ac:dyDescent="0.25">
      <c r="A1104" s="330">
        <v>242000</v>
      </c>
      <c r="B1104" s="329">
        <v>13395.542730000001</v>
      </c>
      <c r="C1104" s="157"/>
      <c r="D1104" s="330">
        <v>242000</v>
      </c>
      <c r="E1104" s="329">
        <v>13395.542730000001</v>
      </c>
      <c r="F1104" s="157"/>
      <c r="G1104" s="330">
        <v>242000</v>
      </c>
      <c r="H1104" s="329">
        <v>13395.542730000001</v>
      </c>
      <c r="I1104" s="157"/>
      <c r="J1104" s="330">
        <v>242000</v>
      </c>
      <c r="K1104" s="329">
        <v>13395.542730000001</v>
      </c>
      <c r="L1104" s="157"/>
      <c r="M1104" s="360">
        <f t="shared" si="108"/>
        <v>242000</v>
      </c>
      <c r="N1104" s="237">
        <f t="shared" si="109"/>
        <v>13395.542730000001</v>
      </c>
      <c r="O1104" s="361"/>
      <c r="P1104" s="361"/>
      <c r="Q1104" s="361" t="s">
        <v>698</v>
      </c>
      <c r="R1104" s="362">
        <f>IF(Q1104="ekrk",INDEX(indexy_SDcast!$A:$C,MATCH($M1104,indexy_SDcast!$A:$A,0),2),"")</f>
        <v>46</v>
      </c>
      <c r="S1104" s="236"/>
      <c r="T1104" s="364">
        <f t="shared" si="111"/>
        <v>242000</v>
      </c>
      <c r="U1104" s="365">
        <f t="shared" si="113"/>
        <v>13395.542730000001</v>
      </c>
      <c r="V1104" s="365">
        <f>IF($Q1104="ekrk",IF($R1104="data",IFERROR(INDEX(data!$A:$ALL,MATCH($M1104,data!$A:$A,0),MATCH(V$2,data!$1:$1,0)),"#data"),IFERROR(U1104*INDEX(indexy_SDcast!$A:$ALI,MATCH($R1104,indexy_SDcast!$K:$K,0),MATCH(V$2,indexy_SDcast!$2:$2,0)),"#ekrk")),"#popis")</f>
        <v>10493.814202950834</v>
      </c>
      <c r="W1104" s="365">
        <f>IF($Q1104="ekrk",IF($R1104="data",IFERROR(INDEX(data!$A:$ALL,MATCH($M1104,data!$A:$A,0),MATCH(W$2,data!$1:$1,0)),"#data"),IFERROR(V1104*INDEX(indexy_SDcast!$A:$ALI,MATCH($R1104,indexy_SDcast!$K:$K,0),MATCH(W$2,indexy_SDcast!$2:$2,0)),"#ekrk")),"#popis")</f>
        <v>10352.844103502275</v>
      </c>
      <c r="X1104" s="365">
        <f>IF($Q1104="ekrk",IF($R1104="data",IFERROR(INDEX(data!$A:$ALL,MATCH($M1104,data!$A:$A,0),MATCH(X$2,data!$1:$1,0)),"#data"),IFERROR(W1104*INDEX(indexy_SDcast!$A:$ALI,MATCH($R1104,indexy_SDcast!$K:$K,0),MATCH(X$2,indexy_SDcast!$2:$2,0)),"#ekrk")),"#popis")</f>
        <v>14018.066689164847</v>
      </c>
      <c r="Y1104" s="362">
        <f>IF($Q1104="ekrk",IF($R1104="data",IFERROR(INDEX(data!$A:$ALL,MATCH($M1104,data!$A:$A,0),MATCH(Y$2,data!$1:$1,0)),"#data"),IFERROR(X1104*INDEX(indexy_SDcast!$A:$ALI,MATCH($R1104,indexy_SDcast!$K:$K,0),MATCH(Y$2,indexy_SDcast!$2:$2,0)),"#ekrk")),"#popis")</f>
        <v>20784.631462695746</v>
      </c>
    </row>
    <row r="1105" spans="1:44" x14ac:dyDescent="0.25">
      <c r="A1105" s="330">
        <v>243000</v>
      </c>
      <c r="B1105" s="329">
        <v>35320.472569999998</v>
      </c>
      <c r="C1105" s="157"/>
      <c r="D1105" s="330">
        <v>243000</v>
      </c>
      <c r="E1105" s="329">
        <v>35320.472569999998</v>
      </c>
      <c r="F1105" s="157"/>
      <c r="G1105" s="330">
        <v>243000</v>
      </c>
      <c r="H1105" s="356">
        <f>E1105+E1112</f>
        <v>36417.472569999998</v>
      </c>
      <c r="I1105" s="157"/>
      <c r="J1105" s="330">
        <v>243000</v>
      </c>
      <c r="K1105" s="329">
        <f>H1105+H1112</f>
        <v>36417.472569999998</v>
      </c>
      <c r="L1105" s="157"/>
      <c r="M1105" s="360">
        <f t="shared" si="108"/>
        <v>243000</v>
      </c>
      <c r="N1105" s="237">
        <f t="shared" si="109"/>
        <v>36417.472569999998</v>
      </c>
      <c r="O1105" s="361"/>
      <c r="P1105" s="361"/>
      <c r="Q1105" s="361" t="s">
        <v>698</v>
      </c>
      <c r="R1105" s="362">
        <f>IF(Q1105="ekrk",INDEX(indexy_SDcast!$A:$C,MATCH($M1105,indexy_SDcast!$A:$A,0),2),"")</f>
        <v>46</v>
      </c>
      <c r="S1105" s="236"/>
      <c r="T1105" s="364">
        <f t="shared" si="111"/>
        <v>243000</v>
      </c>
      <c r="U1105" s="365">
        <f t="shared" si="113"/>
        <v>36417.472569999998</v>
      </c>
      <c r="V1105" s="365">
        <f>IF($Q1105="ekrk",IF($R1105="data",IFERROR(INDEX(data!$A:$ALL,MATCH($M1105,data!$A:$A,0),MATCH(V$2,data!$1:$1,0)),"#data"),IFERROR(U1105*INDEX(indexy_SDcast!$A:$ALI,MATCH($R1105,indexy_SDcast!$K:$K,0),MATCH(V$2,indexy_SDcast!$2:$2,0)),"#ekrk")),"#popis")</f>
        <v>28528.757557151876</v>
      </c>
      <c r="W1105" s="365">
        <f>IF($Q1105="ekrk",IF($R1105="data",IFERROR(INDEX(data!$A:$ALL,MATCH($M1105,data!$A:$A,0),MATCH(W$2,data!$1:$1,0)),"#data"),IFERROR(V1105*INDEX(indexy_SDcast!$A:$ALI,MATCH($R1105,indexy_SDcast!$K:$K,0),MATCH(W$2,indexy_SDcast!$2:$2,0)),"#ekrk")),"#popis")</f>
        <v>28145.512560414209</v>
      </c>
      <c r="X1105" s="365">
        <f>IF($Q1105="ekrk",IF($R1105="data",IFERROR(INDEX(data!$A:$ALL,MATCH($M1105,data!$A:$A,0),MATCH(X$2,data!$1:$1,0)),"#data"),IFERROR(W1105*INDEX(indexy_SDcast!$A:$ALI,MATCH($R1105,indexy_SDcast!$K:$K,0),MATCH(X$2,indexy_SDcast!$2:$2,0)),"#ekrk")),"#popis")</f>
        <v>38109.882475593535</v>
      </c>
      <c r="Y1105" s="362">
        <f>IF($Q1105="ekrk",IF($R1105="data",IFERROR(INDEX(data!$A:$ALL,MATCH($M1105,data!$A:$A,0),MATCH(Y$2,data!$1:$1,0)),"#data"),IFERROR(X1105*INDEX(indexy_SDcast!$A:$ALI,MATCH($R1105,indexy_SDcast!$K:$K,0),MATCH(Y$2,indexy_SDcast!$2:$2,0)),"#ekrk")),"#popis")</f>
        <v>56505.642319001519</v>
      </c>
    </row>
    <row r="1106" spans="1:44" x14ac:dyDescent="0.25">
      <c r="A1106" s="330">
        <v>244000</v>
      </c>
      <c r="B1106" s="329">
        <v>1207.7660699999994</v>
      </c>
      <c r="C1106" s="157"/>
      <c r="D1106" s="330">
        <v>244000</v>
      </c>
      <c r="E1106" s="329">
        <v>1207.7660699999994</v>
      </c>
      <c r="F1106" s="157"/>
      <c r="G1106" s="330">
        <v>244000</v>
      </c>
      <c r="H1106" s="329">
        <v>1207.7660699999994</v>
      </c>
      <c r="I1106" s="157"/>
      <c r="J1106" s="330">
        <v>244000</v>
      </c>
      <c r="K1106" s="329">
        <v>1207.7660699999994</v>
      </c>
      <c r="L1106" s="157"/>
      <c r="M1106" s="360">
        <f t="shared" si="108"/>
        <v>244000</v>
      </c>
      <c r="N1106" s="237">
        <f t="shared" si="109"/>
        <v>1207.7660699999994</v>
      </c>
      <c r="O1106" s="361"/>
      <c r="P1106" s="361"/>
      <c r="Q1106" s="361" t="s">
        <v>698</v>
      </c>
      <c r="R1106" s="362">
        <f>IF(Q1106="ekrk",INDEX(indexy_SDcast!$A:$C,MATCH($M1106,indexy_SDcast!$A:$A,0),2),"")</f>
        <v>46</v>
      </c>
      <c r="S1106" s="236"/>
      <c r="T1106" s="364">
        <f t="shared" si="111"/>
        <v>244000</v>
      </c>
      <c r="U1106" s="365">
        <f t="shared" si="113"/>
        <v>1207.7660699999994</v>
      </c>
      <c r="V1106" s="365">
        <f>IF($Q1106="ekrk",IF($R1106="data",IFERROR(INDEX(data!$A:$ALL,MATCH($M1106,data!$A:$A,0),MATCH(V$2,data!$1:$1,0)),"#data"),IFERROR(U1106*INDEX(indexy_SDcast!$A:$ALI,MATCH($R1106,indexy_SDcast!$K:$K,0),MATCH(V$2,indexy_SDcast!$2:$2,0)),"#ekrk")),"#popis")</f>
        <v>946.14104069287714</v>
      </c>
      <c r="W1106" s="365">
        <f>IF($Q1106="ekrk",IF($R1106="data",IFERROR(INDEX(data!$A:$ALL,MATCH($M1106,data!$A:$A,0),MATCH(W$2,data!$1:$1,0)),"#data"),IFERROR(V1106*INDEX(indexy_SDcast!$A:$ALI,MATCH($R1106,indexy_SDcast!$K:$K,0),MATCH(W$2,indexy_SDcast!$2:$2,0)),"#ekrk")),"#popis")</f>
        <v>933.43092461693846</v>
      </c>
      <c r="X1106" s="365">
        <f>IF($Q1106="ekrk",IF($R1106="data",IFERROR(INDEX(data!$A:$ALL,MATCH($M1106,data!$A:$A,0),MATCH(X$2,data!$1:$1,0)),"#data"),IFERROR(W1106*INDEX(indexy_SDcast!$A:$ALI,MATCH($R1106,indexy_SDcast!$K:$K,0),MATCH(X$2,indexy_SDcast!$2:$2,0)),"#ekrk")),"#popis")</f>
        <v>1263.893942591345</v>
      </c>
      <c r="Y1106" s="362">
        <f>IF($Q1106="ekrk",IF($R1106="data",IFERROR(INDEX(data!$A:$ALL,MATCH($M1106,data!$A:$A,0),MATCH(Y$2,data!$1:$1,0)),"#data"),IFERROR(X1106*INDEX(indexy_SDcast!$A:$ALI,MATCH($R1106,indexy_SDcast!$K:$K,0),MATCH(Y$2,indexy_SDcast!$2:$2,0)),"#ekrk")),"#popis")</f>
        <v>1873.979514236403</v>
      </c>
    </row>
    <row r="1107" spans="1:44" x14ac:dyDescent="0.25">
      <c r="A1107" s="330">
        <v>245000</v>
      </c>
      <c r="B1107" s="329">
        <v>15040.55012</v>
      </c>
      <c r="C1107" s="157"/>
      <c r="D1107" s="330">
        <v>245000</v>
      </c>
      <c r="E1107" s="329">
        <v>15040.55012</v>
      </c>
      <c r="F1107" s="157"/>
      <c r="G1107" s="330">
        <v>245000</v>
      </c>
      <c r="H1107" s="329">
        <v>15040.55012</v>
      </c>
      <c r="I1107" s="157"/>
      <c r="J1107" s="330">
        <v>245000</v>
      </c>
      <c r="K1107" s="329">
        <v>15040.55012</v>
      </c>
      <c r="L1107" s="157"/>
      <c r="M1107" s="360">
        <f t="shared" si="108"/>
        <v>245000</v>
      </c>
      <c r="N1107" s="237">
        <f t="shared" si="109"/>
        <v>15040.55012</v>
      </c>
      <c r="O1107" s="361"/>
      <c r="P1107" s="361"/>
      <c r="Q1107" s="361" t="s">
        <v>698</v>
      </c>
      <c r="R1107" s="362">
        <f>IF(Q1107="ekrk",INDEX(indexy_SDcast!$A:$C,MATCH($M1107,indexy_SDcast!$A:$A,0),2),"")</f>
        <v>22</v>
      </c>
      <c r="S1107" s="236"/>
      <c r="T1107" s="364">
        <f t="shared" si="111"/>
        <v>245000</v>
      </c>
      <c r="U1107" s="365">
        <f t="shared" si="113"/>
        <v>15040.55012</v>
      </c>
      <c r="V1107" s="365">
        <f>IF($Q1107="ekrk",IF($R1107="data",IFERROR(INDEX(data!$A:$ALL,MATCH($M1107,data!$A:$A,0),MATCH(V$2,data!$1:$1,0)),"#data"),IFERROR(U1107*INDEX(indexy_SDcast!$A:$ALI,MATCH($R1107,indexy_SDcast!$K:$K,0),MATCH(V$2,indexy_SDcast!$2:$2,0)),"#ekrk")),"#popis")</f>
        <v>15040.55012</v>
      </c>
      <c r="W1107" s="365">
        <f>IF($Q1107="ekrk",IF($R1107="data",IFERROR(INDEX(data!$A:$ALL,MATCH($M1107,data!$A:$A,0),MATCH(W$2,data!$1:$1,0)),"#data"),IFERROR(V1107*INDEX(indexy_SDcast!$A:$ALI,MATCH($R1107,indexy_SDcast!$K:$K,0),MATCH(W$2,indexy_SDcast!$2:$2,0)),"#ekrk")),"#popis")</f>
        <v>15040.55012</v>
      </c>
      <c r="X1107" s="365">
        <f>IF($Q1107="ekrk",IF($R1107="data",IFERROR(INDEX(data!$A:$ALL,MATCH($M1107,data!$A:$A,0),MATCH(X$2,data!$1:$1,0)),"#data"),IFERROR(W1107*INDEX(indexy_SDcast!$A:$ALI,MATCH($R1107,indexy_SDcast!$K:$K,0),MATCH(X$2,indexy_SDcast!$2:$2,0)),"#ekrk")),"#popis")</f>
        <v>15040.55012</v>
      </c>
      <c r="Y1107" s="362">
        <f>IF($Q1107="ekrk",IF($R1107="data",IFERROR(INDEX(data!$A:$ALL,MATCH($M1107,data!$A:$A,0),MATCH(Y$2,data!$1:$1,0)),"#data"),IFERROR(X1107*INDEX(indexy_SDcast!$A:$ALI,MATCH($R1107,indexy_SDcast!$K:$K,0),MATCH(Y$2,indexy_SDcast!$2:$2,0)),"#ekrk")),"#popis")</f>
        <v>15040.55012</v>
      </c>
    </row>
    <row r="1108" spans="1:44" x14ac:dyDescent="0.25">
      <c r="A1108" s="330">
        <v>246000</v>
      </c>
      <c r="B1108" s="329">
        <v>168474.34709999998</v>
      </c>
      <c r="C1108" s="157"/>
      <c r="D1108" s="330">
        <v>246000</v>
      </c>
      <c r="E1108" s="329">
        <v>168474.34709999998</v>
      </c>
      <c r="F1108" s="157"/>
      <c r="G1108" s="330">
        <v>246000</v>
      </c>
      <c r="H1108" s="356">
        <f>E1108+E1109+E1110+E1113+E1111</f>
        <v>53132.210129999963</v>
      </c>
      <c r="I1108" s="157"/>
      <c r="J1108" s="330">
        <v>246000</v>
      </c>
      <c r="K1108" s="329">
        <f>H1108+H1109+H1110+H1113+H1111</f>
        <v>53132.210129999963</v>
      </c>
      <c r="L1108" s="157"/>
      <c r="M1108" s="360">
        <f t="shared" si="108"/>
        <v>246000</v>
      </c>
      <c r="N1108" s="237">
        <f t="shared" si="109"/>
        <v>53132.210129999963</v>
      </c>
      <c r="O1108" s="361"/>
      <c r="P1108" s="361"/>
      <c r="Q1108" s="361" t="s">
        <v>698</v>
      </c>
      <c r="R1108" s="362">
        <f>IF(Q1108="ekrk",INDEX(indexy_SDcast!$A:$C,MATCH($M1108,indexy_SDcast!$A:$A,0),2),"")</f>
        <v>22</v>
      </c>
      <c r="S1108" s="236"/>
      <c r="T1108" s="364">
        <f t="shared" si="111"/>
        <v>246000</v>
      </c>
      <c r="U1108" s="365">
        <f t="shared" si="113"/>
        <v>53132.210129999963</v>
      </c>
      <c r="V1108" s="365">
        <f>IF($Q1108="ekrk",IF($R1108="data",IFERROR(INDEX(data!$A:$ALL,MATCH($M1108,data!$A:$A,0),MATCH(V$2,data!$1:$1,0)),"#data"),IFERROR(U1108*INDEX(indexy_SDcast!$A:$ALI,MATCH($R1108,indexy_SDcast!$K:$K,0),MATCH(V$2,indexy_SDcast!$2:$2,0)),"#ekrk")),"#popis")</f>
        <v>53132.210129999963</v>
      </c>
      <c r="W1108" s="365">
        <f>IF($Q1108="ekrk",IF($R1108="data",IFERROR(INDEX(data!$A:$ALL,MATCH($M1108,data!$A:$A,0),MATCH(W$2,data!$1:$1,0)),"#data"),IFERROR(V1108*INDEX(indexy_SDcast!$A:$ALI,MATCH($R1108,indexy_SDcast!$K:$K,0),MATCH(W$2,indexy_SDcast!$2:$2,0)),"#ekrk")),"#popis")</f>
        <v>53132.210129999963</v>
      </c>
      <c r="X1108" s="365">
        <f>IF($Q1108="ekrk",IF($R1108="data",IFERROR(INDEX(data!$A:$ALL,MATCH($M1108,data!$A:$A,0),MATCH(X$2,data!$1:$1,0)),"#data"),IFERROR(W1108*INDEX(indexy_SDcast!$A:$ALI,MATCH($R1108,indexy_SDcast!$K:$K,0),MATCH(X$2,indexy_SDcast!$2:$2,0)),"#ekrk")),"#popis")</f>
        <v>53132.210129999963</v>
      </c>
      <c r="Y1108" s="362">
        <f>IF($Q1108="ekrk",IF($R1108="data",IFERROR(INDEX(data!$A:$ALL,MATCH($M1108,data!$A:$A,0),MATCH(Y$2,data!$1:$1,0)),"#data"),IFERROR(X1108*INDEX(indexy_SDcast!$A:$ALI,MATCH($R1108,indexy_SDcast!$K:$K,0),MATCH(Y$2,indexy_SDcast!$2:$2,0)),"#ekrk")),"#popis")</f>
        <v>53132.210129999963</v>
      </c>
    </row>
    <row r="1109" spans="1:44" x14ac:dyDescent="0.25">
      <c r="A1109" s="330">
        <v>251000</v>
      </c>
      <c r="B1109" s="329">
        <v>-45682.38422</v>
      </c>
      <c r="C1109" s="157"/>
      <c r="D1109" s="348">
        <v>246000</v>
      </c>
      <c r="E1109" s="329">
        <v>-45682.38422</v>
      </c>
      <c r="F1109" s="157"/>
      <c r="G1109" s="330"/>
      <c r="H1109" s="329"/>
      <c r="I1109" s="157"/>
      <c r="J1109" s="330"/>
      <c r="K1109" s="329"/>
      <c r="L1109" s="157"/>
      <c r="M1109" s="360">
        <f t="shared" si="108"/>
        <v>0</v>
      </c>
      <c r="N1109" s="237">
        <f t="shared" si="109"/>
        <v>0</v>
      </c>
      <c r="O1109" s="361"/>
      <c r="P1109" s="361"/>
      <c r="Q1109" s="361"/>
      <c r="R1109" s="362"/>
      <c r="S1109" s="236"/>
      <c r="T1109" s="364"/>
      <c r="U1109" s="365"/>
      <c r="V1109" s="365"/>
      <c r="W1109" s="365"/>
      <c r="X1109" s="365"/>
      <c r="Y1109" s="362"/>
    </row>
    <row r="1110" spans="1:44" x14ac:dyDescent="0.25">
      <c r="A1110" s="330">
        <v>252000</v>
      </c>
      <c r="B1110" s="329">
        <v>-41614.652670000003</v>
      </c>
      <c r="C1110" s="157"/>
      <c r="D1110" s="348">
        <v>246000</v>
      </c>
      <c r="E1110" s="329">
        <v>-41614.652670000003</v>
      </c>
      <c r="F1110" s="157"/>
      <c r="G1110" s="330"/>
      <c r="H1110" s="329"/>
      <c r="I1110" s="157"/>
      <c r="J1110" s="330"/>
      <c r="K1110" s="329"/>
      <c r="L1110" s="157"/>
      <c r="M1110" s="360">
        <f t="shared" si="108"/>
        <v>0</v>
      </c>
      <c r="N1110" s="237">
        <f t="shared" si="109"/>
        <v>0</v>
      </c>
      <c r="O1110" s="361"/>
      <c r="P1110" s="361"/>
      <c r="Q1110" s="361"/>
      <c r="R1110" s="362"/>
      <c r="S1110" s="236"/>
      <c r="T1110" s="364"/>
      <c r="U1110" s="365"/>
      <c r="V1110" s="365"/>
      <c r="W1110" s="365"/>
      <c r="X1110" s="365"/>
      <c r="Y1110" s="362"/>
    </row>
    <row r="1111" spans="1:44" x14ac:dyDescent="0.25">
      <c r="A1111" s="330" t="s">
        <v>995</v>
      </c>
      <c r="B1111" s="329">
        <v>-42712.100080000004</v>
      </c>
      <c r="C1111" s="157"/>
      <c r="D1111" s="348">
        <v>246000</v>
      </c>
      <c r="E1111" s="329">
        <v>-42712.100080000004</v>
      </c>
      <c r="F1111" s="157"/>
      <c r="G1111" s="330"/>
      <c r="H1111" s="329"/>
      <c r="I1111" s="157"/>
      <c r="J1111" s="330"/>
      <c r="K1111" s="329"/>
      <c r="L1111" s="157"/>
      <c r="M1111" s="360">
        <f t="shared" si="108"/>
        <v>0</v>
      </c>
      <c r="N1111" s="237">
        <f t="shared" si="109"/>
        <v>0</v>
      </c>
      <c r="O1111" s="361"/>
      <c r="P1111" s="361"/>
      <c r="Q1111" s="361"/>
      <c r="R1111" s="362"/>
      <c r="S1111" s="236"/>
      <c r="T1111" s="364"/>
      <c r="U1111" s="365"/>
      <c r="V1111" s="365"/>
      <c r="W1111" s="365"/>
      <c r="X1111" s="365"/>
      <c r="Y1111" s="362"/>
    </row>
    <row r="1112" spans="1:44" x14ac:dyDescent="0.25">
      <c r="A1112" s="330" t="s">
        <v>699</v>
      </c>
      <c r="B1112" s="329">
        <v>1097</v>
      </c>
      <c r="C1112" s="157"/>
      <c r="D1112" s="348">
        <v>243000</v>
      </c>
      <c r="E1112" s="329">
        <v>1097</v>
      </c>
      <c r="F1112" s="157"/>
      <c r="G1112" s="330"/>
      <c r="H1112" s="329"/>
      <c r="I1112" s="157"/>
      <c r="J1112" s="330"/>
      <c r="K1112" s="329"/>
      <c r="L1112" s="157"/>
      <c r="M1112" s="360">
        <f t="shared" si="108"/>
        <v>0</v>
      </c>
      <c r="N1112" s="237">
        <f t="shared" si="109"/>
        <v>0</v>
      </c>
      <c r="O1112" s="361"/>
      <c r="P1112" s="361"/>
      <c r="Q1112" s="361"/>
      <c r="R1112" s="362"/>
      <c r="S1112" s="236"/>
      <c r="T1112" s="364"/>
      <c r="U1112" s="365"/>
      <c r="V1112" s="365"/>
      <c r="W1112" s="365"/>
      <c r="X1112" s="365"/>
      <c r="Y1112" s="362"/>
    </row>
    <row r="1113" spans="1:44" x14ac:dyDescent="0.25">
      <c r="A1113" s="330" t="s">
        <v>994</v>
      </c>
      <c r="B1113" s="329">
        <v>14667</v>
      </c>
      <c r="C1113" s="157"/>
      <c r="D1113" s="348">
        <v>246000</v>
      </c>
      <c r="E1113" s="329">
        <v>14667</v>
      </c>
      <c r="F1113" s="157"/>
      <c r="G1113" s="330"/>
      <c r="H1113" s="329"/>
      <c r="I1113" s="157"/>
      <c r="J1113" s="330"/>
      <c r="K1113" s="329"/>
      <c r="L1113" s="157"/>
      <c r="M1113" s="360">
        <f t="shared" si="108"/>
        <v>0</v>
      </c>
      <c r="N1113" s="237">
        <f t="shared" si="109"/>
        <v>0</v>
      </c>
      <c r="O1113" s="361"/>
      <c r="P1113" s="361"/>
      <c r="Q1113" s="361"/>
      <c r="R1113" s="362"/>
      <c r="S1113" s="236"/>
      <c r="T1113" s="364"/>
      <c r="U1113" s="365"/>
      <c r="V1113" s="365"/>
      <c r="W1113" s="365"/>
      <c r="X1113" s="365"/>
      <c r="Y1113" s="362"/>
    </row>
    <row r="1114" spans="1:44" s="18" customFormat="1" x14ac:dyDescent="0.25">
      <c r="A1114" s="333" t="s">
        <v>715</v>
      </c>
      <c r="B1114" s="334">
        <v>461015.21921999997</v>
      </c>
      <c r="C1114" s="164"/>
      <c r="D1114" s="333" t="s">
        <v>715</v>
      </c>
      <c r="E1114" s="334">
        <v>461015.21921999997</v>
      </c>
      <c r="F1114" s="164"/>
      <c r="G1114" s="333" t="s">
        <v>715</v>
      </c>
      <c r="H1114" s="334">
        <v>461015.21921999997</v>
      </c>
      <c r="I1114" s="164"/>
      <c r="J1114" s="333" t="s">
        <v>715</v>
      </c>
      <c r="K1114" s="334">
        <f>K1115+K1116</f>
        <v>448719.21921999997</v>
      </c>
      <c r="L1114" s="164"/>
      <c r="M1114" s="358" t="str">
        <f t="shared" ref="M1114:M1145" si="114">J1114</f>
        <v>D421PUBREC</v>
      </c>
      <c r="N1114" s="239">
        <f t="shared" ref="N1114:N1145" si="115">K1114</f>
        <v>448719.21921999997</v>
      </c>
      <c r="O1114" s="243"/>
      <c r="P1114" s="243">
        <f>MATCH(Q1114,Q1115:Q$1550,0)</f>
        <v>5</v>
      </c>
      <c r="Q1114" s="243" t="s">
        <v>697</v>
      </c>
      <c r="R1114" s="359" t="str">
        <f>IF(Q1114="ekrk",INDEX(indexy_SDcast!$A:$C,MATCH($M1114,indexy_SDcast!$A:$A,0),2),"")</f>
        <v/>
      </c>
      <c r="S1114" s="240"/>
      <c r="T1114" s="363" t="str">
        <f>M1114</f>
        <v>D421PUBREC</v>
      </c>
      <c r="U1114" s="244">
        <f>SUM(U1115:U1118)</f>
        <v>448719.21921999997</v>
      </c>
      <c r="V1114" s="244">
        <f>SUM(V1115:V1118)</f>
        <v>464555.25579752738</v>
      </c>
      <c r="W1114" s="244">
        <f>SUM(W1115:W1118)</f>
        <v>485990.25187769777</v>
      </c>
      <c r="X1114" s="244">
        <f>SUM(X1115:X1118)</f>
        <v>511145.52553721459</v>
      </c>
      <c r="Y1114" s="359">
        <f>SUM(Y1115:Y1118)</f>
        <v>539502.05976666429</v>
      </c>
      <c r="Z1114" s="58"/>
      <c r="AA1114" s="58"/>
      <c r="AB1114" s="58"/>
      <c r="AC1114" s="58"/>
      <c r="AD1114" s="58"/>
      <c r="AE1114" s="58"/>
      <c r="AF1114" s="58"/>
      <c r="AG1114" s="58"/>
      <c r="AH1114" s="58"/>
      <c r="AI1114" s="58"/>
      <c r="AJ1114" s="58"/>
      <c r="AK1114" s="58"/>
      <c r="AL1114" s="58"/>
      <c r="AM1114" s="58"/>
      <c r="AN1114" s="58"/>
      <c r="AO1114" s="58"/>
      <c r="AP1114" s="58"/>
      <c r="AQ1114" s="58"/>
      <c r="AR1114" s="58"/>
    </row>
    <row r="1115" spans="1:44" x14ac:dyDescent="0.25">
      <c r="A1115" s="330">
        <v>211003</v>
      </c>
      <c r="B1115" s="329">
        <v>266267.96078999998</v>
      </c>
      <c r="C1115" s="157"/>
      <c r="D1115" s="330">
        <v>211003</v>
      </c>
      <c r="E1115" s="329">
        <v>266267.96078999998</v>
      </c>
      <c r="F1115" s="157"/>
      <c r="G1115" s="330">
        <v>211003</v>
      </c>
      <c r="H1115" s="349">
        <f>E1115+E1117+E1118</f>
        <v>443371.96078999998</v>
      </c>
      <c r="I1115" s="157"/>
      <c r="J1115" s="352">
        <v>211003</v>
      </c>
      <c r="K1115" s="353">
        <f>H1115+H1117+H1118-12296</f>
        <v>431075.96078999998</v>
      </c>
      <c r="L1115" s="157"/>
      <c r="M1115" s="360">
        <f t="shared" si="114"/>
        <v>211003</v>
      </c>
      <c r="N1115" s="237">
        <f t="shared" si="115"/>
        <v>431075.96078999998</v>
      </c>
      <c r="O1115" s="361"/>
      <c r="P1115" s="361"/>
      <c r="Q1115" s="361" t="s">
        <v>698</v>
      </c>
      <c r="R1115" s="362">
        <f>IF(Q1115="ekrk",INDEX(indexy_SDcast!$A:$C,MATCH($M1115,indexy_SDcast!$A:$A,0),2),"")</f>
        <v>38</v>
      </c>
      <c r="S1115" s="236"/>
      <c r="T1115" s="364">
        <f>M1115</f>
        <v>211003</v>
      </c>
      <c r="U1115" s="365">
        <f>N1115</f>
        <v>431075.96078999998</v>
      </c>
      <c r="V1115" s="365">
        <f>IF($Q1115="ekrk",IF($R1115="data",IFERROR(INDEX(data!$A:$ALL,MATCH($M1115,data!$A:$A,0),MATCH(V$2,data!$1:$1,0)),"#data"),IFERROR(U1115*INDEX(indexy_SDcast!$A:$ALI,MATCH($R1115,indexy_SDcast!$K:$K,0),MATCH(V$2,indexy_SDcast!$2:$2,0)),"#ekrk")),"#popis")</f>
        <v>446289.3378649326</v>
      </c>
      <c r="W1115" s="365">
        <f>IF($Q1115="ekrk",IF($R1115="data",IFERROR(INDEX(data!$A:$ALL,MATCH($M1115,data!$A:$A,0),MATCH(W$2,data!$1:$1,0)),"#data"),IFERROR(V1115*INDEX(indexy_SDcast!$A:$ALI,MATCH($R1115,indexy_SDcast!$K:$K,0),MATCH(W$2,indexy_SDcast!$2:$2,0)),"#ekrk")),"#popis")</f>
        <v>466881.52811221295</v>
      </c>
      <c r="X1115" s="365">
        <f>IF($Q1115="ekrk",IF($R1115="data",IFERROR(INDEX(data!$A:$ALL,MATCH($M1115,data!$A:$A,0),MATCH(X$2,data!$1:$1,0)),"#data"),IFERROR(W1115*INDEX(indexy_SDcast!$A:$ALI,MATCH($R1115,indexy_SDcast!$K:$K,0),MATCH(X$2,indexy_SDcast!$2:$2,0)),"#ekrk")),"#popis")</f>
        <v>491047.71778548171</v>
      </c>
      <c r="Y1115" s="362">
        <f>IF($Q1115="ekrk",IF($R1115="data",IFERROR(INDEX(data!$A:$ALL,MATCH($M1115,data!$A:$A,0),MATCH(Y$2,data!$1:$1,0)),"#data"),IFERROR(X1115*INDEX(indexy_SDcast!$A:$ALI,MATCH($R1115,indexy_SDcast!$K:$K,0),MATCH(Y$2,indexy_SDcast!$2:$2,0)),"#ekrk")),"#popis")</f>
        <v>518289.29718313483</v>
      </c>
    </row>
    <row r="1116" spans="1:44" x14ac:dyDescent="0.25">
      <c r="A1116" s="330">
        <v>211004</v>
      </c>
      <c r="B1116" s="329">
        <v>17643.258429999998</v>
      </c>
      <c r="C1116" s="157"/>
      <c r="D1116" s="330">
        <v>211004</v>
      </c>
      <c r="E1116" s="329">
        <v>17643.258429999998</v>
      </c>
      <c r="F1116" s="157"/>
      <c r="G1116" s="330">
        <v>211004</v>
      </c>
      <c r="H1116" s="329">
        <v>17643.258429999998</v>
      </c>
      <c r="I1116" s="157"/>
      <c r="J1116" s="330">
        <v>211004</v>
      </c>
      <c r="K1116" s="329">
        <v>17643.258429999998</v>
      </c>
      <c r="L1116" s="157"/>
      <c r="M1116" s="360">
        <f t="shared" si="114"/>
        <v>211004</v>
      </c>
      <c r="N1116" s="237">
        <f t="shared" si="115"/>
        <v>17643.258429999998</v>
      </c>
      <c r="O1116" s="361"/>
      <c r="P1116" s="361"/>
      <c r="Q1116" s="361" t="s">
        <v>698</v>
      </c>
      <c r="R1116" s="362">
        <f>IF(Q1116="ekrk",INDEX(indexy_SDcast!$A:$C,MATCH($M1116,indexy_SDcast!$A:$A,0),2),"")</f>
        <v>38</v>
      </c>
      <c r="S1116" s="236"/>
      <c r="T1116" s="364">
        <f>M1116</f>
        <v>211004</v>
      </c>
      <c r="U1116" s="365">
        <f>N1116</f>
        <v>17643.258429999998</v>
      </c>
      <c r="V1116" s="365">
        <f>IF($Q1116="ekrk",IF($R1116="data",IFERROR(INDEX(data!$A:$ALL,MATCH($M1116,data!$A:$A,0),MATCH(V$2,data!$1:$1,0)),"#data"),IFERROR(U1116*INDEX(indexy_SDcast!$A:$ALI,MATCH($R1116,indexy_SDcast!$K:$K,0),MATCH(V$2,indexy_SDcast!$2:$2,0)),"#ekrk")),"#popis")</f>
        <v>18265.917932594792</v>
      </c>
      <c r="W1116" s="365">
        <f>IF($Q1116="ekrk",IF($R1116="data",IFERROR(INDEX(data!$A:$ALL,MATCH($M1116,data!$A:$A,0),MATCH(W$2,data!$1:$1,0)),"#data"),IFERROR(V1116*INDEX(indexy_SDcast!$A:$ALI,MATCH($R1116,indexy_SDcast!$K:$K,0),MATCH(W$2,indexy_SDcast!$2:$2,0)),"#ekrk")),"#popis")</f>
        <v>19108.723765484836</v>
      </c>
      <c r="X1116" s="365">
        <f>IF($Q1116="ekrk",IF($R1116="data",IFERROR(INDEX(data!$A:$ALL,MATCH($M1116,data!$A:$A,0),MATCH(X$2,data!$1:$1,0)),"#data"),IFERROR(W1116*INDEX(indexy_SDcast!$A:$ALI,MATCH($R1116,indexy_SDcast!$K:$K,0),MATCH(X$2,indexy_SDcast!$2:$2,0)),"#ekrk")),"#popis")</f>
        <v>20097.807751732878</v>
      </c>
      <c r="Y1116" s="362">
        <f>IF($Q1116="ekrk",IF($R1116="data",IFERROR(INDEX(data!$A:$ALL,MATCH($M1116,data!$A:$A,0),MATCH(Y$2,data!$1:$1,0)),"#data"),IFERROR(X1116*INDEX(indexy_SDcast!$A:$ALI,MATCH($R1116,indexy_SDcast!$K:$K,0),MATCH(Y$2,indexy_SDcast!$2:$2,0)),"#ekrk")),"#popis")</f>
        <v>21212.762583529442</v>
      </c>
    </row>
    <row r="1117" spans="1:44" x14ac:dyDescent="0.25">
      <c r="A1117" s="330" t="s">
        <v>699</v>
      </c>
      <c r="B1117" s="329">
        <v>1110</v>
      </c>
      <c r="C1117" s="157"/>
      <c r="D1117" s="348">
        <v>211003</v>
      </c>
      <c r="E1117" s="329">
        <v>1110</v>
      </c>
      <c r="F1117" s="157"/>
      <c r="G1117" s="330"/>
      <c r="H1117" s="329"/>
      <c r="I1117" s="157"/>
      <c r="J1117" s="330"/>
      <c r="K1117" s="329"/>
      <c r="L1117" s="157"/>
      <c r="M1117" s="360">
        <f t="shared" si="114"/>
        <v>0</v>
      </c>
      <c r="N1117" s="237">
        <f t="shared" si="115"/>
        <v>0</v>
      </c>
      <c r="O1117" s="361"/>
      <c r="P1117" s="361"/>
      <c r="Q1117" s="361"/>
      <c r="R1117" s="362"/>
      <c r="S1117" s="236"/>
      <c r="T1117" s="364"/>
      <c r="U1117" s="365"/>
      <c r="V1117" s="365"/>
      <c r="W1117" s="365"/>
      <c r="X1117" s="365"/>
      <c r="Y1117" s="362"/>
    </row>
    <row r="1118" spans="1:44" x14ac:dyDescent="0.25">
      <c r="A1118" s="330" t="s">
        <v>992</v>
      </c>
      <c r="B1118" s="329">
        <v>175994</v>
      </c>
      <c r="C1118" s="157"/>
      <c r="D1118" s="348">
        <v>211003</v>
      </c>
      <c r="E1118" s="329">
        <v>175994</v>
      </c>
      <c r="F1118" s="157"/>
      <c r="G1118" s="330"/>
      <c r="H1118" s="329"/>
      <c r="I1118" s="157"/>
      <c r="J1118" s="330"/>
      <c r="K1118" s="329"/>
      <c r="L1118" s="157"/>
      <c r="M1118" s="360">
        <f t="shared" si="114"/>
        <v>0</v>
      </c>
      <c r="N1118" s="237">
        <f t="shared" si="115"/>
        <v>0</v>
      </c>
      <c r="O1118" s="361"/>
      <c r="P1118" s="361"/>
      <c r="Q1118" s="361"/>
      <c r="R1118" s="362"/>
      <c r="S1118" s="236"/>
      <c r="T1118" s="364"/>
      <c r="U1118" s="365"/>
      <c r="V1118" s="365"/>
      <c r="W1118" s="365"/>
      <c r="X1118" s="365"/>
      <c r="Y1118" s="362"/>
    </row>
    <row r="1119" spans="1:44" s="18" customFormat="1" x14ac:dyDescent="0.25">
      <c r="A1119" s="333" t="s">
        <v>716</v>
      </c>
      <c r="B1119" s="334">
        <v>52023.027440000005</v>
      </c>
      <c r="C1119" s="164"/>
      <c r="D1119" s="333" t="s">
        <v>716</v>
      </c>
      <c r="E1119" s="334">
        <v>52023.027440000005</v>
      </c>
      <c r="F1119" s="164"/>
      <c r="G1119" s="333" t="s">
        <v>716</v>
      </c>
      <c r="H1119" s="334">
        <v>52023.027440000005</v>
      </c>
      <c r="I1119" s="164"/>
      <c r="J1119" s="333" t="s">
        <v>716</v>
      </c>
      <c r="K1119" s="334">
        <v>52023.027440000005</v>
      </c>
      <c r="L1119" s="164"/>
      <c r="M1119" s="358" t="str">
        <f t="shared" si="114"/>
        <v>D45REC</v>
      </c>
      <c r="N1119" s="239">
        <f t="shared" si="115"/>
        <v>52023.027440000005</v>
      </c>
      <c r="O1119" s="243"/>
      <c r="P1119" s="243">
        <f>MATCH(Q1119,Q1120:Q$1550,0)</f>
        <v>6</v>
      </c>
      <c r="Q1119" s="243" t="s">
        <v>697</v>
      </c>
      <c r="R1119" s="359" t="str">
        <f>IF(Q1119="ekrk",INDEX(indexy_SDcast!$A:$C,MATCH($M1119,indexy_SDcast!$A:$A,0),2),"")</f>
        <v/>
      </c>
      <c r="S1119" s="240"/>
      <c r="T1119" s="363" t="str">
        <f>M1119</f>
        <v>D45REC</v>
      </c>
      <c r="U1119" s="244">
        <f>SUM(U1120:U1124)</f>
        <v>52023.027440000005</v>
      </c>
      <c r="V1119" s="244">
        <f>SUM(V1120:V1124)</f>
        <v>52023.027440000005</v>
      </c>
      <c r="W1119" s="244">
        <f>SUM(W1120:W1124)</f>
        <v>52023.027440000005</v>
      </c>
      <c r="X1119" s="244">
        <f>SUM(X1120:X1124)</f>
        <v>52023.027440000005</v>
      </c>
      <c r="Y1119" s="359">
        <f>SUM(Y1120:Y1124)</f>
        <v>52023.027440000005</v>
      </c>
      <c r="Z1119" s="58"/>
      <c r="AA1119" s="58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58"/>
      <c r="AM1119" s="58"/>
      <c r="AN1119" s="58"/>
      <c r="AO1119" s="58"/>
      <c r="AP1119" s="58"/>
      <c r="AQ1119" s="58"/>
      <c r="AR1119" s="58"/>
    </row>
    <row r="1120" spans="1:44" x14ac:dyDescent="0.25">
      <c r="A1120" s="330">
        <v>212000</v>
      </c>
      <c r="B1120" s="329">
        <v>47.739999999999995</v>
      </c>
      <c r="C1120" s="157"/>
      <c r="D1120" s="330">
        <v>212000</v>
      </c>
      <c r="E1120" s="329">
        <v>47.739999999999995</v>
      </c>
      <c r="F1120" s="157"/>
      <c r="G1120" s="330">
        <v>212000</v>
      </c>
      <c r="H1120" s="329">
        <v>47.739999999999995</v>
      </c>
      <c r="I1120" s="157"/>
      <c r="J1120" s="330">
        <v>212000</v>
      </c>
      <c r="K1120" s="329">
        <v>47.739999999999995</v>
      </c>
      <c r="L1120" s="157"/>
      <c r="M1120" s="360">
        <f t="shared" si="114"/>
        <v>212000</v>
      </c>
      <c r="N1120" s="237">
        <f t="shared" si="115"/>
        <v>47.739999999999995</v>
      </c>
      <c r="O1120" s="361"/>
      <c r="P1120" s="361"/>
      <c r="Q1120" s="361" t="s">
        <v>698</v>
      </c>
      <c r="R1120" s="362">
        <f>IF(Q1120="ekrk",INDEX(indexy_SDcast!$A:$C,MATCH($M1120,indexy_SDcast!$A:$A,0),2),"")</f>
        <v>9</v>
      </c>
      <c r="S1120" s="236"/>
      <c r="T1120" s="364">
        <f>M1120</f>
        <v>212000</v>
      </c>
      <c r="U1120" s="365">
        <f>N1120</f>
        <v>47.739999999999995</v>
      </c>
      <c r="V1120" s="365">
        <f>IF($Q1120="ekrk",IF($R1120="data",IFERROR(INDEX(data!$A:$ALL,MATCH($M1120,data!$A:$A,0),MATCH(V$2,data!$1:$1,0)),"#data"),IFERROR(U1120*INDEX(indexy_SDcast!$A:$ALI,MATCH($R1120,indexy_SDcast!$K:$K,0),MATCH(V$2,indexy_SDcast!$2:$2,0)),"#ekrk")),"#popis")</f>
        <v>47.739999999999995</v>
      </c>
      <c r="W1120" s="365">
        <f>IF($Q1120="ekrk",IF($R1120="data",IFERROR(INDEX(data!$A:$ALL,MATCH($M1120,data!$A:$A,0),MATCH(W$2,data!$1:$1,0)),"#data"),IFERROR(V1120*INDEX(indexy_SDcast!$A:$ALI,MATCH($R1120,indexy_SDcast!$K:$K,0),MATCH(W$2,indexy_SDcast!$2:$2,0)),"#ekrk")),"#popis")</f>
        <v>47.739999999999995</v>
      </c>
      <c r="X1120" s="365">
        <f>IF($Q1120="ekrk",IF($R1120="data",IFERROR(INDEX(data!$A:$ALL,MATCH($M1120,data!$A:$A,0),MATCH(X$2,data!$1:$1,0)),"#data"),IFERROR(W1120*INDEX(indexy_SDcast!$A:$ALI,MATCH($R1120,indexy_SDcast!$K:$K,0),MATCH(X$2,indexy_SDcast!$2:$2,0)),"#ekrk")),"#popis")</f>
        <v>47.739999999999995</v>
      </c>
      <c r="Y1120" s="362">
        <f>IF($Q1120="ekrk",IF($R1120="data",IFERROR(INDEX(data!$A:$ALL,MATCH($M1120,data!$A:$A,0),MATCH(Y$2,data!$1:$1,0)),"#data"),IFERROR(X1120*INDEX(indexy_SDcast!$A:$ALI,MATCH($R1120,indexy_SDcast!$K:$K,0),MATCH(Y$2,indexy_SDcast!$2:$2,0)),"#ekrk")),"#popis")</f>
        <v>47.739999999999995</v>
      </c>
    </row>
    <row r="1121" spans="1:44" x14ac:dyDescent="0.25">
      <c r="A1121" s="330">
        <v>212001</v>
      </c>
      <c r="B1121" s="329">
        <v>5740.5573299999996</v>
      </c>
      <c r="C1121" s="157"/>
      <c r="D1121" s="330">
        <v>212001</v>
      </c>
      <c r="E1121" s="329">
        <v>5740.5573299999996</v>
      </c>
      <c r="F1121" s="157"/>
      <c r="G1121" s="330">
        <v>212001</v>
      </c>
      <c r="H1121" s="329">
        <v>5740.5573299999996</v>
      </c>
      <c r="I1121" s="157"/>
      <c r="J1121" s="330">
        <v>212001</v>
      </c>
      <c r="K1121" s="329">
        <v>5740.5573299999996</v>
      </c>
      <c r="L1121" s="157"/>
      <c r="M1121" s="360">
        <f t="shared" si="114"/>
        <v>212001</v>
      </c>
      <c r="N1121" s="237">
        <f t="shared" si="115"/>
        <v>5740.5573299999996</v>
      </c>
      <c r="O1121" s="361"/>
      <c r="P1121" s="361"/>
      <c r="Q1121" s="361" t="s">
        <v>698</v>
      </c>
      <c r="R1121" s="362">
        <f>IF(Q1121="ekrk",INDEX(indexy_SDcast!$A:$C,MATCH($M1121,indexy_SDcast!$A:$A,0),2),"")</f>
        <v>22</v>
      </c>
      <c r="S1121" s="236"/>
      <c r="T1121" s="364">
        <f>M1121</f>
        <v>212001</v>
      </c>
      <c r="U1121" s="365">
        <f>N1121</f>
        <v>5740.5573299999996</v>
      </c>
      <c r="V1121" s="365">
        <f>IF($Q1121="ekrk",IF($R1121="data",IFERROR(INDEX(data!$A:$ALL,MATCH($M1121,data!$A:$A,0),MATCH(V$2,data!$1:$1,0)),"#data"),IFERROR(U1121*INDEX(indexy_SDcast!$A:$ALI,MATCH($R1121,indexy_SDcast!$K:$K,0),MATCH(V$2,indexy_SDcast!$2:$2,0)),"#ekrk")),"#popis")</f>
        <v>5740.5573299999996</v>
      </c>
      <c r="W1121" s="365">
        <f>IF($Q1121="ekrk",IF($R1121="data",IFERROR(INDEX(data!$A:$ALL,MATCH($M1121,data!$A:$A,0),MATCH(W$2,data!$1:$1,0)),"#data"),IFERROR(V1121*INDEX(indexy_SDcast!$A:$ALI,MATCH($R1121,indexy_SDcast!$K:$K,0),MATCH(W$2,indexy_SDcast!$2:$2,0)),"#ekrk")),"#popis")</f>
        <v>5740.5573299999996</v>
      </c>
      <c r="X1121" s="365">
        <f>IF($Q1121="ekrk",IF($R1121="data",IFERROR(INDEX(data!$A:$ALL,MATCH($M1121,data!$A:$A,0),MATCH(X$2,data!$1:$1,0)),"#data"),IFERROR(W1121*INDEX(indexy_SDcast!$A:$ALI,MATCH($R1121,indexy_SDcast!$K:$K,0),MATCH(X$2,indexy_SDcast!$2:$2,0)),"#ekrk")),"#popis")</f>
        <v>5740.5573299999996</v>
      </c>
      <c r="Y1121" s="362">
        <f>IF($Q1121="ekrk",IF($R1121="data",IFERROR(INDEX(data!$A:$ALL,MATCH($M1121,data!$A:$A,0),MATCH(Y$2,data!$1:$1,0)),"#data"),IFERROR(X1121*INDEX(indexy_SDcast!$A:$ALI,MATCH($R1121,indexy_SDcast!$K:$K,0),MATCH(Y$2,indexy_SDcast!$2:$2,0)),"#ekrk")),"#popis")</f>
        <v>5740.5573299999996</v>
      </c>
    </row>
    <row r="1122" spans="1:44" x14ac:dyDescent="0.25">
      <c r="A1122" s="330">
        <v>212002</v>
      </c>
      <c r="B1122" s="329">
        <v>42926.361010000001</v>
      </c>
      <c r="C1122" s="157"/>
      <c r="D1122" s="330">
        <v>212002</v>
      </c>
      <c r="E1122" s="329">
        <v>42926.361010000001</v>
      </c>
      <c r="F1122" s="157"/>
      <c r="G1122" s="330">
        <v>212002</v>
      </c>
      <c r="H1122" s="349">
        <f>E1122+E1124</f>
        <v>45716.361010000001</v>
      </c>
      <c r="I1122" s="157"/>
      <c r="J1122" s="330">
        <v>212002</v>
      </c>
      <c r="K1122" s="329">
        <f>H1122+H1124</f>
        <v>45716.361010000001</v>
      </c>
      <c r="L1122" s="157"/>
      <c r="M1122" s="360">
        <f t="shared" si="114"/>
        <v>212002</v>
      </c>
      <c r="N1122" s="237">
        <f t="shared" si="115"/>
        <v>45716.361010000001</v>
      </c>
      <c r="O1122" s="361"/>
      <c r="P1122" s="361"/>
      <c r="Q1122" s="361" t="s">
        <v>698</v>
      </c>
      <c r="R1122" s="362">
        <f>IF(Q1122="ekrk",INDEX(indexy_SDcast!$A:$C,MATCH($M1122,indexy_SDcast!$A:$A,0),2),"")</f>
        <v>9</v>
      </c>
      <c r="S1122" s="236"/>
      <c r="T1122" s="364">
        <f>M1122</f>
        <v>212002</v>
      </c>
      <c r="U1122" s="365">
        <f>N1122</f>
        <v>45716.361010000001</v>
      </c>
      <c r="V1122" s="365">
        <f>IF($Q1122="ekrk",IF($R1122="data",IFERROR(INDEX(data!$A:$ALL,MATCH($M1122,data!$A:$A,0),MATCH(V$2,data!$1:$1,0)),"#data"),IFERROR(U1122*INDEX(indexy_SDcast!$A:$ALI,MATCH($R1122,indexy_SDcast!$K:$K,0),MATCH(V$2,indexy_SDcast!$2:$2,0)),"#ekrk")),"#popis")</f>
        <v>45716.361010000001</v>
      </c>
      <c r="W1122" s="365">
        <f>IF($Q1122="ekrk",IF($R1122="data",IFERROR(INDEX(data!$A:$ALL,MATCH($M1122,data!$A:$A,0),MATCH(W$2,data!$1:$1,0)),"#data"),IFERROR(V1122*INDEX(indexy_SDcast!$A:$ALI,MATCH($R1122,indexy_SDcast!$K:$K,0),MATCH(W$2,indexy_SDcast!$2:$2,0)),"#ekrk")),"#popis")</f>
        <v>45716.361010000001</v>
      </c>
      <c r="X1122" s="365">
        <f>IF($Q1122="ekrk",IF($R1122="data",IFERROR(INDEX(data!$A:$ALL,MATCH($M1122,data!$A:$A,0),MATCH(X$2,data!$1:$1,0)),"#data"),IFERROR(W1122*INDEX(indexy_SDcast!$A:$ALI,MATCH($R1122,indexy_SDcast!$K:$K,0),MATCH(X$2,indexy_SDcast!$2:$2,0)),"#ekrk")),"#popis")</f>
        <v>45716.361010000001</v>
      </c>
      <c r="Y1122" s="362">
        <f>IF($Q1122="ekrk",IF($R1122="data",IFERROR(INDEX(data!$A:$ALL,MATCH($M1122,data!$A:$A,0),MATCH(Y$2,data!$1:$1,0)),"#data"),IFERROR(X1122*INDEX(indexy_SDcast!$A:$ALI,MATCH($R1122,indexy_SDcast!$K:$K,0),MATCH(Y$2,indexy_SDcast!$2:$2,0)),"#ekrk")),"#popis")</f>
        <v>45716.361010000001</v>
      </c>
    </row>
    <row r="1123" spans="1:44" x14ac:dyDescent="0.25">
      <c r="A1123" s="330">
        <v>212008</v>
      </c>
      <c r="B1123" s="329">
        <v>518.36909999999989</v>
      </c>
      <c r="C1123" s="157"/>
      <c r="D1123" s="330">
        <v>212008</v>
      </c>
      <c r="E1123" s="329">
        <v>518.36909999999989</v>
      </c>
      <c r="F1123" s="157"/>
      <c r="G1123" s="330">
        <v>212008</v>
      </c>
      <c r="H1123" s="329">
        <v>518.36909999999989</v>
      </c>
      <c r="I1123" s="157"/>
      <c r="J1123" s="330">
        <v>212008</v>
      </c>
      <c r="K1123" s="329">
        <v>518.36909999999989</v>
      </c>
      <c r="L1123" s="157"/>
      <c r="M1123" s="360">
        <f t="shared" si="114"/>
        <v>212008</v>
      </c>
      <c r="N1123" s="237">
        <f t="shared" si="115"/>
        <v>518.36909999999989</v>
      </c>
      <c r="O1123" s="361"/>
      <c r="P1123" s="361"/>
      <c r="Q1123" s="361" t="s">
        <v>698</v>
      </c>
      <c r="R1123" s="362">
        <f>IF(Q1123="ekrk",INDEX(indexy_SDcast!$A:$C,MATCH($M1123,indexy_SDcast!$A:$A,0),2),"")</f>
        <v>22</v>
      </c>
      <c r="S1123" s="236"/>
      <c r="T1123" s="364">
        <f>M1123</f>
        <v>212008</v>
      </c>
      <c r="U1123" s="365">
        <f>N1123</f>
        <v>518.36909999999989</v>
      </c>
      <c r="V1123" s="365">
        <f>IF($Q1123="ekrk",IF($R1123="data",IFERROR(INDEX(data!$A:$ALL,MATCH($M1123,data!$A:$A,0),MATCH(V$2,data!$1:$1,0)),"#data"),IFERROR(U1123*INDEX(indexy_SDcast!$A:$ALI,MATCH($R1123,indexy_SDcast!$K:$K,0),MATCH(V$2,indexy_SDcast!$2:$2,0)),"#ekrk")),"#popis")</f>
        <v>518.36909999999989</v>
      </c>
      <c r="W1123" s="365">
        <f>IF($Q1123="ekrk",IF($R1123="data",IFERROR(INDEX(data!$A:$ALL,MATCH($M1123,data!$A:$A,0),MATCH(W$2,data!$1:$1,0)),"#data"),IFERROR(V1123*INDEX(indexy_SDcast!$A:$ALI,MATCH($R1123,indexy_SDcast!$K:$K,0),MATCH(W$2,indexy_SDcast!$2:$2,0)),"#ekrk")),"#popis")</f>
        <v>518.36909999999989</v>
      </c>
      <c r="X1123" s="365">
        <f>IF($Q1123="ekrk",IF($R1123="data",IFERROR(INDEX(data!$A:$ALL,MATCH($M1123,data!$A:$A,0),MATCH(X$2,data!$1:$1,0)),"#data"),IFERROR(W1123*INDEX(indexy_SDcast!$A:$ALI,MATCH($R1123,indexy_SDcast!$K:$K,0),MATCH(X$2,indexy_SDcast!$2:$2,0)),"#ekrk")),"#popis")</f>
        <v>518.36909999999989</v>
      </c>
      <c r="Y1123" s="362">
        <f>IF($Q1123="ekrk",IF($R1123="data",IFERROR(INDEX(data!$A:$ALL,MATCH($M1123,data!$A:$A,0),MATCH(Y$2,data!$1:$1,0)),"#data"),IFERROR(X1123*INDEX(indexy_SDcast!$A:$ALI,MATCH($R1123,indexy_SDcast!$K:$K,0),MATCH(Y$2,indexy_SDcast!$2:$2,0)),"#ekrk")),"#popis")</f>
        <v>518.36909999999989</v>
      </c>
    </row>
    <row r="1124" spans="1:44" x14ac:dyDescent="0.25">
      <c r="A1124" s="330" t="s">
        <v>699</v>
      </c>
      <c r="B1124" s="329">
        <v>2790</v>
      </c>
      <c r="C1124" s="157"/>
      <c r="D1124" s="348">
        <v>212002</v>
      </c>
      <c r="E1124" s="329">
        <v>2790</v>
      </c>
      <c r="F1124" s="157"/>
      <c r="G1124" s="330"/>
      <c r="H1124" s="329"/>
      <c r="I1124" s="157"/>
      <c r="J1124" s="330"/>
      <c r="K1124" s="329"/>
      <c r="L1124" s="157"/>
      <c r="M1124" s="360">
        <f t="shared" si="114"/>
        <v>0</v>
      </c>
      <c r="N1124" s="237">
        <f t="shared" si="115"/>
        <v>0</v>
      </c>
      <c r="O1124" s="361"/>
      <c r="P1124" s="361"/>
      <c r="Q1124" s="361"/>
      <c r="R1124" s="362"/>
      <c r="S1124" s="236"/>
      <c r="T1124" s="364"/>
      <c r="U1124" s="365"/>
      <c r="V1124" s="365"/>
      <c r="W1124" s="365"/>
      <c r="X1124" s="365"/>
      <c r="Y1124" s="362"/>
    </row>
    <row r="1125" spans="1:44" s="18" customFormat="1" x14ac:dyDescent="0.25">
      <c r="A1125" s="333" t="s">
        <v>717</v>
      </c>
      <c r="B1125" s="334">
        <v>-19967</v>
      </c>
      <c r="C1125" s="164"/>
      <c r="D1125" s="333" t="s">
        <v>717</v>
      </c>
      <c r="E1125" s="334">
        <v>-19967</v>
      </c>
      <c r="F1125" s="164"/>
      <c r="G1125" s="333" t="s">
        <v>717</v>
      </c>
      <c r="H1125" s="334">
        <v>-19967</v>
      </c>
      <c r="I1125" s="164"/>
      <c r="J1125" s="333" t="s">
        <v>717</v>
      </c>
      <c r="K1125" s="334">
        <v>-19967</v>
      </c>
      <c r="L1125" s="164"/>
      <c r="M1125" s="358" t="str">
        <f t="shared" si="114"/>
        <v>D51PAY</v>
      </c>
      <c r="N1125" s="239">
        <f t="shared" si="115"/>
        <v>-19967</v>
      </c>
      <c r="O1125" s="243"/>
      <c r="P1125" s="243">
        <f>MATCH(Q1125,Q1126:Q$1550,0)</f>
        <v>2</v>
      </c>
      <c r="Q1125" s="243" t="s">
        <v>697</v>
      </c>
      <c r="R1125" s="359" t="str">
        <f>IF(Q1125="ekrk",INDEX(indexy_SDcast!$A:$C,MATCH($M1125,indexy_SDcast!$A:$A,0),2),"")</f>
        <v/>
      </c>
      <c r="S1125" s="240"/>
      <c r="T1125" s="363" t="str">
        <f t="shared" ref="T1125:T1166" si="116">M1125</f>
        <v>D51PAY</v>
      </c>
      <c r="U1125" s="244">
        <f>SUM(U1126:U1126)</f>
        <v>-19967</v>
      </c>
      <c r="V1125" s="244">
        <f>SUM(V1126:V1126)</f>
        <v>-20117.700822728948</v>
      </c>
      <c r="W1125" s="244">
        <f>SUM(W1126:W1126)</f>
        <v>-20535.135679181119</v>
      </c>
      <c r="X1125" s="244">
        <f>SUM(X1126:X1126)</f>
        <v>-21002.260963594868</v>
      </c>
      <c r="Y1125" s="359">
        <f>SUM(Y1126:Y1126)</f>
        <v>-21496.934609731965</v>
      </c>
      <c r="Z1125" s="58"/>
      <c r="AA1125" s="58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58"/>
      <c r="AM1125" s="58"/>
      <c r="AN1125" s="58"/>
      <c r="AO1125" s="58"/>
      <c r="AP1125" s="58"/>
      <c r="AQ1125" s="58"/>
      <c r="AR1125" s="58"/>
    </row>
    <row r="1126" spans="1:44" x14ac:dyDescent="0.25">
      <c r="A1126" s="330" t="s">
        <v>718</v>
      </c>
      <c r="B1126" s="329">
        <v>-19967</v>
      </c>
      <c r="C1126" s="157"/>
      <c r="D1126" s="348">
        <v>637035</v>
      </c>
      <c r="E1126" s="329">
        <v>-19967</v>
      </c>
      <c r="F1126" s="157"/>
      <c r="G1126" s="330">
        <v>637035</v>
      </c>
      <c r="H1126" s="329">
        <v>-19967</v>
      </c>
      <c r="I1126" s="157"/>
      <c r="J1126" s="330">
        <v>637035</v>
      </c>
      <c r="K1126" s="329">
        <v>-19967</v>
      </c>
      <c r="L1126" s="157"/>
      <c r="M1126" s="360">
        <f t="shared" si="114"/>
        <v>637035</v>
      </c>
      <c r="N1126" s="237">
        <f t="shared" si="115"/>
        <v>-19967</v>
      </c>
      <c r="O1126" s="361"/>
      <c r="P1126" s="361"/>
      <c r="Q1126" s="361" t="s">
        <v>698</v>
      </c>
      <c r="R1126" s="362">
        <f>IF(Q1126="ekrk",INDEX(indexy_SDcast!$A:$C,MATCH($M1126,indexy_SDcast!$A:$A,0),2),"")</f>
        <v>25</v>
      </c>
      <c r="S1126" s="236"/>
      <c r="T1126" s="364">
        <f t="shared" si="116"/>
        <v>637035</v>
      </c>
      <c r="U1126" s="365">
        <f>N1126</f>
        <v>-19967</v>
      </c>
      <c r="V1126" s="365">
        <f>IF($Q1126="ekrk",IF($R1126="data",IFERROR(INDEX(data!$A:$ALL,MATCH($M1126,data!$A:$A,0),MATCH(V$2,data!$1:$1,0)),"#data"),IFERROR(U1126*INDEX(indexy_SDcast!$A:$ALI,MATCH($R1126,indexy_SDcast!$K:$K,0),MATCH(V$2,indexy_SDcast!$2:$2,0)),"#ekrk")),"#popis")</f>
        <v>-20117.700822728948</v>
      </c>
      <c r="W1126" s="365">
        <f>IF($Q1126="ekrk",IF($R1126="data",IFERROR(INDEX(data!$A:$ALL,MATCH($M1126,data!$A:$A,0),MATCH(W$2,data!$1:$1,0)),"#data"),IFERROR(V1126*INDEX(indexy_SDcast!$A:$ALI,MATCH($R1126,indexy_SDcast!$K:$K,0),MATCH(W$2,indexy_SDcast!$2:$2,0)),"#ekrk")),"#popis")</f>
        <v>-20535.135679181119</v>
      </c>
      <c r="X1126" s="365">
        <f>IF($Q1126="ekrk",IF($R1126="data",IFERROR(INDEX(data!$A:$ALL,MATCH($M1126,data!$A:$A,0),MATCH(X$2,data!$1:$1,0)),"#data"),IFERROR(W1126*INDEX(indexy_SDcast!$A:$ALI,MATCH($R1126,indexy_SDcast!$K:$K,0),MATCH(X$2,indexy_SDcast!$2:$2,0)),"#ekrk")),"#popis")</f>
        <v>-21002.260963594868</v>
      </c>
      <c r="Y1126" s="362">
        <f>IF($Q1126="ekrk",IF($R1126="data",IFERROR(INDEX(data!$A:$ALL,MATCH($M1126,data!$A:$A,0),MATCH(Y$2,data!$1:$1,0)),"#data"),IFERROR(X1126*INDEX(indexy_SDcast!$A:$ALI,MATCH($R1126,indexy_SDcast!$K:$K,0),MATCH(Y$2,indexy_SDcast!$2:$2,0)),"#ekrk")),"#popis")</f>
        <v>-21496.934609731965</v>
      </c>
    </row>
    <row r="1127" spans="1:44" s="18" customFormat="1" x14ac:dyDescent="0.25">
      <c r="A1127" s="333" t="s">
        <v>719</v>
      </c>
      <c r="B1127" s="334">
        <v>3976972.0306599997</v>
      </c>
      <c r="C1127" s="164"/>
      <c r="D1127" s="333" t="s">
        <v>719</v>
      </c>
      <c r="E1127" s="334">
        <v>3976972.0306599997</v>
      </c>
      <c r="F1127" s="164"/>
      <c r="G1127" s="333" t="s">
        <v>719</v>
      </c>
      <c r="H1127" s="334">
        <v>3976972.0306599997</v>
      </c>
      <c r="I1127" s="164"/>
      <c r="J1127" s="333" t="s">
        <v>719</v>
      </c>
      <c r="K1127" s="334">
        <f>H1127-H1136-(H1133-K1133)-(H1134-K1134)</f>
        <v>3940935.3977099997</v>
      </c>
      <c r="L1127" s="164"/>
      <c r="M1127" s="358" t="str">
        <f t="shared" si="114"/>
        <v>D51REC</v>
      </c>
      <c r="N1127" s="239">
        <f t="shared" si="115"/>
        <v>3940935.3977099997</v>
      </c>
      <c r="O1127" s="243"/>
      <c r="P1127" s="243">
        <f>MATCH(Q1127,Q1128:Q$1550,0)</f>
        <v>10</v>
      </c>
      <c r="Q1127" s="243" t="s">
        <v>697</v>
      </c>
      <c r="R1127" s="359" t="str">
        <f>IF(Q1127="ekrk",INDEX(indexy_SDcast!$A:$C,MATCH($M1127,indexy_SDcast!$A:$A,0),2),"")</f>
        <v/>
      </c>
      <c r="S1127" s="240"/>
      <c r="T1127" s="363" t="str">
        <f t="shared" si="116"/>
        <v>D51REC</v>
      </c>
      <c r="U1127" s="244">
        <f>SUM(U1128:U1136)</f>
        <v>3940935.3977099997</v>
      </c>
      <c r="V1127" s="244">
        <f>SUM(V1128:V1136)</f>
        <v>3996509</v>
      </c>
      <c r="W1127" s="244">
        <f>SUM(W1128:W1136)</f>
        <v>4175945</v>
      </c>
      <c r="X1127" s="244">
        <f>SUM(X1128:X1136)</f>
        <v>4418890</v>
      </c>
      <c r="Y1127" s="359">
        <f>SUM(Y1128:Y1136)</f>
        <v>4749507</v>
      </c>
      <c r="Z1127" s="58"/>
      <c r="AA1127" s="58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58"/>
      <c r="AM1127" s="58"/>
      <c r="AN1127" s="58"/>
      <c r="AO1127" s="58"/>
      <c r="AP1127" s="58"/>
      <c r="AQ1127" s="58"/>
      <c r="AR1127" s="58"/>
    </row>
    <row r="1128" spans="1:44" x14ac:dyDescent="0.25">
      <c r="A1128" s="330">
        <v>111001</v>
      </c>
      <c r="B1128" s="329">
        <v>1808925.4508499999</v>
      </c>
      <c r="C1128" s="157"/>
      <c r="D1128" s="330">
        <v>111001</v>
      </c>
      <c r="E1128" s="329">
        <v>1808925.4508499999</v>
      </c>
      <c r="F1128" s="157"/>
      <c r="G1128" s="330">
        <v>111001</v>
      </c>
      <c r="H1128" s="329">
        <v>1808925.4508499999</v>
      </c>
      <c r="I1128" s="157"/>
      <c r="J1128" s="330">
        <v>111001</v>
      </c>
      <c r="K1128" s="329">
        <v>1808925.4508499999</v>
      </c>
      <c r="L1128" s="157"/>
      <c r="M1128" s="360">
        <f t="shared" si="114"/>
        <v>111001</v>
      </c>
      <c r="N1128" s="237">
        <f t="shared" si="115"/>
        <v>1808925.4508499999</v>
      </c>
      <c r="O1128" s="361"/>
      <c r="P1128" s="361"/>
      <c r="Q1128" s="361" t="s">
        <v>698</v>
      </c>
      <c r="R1128" s="362" t="str">
        <f>IF(Q1128="ekrk",INDEX(indexy_SDcast!$A:$C,MATCH($M1128,indexy_SDcast!$A:$A,0),2),"")</f>
        <v>data</v>
      </c>
      <c r="S1128" s="236"/>
      <c r="T1128" s="364">
        <f t="shared" si="116"/>
        <v>111001</v>
      </c>
      <c r="U1128" s="365">
        <f t="shared" ref="U1128:U1136" si="117">N1128</f>
        <v>1808925.4508499999</v>
      </c>
      <c r="V1128" s="365">
        <f>IF($Q1128="ekrk",IF($R1128="data",IFERROR(INDEX(data!$A:$ALL,MATCH($M1128,data!$A:$A,0),MATCH(V$2,data!$1:$1,0)),"#data"),IFERROR(U1128*INDEX(indexy_SDcast!$A:$ALI,MATCH($R1128,indexy_SDcast!$K:$K,0),MATCH(V$2,indexy_SDcast!$2:$2,0)),"#ekrk")),"#popis")</f>
        <v>1845053</v>
      </c>
      <c r="W1128" s="365">
        <f>IF($Q1128="ekrk",IF($R1128="data",IFERROR(INDEX(data!$A:$ALL,MATCH($M1128,data!$A:$A,0),MATCH(W$2,data!$1:$1,0)),"#data"),IFERROR(V1128*INDEX(indexy_SDcast!$A:$ALI,MATCH($R1128,indexy_SDcast!$K:$K,0),MATCH(W$2,indexy_SDcast!$2:$2,0)),"#ekrk")),"#popis")</f>
        <v>1960771</v>
      </c>
      <c r="X1128" s="365">
        <f>IF($Q1128="ekrk",IF($R1128="data",IFERROR(INDEX(data!$A:$ALL,MATCH($M1128,data!$A:$A,0),MATCH(X$2,data!$1:$1,0)),"#data"),IFERROR(W1128*INDEX(indexy_SDcast!$A:$ALI,MATCH($R1128,indexy_SDcast!$K:$K,0),MATCH(X$2,indexy_SDcast!$2:$2,0)),"#ekrk")),"#popis")</f>
        <v>2080577</v>
      </c>
      <c r="Y1128" s="362">
        <f>IF($Q1128="ekrk",IF($R1128="data",IFERROR(INDEX(data!$A:$ALL,MATCH($M1128,data!$A:$A,0),MATCH(Y$2,data!$1:$1,0)),"#data"),IFERROR(X1128*INDEX(indexy_SDcast!$A:$ALI,MATCH($R1128,indexy_SDcast!$K:$K,0),MATCH(Y$2,indexy_SDcast!$2:$2,0)),"#ekrk")),"#popis")</f>
        <v>2221364</v>
      </c>
    </row>
    <row r="1129" spans="1:44" x14ac:dyDescent="0.25">
      <c r="A1129" s="330">
        <v>111002</v>
      </c>
      <c r="B1129" s="329">
        <v>106535.67870999999</v>
      </c>
      <c r="C1129" s="157"/>
      <c r="D1129" s="330">
        <v>111002</v>
      </c>
      <c r="E1129" s="329">
        <v>106535.67870999999</v>
      </c>
      <c r="F1129" s="157"/>
      <c r="G1129" s="330">
        <v>111002</v>
      </c>
      <c r="H1129" s="329">
        <v>106535.67870999999</v>
      </c>
      <c r="I1129" s="157"/>
      <c r="J1129" s="330">
        <v>111002</v>
      </c>
      <c r="K1129" s="329">
        <v>106535.67870999999</v>
      </c>
      <c r="L1129" s="157"/>
      <c r="M1129" s="360">
        <f t="shared" si="114"/>
        <v>111002</v>
      </c>
      <c r="N1129" s="237">
        <f t="shared" si="115"/>
        <v>106535.67870999999</v>
      </c>
      <c r="O1129" s="361"/>
      <c r="P1129" s="361"/>
      <c r="Q1129" s="361" t="s">
        <v>698</v>
      </c>
      <c r="R1129" s="362" t="str">
        <f>IF(Q1129="ekrk",INDEX(indexy_SDcast!$A:$C,MATCH($M1129,indexy_SDcast!$A:$A,0),2),"")</f>
        <v>data</v>
      </c>
      <c r="S1129" s="236"/>
      <c r="T1129" s="364">
        <f t="shared" si="116"/>
        <v>111002</v>
      </c>
      <c r="U1129" s="365">
        <f t="shared" si="117"/>
        <v>106535.67870999999</v>
      </c>
      <c r="V1129" s="365">
        <f>IF($Q1129="ekrk",IF($R1129="data",IFERROR(INDEX(data!$A:$ALL,MATCH($M1129,data!$A:$A,0),MATCH(V$2,data!$1:$1,0)),"#data"),IFERROR(U1129*INDEX(indexy_SDcast!$A:$ALI,MATCH($R1129,indexy_SDcast!$K:$K,0),MATCH(V$2,indexy_SDcast!$2:$2,0)),"#ekrk")),"#popis")</f>
        <v>105929</v>
      </c>
      <c r="W1129" s="365">
        <f>IF($Q1129="ekrk",IF($R1129="data",IFERROR(INDEX(data!$A:$ALL,MATCH($M1129,data!$A:$A,0),MATCH(W$2,data!$1:$1,0)),"#data"),IFERROR(V1129*INDEX(indexy_SDcast!$A:$ALI,MATCH($R1129,indexy_SDcast!$K:$K,0),MATCH(W$2,indexy_SDcast!$2:$2,0)),"#ekrk")),"#popis")</f>
        <v>110709</v>
      </c>
      <c r="X1129" s="365">
        <f>IF($Q1129="ekrk",IF($R1129="data",IFERROR(INDEX(data!$A:$ALL,MATCH($M1129,data!$A:$A,0),MATCH(X$2,data!$1:$1,0)),"#data"),IFERROR(W1129*INDEX(indexy_SDcast!$A:$ALI,MATCH($R1129,indexy_SDcast!$K:$K,0),MATCH(X$2,indexy_SDcast!$2:$2,0)),"#ekrk")),"#popis")</f>
        <v>115603</v>
      </c>
      <c r="Y1129" s="362">
        <f>IF($Q1129="ekrk",IF($R1129="data",IFERROR(INDEX(data!$A:$ALL,MATCH($M1129,data!$A:$A,0),MATCH(Y$2,data!$1:$1,0)),"#data"),IFERROR(X1129*INDEX(indexy_SDcast!$A:$ALI,MATCH($R1129,indexy_SDcast!$K:$K,0),MATCH(Y$2,indexy_SDcast!$2:$2,0)),"#ekrk")),"#popis")</f>
        <v>121204</v>
      </c>
    </row>
    <row r="1130" spans="1:44" x14ac:dyDescent="0.25">
      <c r="A1130" s="330">
        <v>111003</v>
      </c>
      <c r="B1130" s="329">
        <v>-831.58721000049866</v>
      </c>
      <c r="C1130" s="157"/>
      <c r="D1130" s="330">
        <v>111003</v>
      </c>
      <c r="E1130" s="329">
        <v>-831.58721000049866</v>
      </c>
      <c r="F1130" s="157"/>
      <c r="G1130" s="330">
        <v>111003</v>
      </c>
      <c r="H1130" s="329">
        <v>-831.58721000049866</v>
      </c>
      <c r="I1130" s="157"/>
      <c r="J1130" s="330">
        <v>111003</v>
      </c>
      <c r="K1130" s="329">
        <v>-831.58721000049866</v>
      </c>
      <c r="L1130" s="157"/>
      <c r="M1130" s="360">
        <f t="shared" si="114"/>
        <v>111003</v>
      </c>
      <c r="N1130" s="237">
        <f t="shared" si="115"/>
        <v>-831.58721000049866</v>
      </c>
      <c r="O1130" s="361"/>
      <c r="P1130" s="361"/>
      <c r="Q1130" s="361" t="s">
        <v>698</v>
      </c>
      <c r="R1130" s="362">
        <f>IF(Q1130="ekrk",INDEX(indexy_SDcast!$A:$C,MATCH($M1130,indexy_SDcast!$A:$A,0),2),"")</f>
        <v>2</v>
      </c>
      <c r="S1130" s="236"/>
      <c r="T1130" s="364">
        <f t="shared" si="116"/>
        <v>111003</v>
      </c>
      <c r="U1130" s="365">
        <f t="shared" si="117"/>
        <v>-831.58721000049866</v>
      </c>
      <c r="V1130" s="365">
        <f>IF($Q1130="ekrk",IF($R1130="data",IFERROR(INDEX(data!$A:$ALL,MATCH($M1130,data!$A:$A,0),MATCH(V$2,data!$1:$1,0)),"#data"),IFERROR(U1130*INDEX(indexy_SDcast!$A:$ALI,MATCH($R1130,indexy_SDcast!$K:$K,0),MATCH(V$2,indexy_SDcast!$2:$2,0)),"#ekrk")),"#popis")</f>
        <v>0</v>
      </c>
      <c r="W1130" s="365">
        <f>IF($Q1130="ekrk",IF($R1130="data",IFERROR(INDEX(data!$A:$ALL,MATCH($M1130,data!$A:$A,0),MATCH(W$2,data!$1:$1,0)),"#data"),IFERROR(V1130*INDEX(indexy_SDcast!$A:$ALI,MATCH($R1130,indexy_SDcast!$K:$K,0),MATCH(W$2,indexy_SDcast!$2:$2,0)),"#ekrk")),"#popis")</f>
        <v>0</v>
      </c>
      <c r="X1130" s="365">
        <f>IF($Q1130="ekrk",IF($R1130="data",IFERROR(INDEX(data!$A:$ALL,MATCH($M1130,data!$A:$A,0),MATCH(X$2,data!$1:$1,0)),"#data"),IFERROR(W1130*INDEX(indexy_SDcast!$A:$ALI,MATCH($R1130,indexy_SDcast!$K:$K,0),MATCH(X$2,indexy_SDcast!$2:$2,0)),"#ekrk")),"#popis")</f>
        <v>0</v>
      </c>
      <c r="Y1130" s="362">
        <f>IF($Q1130="ekrk",IF($R1130="data",IFERROR(INDEX(data!$A:$ALL,MATCH($M1130,data!$A:$A,0),MATCH(Y$2,data!$1:$1,0)),"#data"),IFERROR(X1130*INDEX(indexy_SDcast!$A:$ALI,MATCH($R1130,indexy_SDcast!$K:$K,0),MATCH(Y$2,indexy_SDcast!$2:$2,0)),"#ekrk")),"#popis")</f>
        <v>0</v>
      </c>
    </row>
    <row r="1131" spans="1:44" x14ac:dyDescent="0.25">
      <c r="A1131" s="330">
        <v>111004</v>
      </c>
      <c r="B1131" s="329">
        <v>-20944.314979999999</v>
      </c>
      <c r="C1131" s="157"/>
      <c r="D1131" s="330">
        <v>111004</v>
      </c>
      <c r="E1131" s="329">
        <v>-20944.314979999999</v>
      </c>
      <c r="F1131" s="157"/>
      <c r="G1131" s="330">
        <v>111004</v>
      </c>
      <c r="H1131" s="329">
        <v>-20944.314979999999</v>
      </c>
      <c r="I1131" s="157"/>
      <c r="J1131" s="330">
        <v>111004</v>
      </c>
      <c r="K1131" s="329">
        <v>-20944.314979999999</v>
      </c>
      <c r="L1131" s="157"/>
      <c r="M1131" s="360">
        <f t="shared" si="114"/>
        <v>111004</v>
      </c>
      <c r="N1131" s="237">
        <f t="shared" si="115"/>
        <v>-20944.314979999999</v>
      </c>
      <c r="O1131" s="361"/>
      <c r="P1131" s="361"/>
      <c r="Q1131" s="361" t="s">
        <v>698</v>
      </c>
      <c r="R1131" s="362" t="str">
        <f>IF(Q1131="ekrk",INDEX(indexy_SDcast!$A:$C,MATCH($M1131,indexy_SDcast!$A:$A,0),2),"")</f>
        <v>data</v>
      </c>
      <c r="S1131" s="236"/>
      <c r="T1131" s="364">
        <f t="shared" si="116"/>
        <v>111004</v>
      </c>
      <c r="U1131" s="365">
        <f t="shared" si="117"/>
        <v>-20944.314979999999</v>
      </c>
      <c r="V1131" s="365">
        <f>IF($Q1131="ekrk",IF($R1131="data",IFERROR(INDEX(data!$A:$ALL,MATCH($M1131,data!$A:$A,0),MATCH(V$2,data!$1:$1,0)),"#data"),IFERROR(U1131*INDEX(indexy_SDcast!$A:$ALI,MATCH($R1131,indexy_SDcast!$K:$K,0),MATCH(V$2,indexy_SDcast!$2:$2,0)),"#ekrk")),"#popis")</f>
        <v>-21564</v>
      </c>
      <c r="W1131" s="365">
        <f>IF($Q1131="ekrk",IF($R1131="data",IFERROR(INDEX(data!$A:$ALL,MATCH($M1131,data!$A:$A,0),MATCH(W$2,data!$1:$1,0)),"#data"),IFERROR(V1131*INDEX(indexy_SDcast!$A:$ALI,MATCH($R1131,indexy_SDcast!$K:$K,0),MATCH(W$2,indexy_SDcast!$2:$2,0)),"#ekrk")),"#popis")</f>
        <v>-22559</v>
      </c>
      <c r="X1131" s="365">
        <f>IF($Q1131="ekrk",IF($R1131="data",IFERROR(INDEX(data!$A:$ALL,MATCH($M1131,data!$A:$A,0),MATCH(X$2,data!$1:$1,0)),"#data"),IFERROR(W1131*INDEX(indexy_SDcast!$A:$ALI,MATCH($R1131,indexy_SDcast!$K:$K,0),MATCH(X$2,indexy_SDcast!$2:$2,0)),"#ekrk")),"#popis")</f>
        <v>-24337</v>
      </c>
      <c r="Y1131" s="362">
        <f>IF($Q1131="ekrk",IF($R1131="data",IFERROR(INDEX(data!$A:$ALL,MATCH($M1131,data!$A:$A,0),MATCH(Y$2,data!$1:$1,0)),"#data"),IFERROR(X1131*INDEX(indexy_SDcast!$A:$ALI,MATCH($R1131,indexy_SDcast!$K:$K,0),MATCH(Y$2,indexy_SDcast!$2:$2,0)),"#ekrk")),"#popis")</f>
        <v>-26228</v>
      </c>
    </row>
    <row r="1132" spans="1:44" x14ac:dyDescent="0.25">
      <c r="A1132" s="330">
        <v>112001</v>
      </c>
      <c r="B1132" s="329">
        <v>-25762.316579999999</v>
      </c>
      <c r="C1132" s="157"/>
      <c r="D1132" s="330">
        <v>112001</v>
      </c>
      <c r="E1132" s="329">
        <v>-25762.316579999999</v>
      </c>
      <c r="F1132" s="157"/>
      <c r="G1132" s="330">
        <v>112001</v>
      </c>
      <c r="H1132" s="329">
        <v>-25762.316579999999</v>
      </c>
      <c r="I1132" s="157"/>
      <c r="J1132" s="330">
        <v>112001</v>
      </c>
      <c r="K1132" s="329">
        <v>-25762.316579999999</v>
      </c>
      <c r="L1132" s="157"/>
      <c r="M1132" s="360">
        <f t="shared" si="114"/>
        <v>112001</v>
      </c>
      <c r="N1132" s="237">
        <f t="shared" si="115"/>
        <v>-25762.316579999999</v>
      </c>
      <c r="O1132" s="361"/>
      <c r="P1132" s="361"/>
      <c r="Q1132" s="361" t="s">
        <v>698</v>
      </c>
      <c r="R1132" s="362" t="str">
        <f>IF(Q1132="ekrk",INDEX(indexy_SDcast!$A:$C,MATCH($M1132,indexy_SDcast!$A:$A,0),2),"")</f>
        <v>data</v>
      </c>
      <c r="S1132" s="236"/>
      <c r="T1132" s="364">
        <f t="shared" si="116"/>
        <v>112001</v>
      </c>
      <c r="U1132" s="365">
        <f t="shared" si="117"/>
        <v>-25762.316579999999</v>
      </c>
      <c r="V1132" s="365">
        <f>IF($Q1132="ekrk",IF($R1132="data",IFERROR(INDEX(data!$A:$ALL,MATCH($M1132,data!$A:$A,0),MATCH(V$2,data!$1:$1,0)),"#data"),IFERROR(U1132*INDEX(indexy_SDcast!$A:$ALI,MATCH($R1132,indexy_SDcast!$K:$K,0),MATCH(V$2,indexy_SDcast!$2:$2,0)),"#ekrk")),"#popis")</f>
        <v>-28183</v>
      </c>
      <c r="W1132" s="365">
        <f>IF($Q1132="ekrk",IF($R1132="data",IFERROR(INDEX(data!$A:$ALL,MATCH($M1132,data!$A:$A,0),MATCH(W$2,data!$1:$1,0)),"#data"),IFERROR(V1132*INDEX(indexy_SDcast!$A:$ALI,MATCH($R1132,indexy_SDcast!$K:$K,0),MATCH(W$2,indexy_SDcast!$2:$2,0)),"#ekrk")),"#popis")</f>
        <v>-30299</v>
      </c>
      <c r="X1132" s="365">
        <f>IF($Q1132="ekrk",IF($R1132="data",IFERROR(INDEX(data!$A:$ALL,MATCH($M1132,data!$A:$A,0),MATCH(X$2,data!$1:$1,0)),"#data"),IFERROR(W1132*INDEX(indexy_SDcast!$A:$ALI,MATCH($R1132,indexy_SDcast!$K:$K,0),MATCH(X$2,indexy_SDcast!$2:$2,0)),"#ekrk")),"#popis")</f>
        <v>-23082</v>
      </c>
      <c r="Y1132" s="362">
        <f>IF($Q1132="ekrk",IF($R1132="data",IFERROR(INDEX(data!$A:$ALL,MATCH($M1132,data!$A:$A,0),MATCH(Y$2,data!$1:$1,0)),"#data"),IFERROR(X1132*INDEX(indexy_SDcast!$A:$ALI,MATCH($R1132,indexy_SDcast!$K:$K,0),MATCH(Y$2,indexy_SDcast!$2:$2,0)),"#ekrk")),"#popis")</f>
        <v>-24101</v>
      </c>
    </row>
    <row r="1133" spans="1:44" x14ac:dyDescent="0.25">
      <c r="A1133" s="330">
        <v>112003</v>
      </c>
      <c r="B1133" s="329">
        <v>1833915.439</v>
      </c>
      <c r="C1133" s="157"/>
      <c r="D1133" s="330">
        <v>112003</v>
      </c>
      <c r="E1133" s="329">
        <v>1833915.439</v>
      </c>
      <c r="F1133" s="157"/>
      <c r="G1133" s="330">
        <v>112003</v>
      </c>
      <c r="H1133" s="329">
        <v>1833915.439</v>
      </c>
      <c r="I1133" s="157"/>
      <c r="J1133" s="352">
        <v>112003</v>
      </c>
      <c r="K1133" s="353">
        <f>1833915.439+22388+46913</f>
        <v>1903216.439</v>
      </c>
      <c r="L1133" s="157"/>
      <c r="M1133" s="360">
        <f t="shared" si="114"/>
        <v>112003</v>
      </c>
      <c r="N1133" s="237">
        <f t="shared" si="115"/>
        <v>1903216.439</v>
      </c>
      <c r="O1133" s="361"/>
      <c r="P1133" s="361"/>
      <c r="Q1133" s="361" t="s">
        <v>698</v>
      </c>
      <c r="R1133" s="362" t="str">
        <f>IF(Q1133="ekrk",INDEX(indexy_SDcast!$A:$C,MATCH($M1133,indexy_SDcast!$A:$A,0),2),"")</f>
        <v>data</v>
      </c>
      <c r="S1133" s="236"/>
      <c r="T1133" s="364">
        <f t="shared" si="116"/>
        <v>112003</v>
      </c>
      <c r="U1133" s="365">
        <f t="shared" si="117"/>
        <v>1903216.439</v>
      </c>
      <c r="V1133" s="365">
        <f>IF($Q1133="ekrk",IF($R1133="data",IFERROR(INDEX(data!$A:$ALL,MATCH($M1133,data!$A:$A,0),MATCH(V$2,data!$1:$1,0)),"#data"),IFERROR(U1133*INDEX(indexy_SDcast!$A:$ALI,MATCH($R1133,indexy_SDcast!$K:$K,0),MATCH(V$2,indexy_SDcast!$2:$2,0)),"#ekrk")),"#popis")</f>
        <v>1943895</v>
      </c>
      <c r="W1133" s="365">
        <f>IF($Q1133="ekrk",IF($R1133="data",IFERROR(INDEX(data!$A:$ALL,MATCH($M1133,data!$A:$A,0),MATCH(W$2,data!$1:$1,0)),"#data"),IFERROR(V1133*INDEX(indexy_SDcast!$A:$ALI,MATCH($R1133,indexy_SDcast!$K:$K,0),MATCH(W$2,indexy_SDcast!$2:$2,0)),"#ekrk")),"#popis")</f>
        <v>2013421</v>
      </c>
      <c r="X1133" s="365">
        <f>IF($Q1133="ekrk",IF($R1133="data",IFERROR(INDEX(data!$A:$ALL,MATCH($M1133,data!$A:$A,0),MATCH(X$2,data!$1:$1,0)),"#data"),IFERROR(W1133*INDEX(indexy_SDcast!$A:$ALI,MATCH($R1133,indexy_SDcast!$K:$K,0),MATCH(X$2,indexy_SDcast!$2:$2,0)),"#ekrk")),"#popis")</f>
        <v>2102352</v>
      </c>
      <c r="Y1133" s="362">
        <f>IF($Q1133="ekrk",IF($R1133="data",IFERROR(INDEX(data!$A:$ALL,MATCH($M1133,data!$A:$A,0),MATCH(Y$2,data!$1:$1,0)),"#data"),IFERROR(X1133*INDEX(indexy_SDcast!$A:$ALI,MATCH($R1133,indexy_SDcast!$K:$K,0),MATCH(Y$2,indexy_SDcast!$2:$2,0)),"#ekrk")),"#popis")</f>
        <v>2246347</v>
      </c>
    </row>
    <row r="1134" spans="1:44" x14ac:dyDescent="0.25">
      <c r="A1134" s="330">
        <v>113000</v>
      </c>
      <c r="B1134" s="329">
        <v>177784.24103</v>
      </c>
      <c r="C1134" s="157"/>
      <c r="D1134" s="330">
        <v>113000</v>
      </c>
      <c r="E1134" s="329">
        <v>177784.24103</v>
      </c>
      <c r="F1134" s="157"/>
      <c r="G1134" s="330">
        <v>113000</v>
      </c>
      <c r="H1134" s="329">
        <v>177784.24103</v>
      </c>
      <c r="I1134" s="157"/>
      <c r="J1134" s="352">
        <v>113000</v>
      </c>
      <c r="K1134" s="353">
        <f>177784.24103-8000</f>
        <v>169784.24103</v>
      </c>
      <c r="L1134" s="157"/>
      <c r="M1134" s="360">
        <f t="shared" si="114"/>
        <v>113000</v>
      </c>
      <c r="N1134" s="237">
        <f t="shared" si="115"/>
        <v>169784.24103</v>
      </c>
      <c r="O1134" s="361"/>
      <c r="P1134" s="361"/>
      <c r="Q1134" s="361" t="s">
        <v>698</v>
      </c>
      <c r="R1134" s="362" t="str">
        <f>IF(Q1134="ekrk",INDEX(indexy_SDcast!$A:$C,MATCH($M1134,indexy_SDcast!$A:$A,0),2),"")</f>
        <v>data</v>
      </c>
      <c r="S1134" s="236"/>
      <c r="T1134" s="364">
        <f t="shared" si="116"/>
        <v>113000</v>
      </c>
      <c r="U1134" s="365">
        <f t="shared" si="117"/>
        <v>169784.24103</v>
      </c>
      <c r="V1134" s="365">
        <f>IF($Q1134="ekrk",IF($R1134="data",IFERROR(INDEX(data!$A:$ALL,MATCH($M1134,data!$A:$A,0),MATCH(V$2,data!$1:$1,0)),"#data"),IFERROR(U1134*INDEX(indexy_SDcast!$A:$ALI,MATCH($R1134,indexy_SDcast!$K:$K,0),MATCH(V$2,indexy_SDcast!$2:$2,0)),"#ekrk")),"#popis")</f>
        <v>151379</v>
      </c>
      <c r="W1134" s="365">
        <f>IF($Q1134="ekrk",IF($R1134="data",IFERROR(INDEX(data!$A:$ALL,MATCH($M1134,data!$A:$A,0),MATCH(W$2,data!$1:$1,0)),"#data"),IFERROR(V1134*INDEX(indexy_SDcast!$A:$ALI,MATCH($R1134,indexy_SDcast!$K:$K,0),MATCH(W$2,indexy_SDcast!$2:$2,0)),"#ekrk")),"#popis")</f>
        <v>143902</v>
      </c>
      <c r="X1134" s="365">
        <f>IF($Q1134="ekrk",IF($R1134="data",IFERROR(INDEX(data!$A:$ALL,MATCH($M1134,data!$A:$A,0),MATCH(X$2,data!$1:$1,0)),"#data"),IFERROR(W1134*INDEX(indexy_SDcast!$A:$ALI,MATCH($R1134,indexy_SDcast!$K:$K,0),MATCH(X$2,indexy_SDcast!$2:$2,0)),"#ekrk")),"#popis")</f>
        <v>167777</v>
      </c>
      <c r="Y1134" s="362">
        <f>IF($Q1134="ekrk",IF($R1134="data",IFERROR(INDEX(data!$A:$ALL,MATCH($M1134,data!$A:$A,0),MATCH(Y$2,data!$1:$1,0)),"#data"),IFERROR(X1134*INDEX(indexy_SDcast!$A:$ALI,MATCH($R1134,indexy_SDcast!$K:$K,0),MATCH(Y$2,indexy_SDcast!$2:$2,0)),"#ekrk")),"#popis")</f>
        <v>210921</v>
      </c>
    </row>
    <row r="1135" spans="1:44" x14ac:dyDescent="0.25">
      <c r="A1135" s="330">
        <v>191000</v>
      </c>
      <c r="B1135" s="329">
        <v>11.806889999999999</v>
      </c>
      <c r="C1135" s="157"/>
      <c r="D1135" s="330">
        <v>191000</v>
      </c>
      <c r="E1135" s="329">
        <v>11.806889999999999</v>
      </c>
      <c r="F1135" s="157"/>
      <c r="G1135" s="330">
        <v>191000</v>
      </c>
      <c r="H1135" s="329">
        <v>11.806889999999999</v>
      </c>
      <c r="I1135" s="157"/>
      <c r="J1135" s="330">
        <v>191000</v>
      </c>
      <c r="K1135" s="329">
        <v>11.806889999999999</v>
      </c>
      <c r="L1135" s="157"/>
      <c r="M1135" s="360">
        <f t="shared" si="114"/>
        <v>191000</v>
      </c>
      <c r="N1135" s="237">
        <f t="shared" si="115"/>
        <v>11.806889999999999</v>
      </c>
      <c r="O1135" s="361"/>
      <c r="P1135" s="361"/>
      <c r="Q1135" s="361" t="s">
        <v>698</v>
      </c>
      <c r="R1135" s="362">
        <f>IF(Q1135="ekrk",INDEX(indexy_SDcast!$A:$C,MATCH($M1135,indexy_SDcast!$A:$A,0),2),"")</f>
        <v>2</v>
      </c>
      <c r="S1135" s="236"/>
      <c r="T1135" s="364">
        <f t="shared" si="116"/>
        <v>191000</v>
      </c>
      <c r="U1135" s="365">
        <f t="shared" si="117"/>
        <v>11.806889999999999</v>
      </c>
      <c r="V1135" s="365">
        <f>IF($Q1135="ekrk",IF($R1135="data",IFERROR(INDEX(data!$A:$ALL,MATCH($M1135,data!$A:$A,0),MATCH(V$2,data!$1:$1,0)),"#data"),IFERROR(U1135*INDEX(indexy_SDcast!$A:$ALI,MATCH($R1135,indexy_SDcast!$K:$K,0),MATCH(V$2,indexy_SDcast!$2:$2,0)),"#ekrk")),"#popis")</f>
        <v>0</v>
      </c>
      <c r="W1135" s="365">
        <f>IF($Q1135="ekrk",IF($R1135="data",IFERROR(INDEX(data!$A:$ALL,MATCH($M1135,data!$A:$A,0),MATCH(W$2,data!$1:$1,0)),"#data"),IFERROR(V1135*INDEX(indexy_SDcast!$A:$ALI,MATCH($R1135,indexy_SDcast!$K:$K,0),MATCH(W$2,indexy_SDcast!$2:$2,0)),"#ekrk")),"#popis")</f>
        <v>0</v>
      </c>
      <c r="X1135" s="365">
        <f>IF($Q1135="ekrk",IF($R1135="data",IFERROR(INDEX(data!$A:$ALL,MATCH($M1135,data!$A:$A,0),MATCH(X$2,data!$1:$1,0)),"#data"),IFERROR(W1135*INDEX(indexy_SDcast!$A:$ALI,MATCH($R1135,indexy_SDcast!$K:$K,0),MATCH(X$2,indexy_SDcast!$2:$2,0)),"#ekrk")),"#popis")</f>
        <v>0</v>
      </c>
      <c r="Y1135" s="362">
        <f>IF($Q1135="ekrk",IF($R1135="data",IFERROR(INDEX(data!$A:$ALL,MATCH($M1135,data!$A:$A,0),MATCH(Y$2,data!$1:$1,0)),"#data"),IFERROR(X1135*INDEX(indexy_SDcast!$A:$ALI,MATCH($R1135,indexy_SDcast!$K:$K,0),MATCH(Y$2,indexy_SDcast!$2:$2,0)),"#ekrk")),"#popis")</f>
        <v>0</v>
      </c>
    </row>
    <row r="1136" spans="1:44" x14ac:dyDescent="0.25">
      <c r="A1136" s="330">
        <v>194000</v>
      </c>
      <c r="B1136" s="329">
        <v>97337.632950000014</v>
      </c>
      <c r="C1136" s="157"/>
      <c r="D1136" s="330">
        <v>194000</v>
      </c>
      <c r="E1136" s="329">
        <v>97337.632950000014</v>
      </c>
      <c r="F1136" s="157"/>
      <c r="G1136" s="330">
        <v>194000</v>
      </c>
      <c r="H1136" s="329">
        <v>97337.632950000014</v>
      </c>
      <c r="I1136" s="157"/>
      <c r="J1136" s="352">
        <v>194000</v>
      </c>
      <c r="K1136" s="353">
        <v>0</v>
      </c>
      <c r="L1136" s="157"/>
      <c r="M1136" s="360">
        <f t="shared" si="114"/>
        <v>194000</v>
      </c>
      <c r="N1136" s="237">
        <f t="shared" si="115"/>
        <v>0</v>
      </c>
      <c r="O1136" s="361"/>
      <c r="P1136" s="361"/>
      <c r="Q1136" s="361" t="s">
        <v>698</v>
      </c>
      <c r="R1136" s="362">
        <f>IF(Q1136="ekrk",INDEX(indexy_SDcast!$A:$C,MATCH($M1136,indexy_SDcast!$A:$A,0),2),"")</f>
        <v>38</v>
      </c>
      <c r="S1136" s="236"/>
      <c r="T1136" s="364">
        <f t="shared" si="116"/>
        <v>194000</v>
      </c>
      <c r="U1136" s="365">
        <f t="shared" si="117"/>
        <v>0</v>
      </c>
      <c r="V1136" s="365">
        <f>IF($Q1136="ekrk",IF($R1136="data",IFERROR(INDEX(data!$A:$ALL,MATCH($M1136,data!$A:$A,0),MATCH(V$2,data!$1:$1,0)),"#data"),IFERROR(U1136*INDEX(indexy_SDcast!$A:$ALI,MATCH($R1136,indexy_SDcast!$K:$K,0),MATCH(V$2,indexy_SDcast!$2:$2,0)),"#ekrk")),"#popis")</f>
        <v>0</v>
      </c>
      <c r="W1136" s="365">
        <f>IF($Q1136="ekrk",IF($R1136="data",IFERROR(INDEX(data!$A:$ALL,MATCH($M1136,data!$A:$A,0),MATCH(W$2,data!$1:$1,0)),"#data"),IFERROR(V1136*INDEX(indexy_SDcast!$A:$ALI,MATCH($R1136,indexy_SDcast!$K:$K,0),MATCH(W$2,indexy_SDcast!$2:$2,0)),"#ekrk")),"#popis")</f>
        <v>0</v>
      </c>
      <c r="X1136" s="365">
        <f>IF($Q1136="ekrk",IF($R1136="data",IFERROR(INDEX(data!$A:$ALL,MATCH($M1136,data!$A:$A,0),MATCH(X$2,data!$1:$1,0)),"#data"),IFERROR(W1136*INDEX(indexy_SDcast!$A:$ALI,MATCH($R1136,indexy_SDcast!$K:$K,0),MATCH(X$2,indexy_SDcast!$2:$2,0)),"#ekrk")),"#popis")</f>
        <v>0</v>
      </c>
      <c r="Y1136" s="362">
        <f>IF($Q1136="ekrk",IF($R1136="data",IFERROR(INDEX(data!$A:$ALL,MATCH($M1136,data!$A:$A,0),MATCH(Y$2,data!$1:$1,0)),"#data"),IFERROR(X1136*INDEX(indexy_SDcast!$A:$ALI,MATCH($R1136,indexy_SDcast!$K:$K,0),MATCH(Y$2,indexy_SDcast!$2:$2,0)),"#ekrk")),"#popis")</f>
        <v>0</v>
      </c>
    </row>
    <row r="1137" spans="1:44" s="18" customFormat="1" x14ac:dyDescent="0.25">
      <c r="A1137" s="333" t="s">
        <v>720</v>
      </c>
      <c r="B1137" s="334">
        <v>243874.80742</v>
      </c>
      <c r="C1137" s="164"/>
      <c r="D1137" s="333" t="s">
        <v>720</v>
      </c>
      <c r="E1137" s="334">
        <v>243874.80742</v>
      </c>
      <c r="F1137" s="164"/>
      <c r="G1137" s="333" t="s">
        <v>720</v>
      </c>
      <c r="H1137" s="334">
        <v>243874.80742</v>
      </c>
      <c r="I1137" s="164"/>
      <c r="J1137" s="333" t="s">
        <v>720</v>
      </c>
      <c r="K1137" s="334">
        <v>243874.80742</v>
      </c>
      <c r="L1137" s="164"/>
      <c r="M1137" s="358" t="str">
        <f t="shared" si="114"/>
        <v>D59REC</v>
      </c>
      <c r="N1137" s="239">
        <f t="shared" si="115"/>
        <v>243874.80742</v>
      </c>
      <c r="O1137" s="243"/>
      <c r="P1137" s="243">
        <f>MATCH(Q1137,Q1138:Q$1550,0)</f>
        <v>12</v>
      </c>
      <c r="Q1137" s="243" t="s">
        <v>697</v>
      </c>
      <c r="R1137" s="359" t="str">
        <f>IF(Q1137="ekrk",INDEX(indexy_SDcast!$A:$C,MATCH($M1137,indexy_SDcast!$A:$A,0),2),"")</f>
        <v/>
      </c>
      <c r="S1137" s="240"/>
      <c r="T1137" s="363" t="str">
        <f t="shared" si="116"/>
        <v>D59REC</v>
      </c>
      <c r="U1137" s="244">
        <f>SUM(U1138:U1148)</f>
        <v>243874.80742</v>
      </c>
      <c r="V1137" s="244">
        <f>SUM(V1138:V1148)</f>
        <v>254577.75518149245</v>
      </c>
      <c r="W1137" s="244">
        <f>SUM(W1138:W1148)</f>
        <v>254623.71781338955</v>
      </c>
      <c r="X1137" s="244">
        <f>SUM(X1138:X1148)</f>
        <v>254642.36101722135</v>
      </c>
      <c r="Y1137" s="359">
        <f>SUM(Y1138:Y1148)</f>
        <v>254618.58427222777</v>
      </c>
      <c r="Z1137" s="58"/>
      <c r="AA1137" s="58"/>
      <c r="AB1137" s="58"/>
      <c r="AC1137" s="58"/>
      <c r="AD1137" s="58"/>
      <c r="AE1137" s="58"/>
      <c r="AF1137" s="58"/>
      <c r="AG1137" s="58"/>
      <c r="AH1137" s="58"/>
      <c r="AI1137" s="58"/>
      <c r="AJ1137" s="58"/>
      <c r="AK1137" s="58"/>
      <c r="AL1137" s="58"/>
      <c r="AM1137" s="58"/>
      <c r="AN1137" s="58"/>
      <c r="AO1137" s="58"/>
      <c r="AP1137" s="58"/>
      <c r="AQ1137" s="58"/>
      <c r="AR1137" s="58"/>
    </row>
    <row r="1138" spans="1:44" x14ac:dyDescent="0.25">
      <c r="A1138" s="330">
        <v>121001</v>
      </c>
      <c r="B1138" s="329">
        <v>27011.224060000004</v>
      </c>
      <c r="C1138" s="157"/>
      <c r="D1138" s="330">
        <v>121001</v>
      </c>
      <c r="E1138" s="329">
        <v>27011.224060000004</v>
      </c>
      <c r="F1138" s="157"/>
      <c r="G1138" s="330">
        <v>121001</v>
      </c>
      <c r="H1138" s="329">
        <v>27011.224060000004</v>
      </c>
      <c r="I1138" s="157"/>
      <c r="J1138" s="330">
        <v>121001</v>
      </c>
      <c r="K1138" s="329">
        <v>27011.224060000004</v>
      </c>
      <c r="L1138" s="157"/>
      <c r="M1138" s="360">
        <f t="shared" si="114"/>
        <v>121001</v>
      </c>
      <c r="N1138" s="237">
        <f t="shared" si="115"/>
        <v>27011.224060000004</v>
      </c>
      <c r="O1138" s="361"/>
      <c r="P1138" s="361"/>
      <c r="Q1138" s="361" t="s">
        <v>698</v>
      </c>
      <c r="R1138" s="362">
        <f>IF(Q1138="ekrk",INDEX(indexy_SDcast!$A:$C,MATCH($M1138,indexy_SDcast!$A:$A,0),2),"")</f>
        <v>22</v>
      </c>
      <c r="S1138" s="236"/>
      <c r="T1138" s="364">
        <f t="shared" si="116"/>
        <v>121001</v>
      </c>
      <c r="U1138" s="365">
        <f t="shared" ref="U1138:U1148" si="118">N1138</f>
        <v>27011.224060000004</v>
      </c>
      <c r="V1138" s="365">
        <f>IF($Q1138="ekrk",IF($R1138="data",IFERROR(INDEX(data!$A:$ALL,MATCH($M1138,data!$A:$A,0),MATCH(V$2,data!$1:$1,0)),"#data"),IFERROR(U1138*INDEX(indexy_SDcast!$A:$ALI,MATCH($R1138,indexy_SDcast!$K:$K,0),MATCH(V$2,indexy_SDcast!$2:$2,0)),"#ekrk")),"#popis")</f>
        <v>27011.224060000004</v>
      </c>
      <c r="W1138" s="365">
        <f>IF($Q1138="ekrk",IF($R1138="data",IFERROR(INDEX(data!$A:$ALL,MATCH($M1138,data!$A:$A,0),MATCH(W$2,data!$1:$1,0)),"#data"),IFERROR(V1138*INDEX(indexy_SDcast!$A:$ALI,MATCH($R1138,indexy_SDcast!$K:$K,0),MATCH(W$2,indexy_SDcast!$2:$2,0)),"#ekrk")),"#popis")</f>
        <v>27011.224060000004</v>
      </c>
      <c r="X1138" s="365">
        <f>IF($Q1138="ekrk",IF($R1138="data",IFERROR(INDEX(data!$A:$ALL,MATCH($M1138,data!$A:$A,0),MATCH(X$2,data!$1:$1,0)),"#data"),IFERROR(W1138*INDEX(indexy_SDcast!$A:$ALI,MATCH($R1138,indexy_SDcast!$K:$K,0),MATCH(X$2,indexy_SDcast!$2:$2,0)),"#ekrk")),"#popis")</f>
        <v>27011.224060000004</v>
      </c>
      <c r="Y1138" s="362">
        <f>IF($Q1138="ekrk",IF($R1138="data",IFERROR(INDEX(data!$A:$ALL,MATCH($M1138,data!$A:$A,0),MATCH(Y$2,data!$1:$1,0)),"#data"),IFERROR(X1138*INDEX(indexy_SDcast!$A:$ALI,MATCH($R1138,indexy_SDcast!$K:$K,0),MATCH(Y$2,indexy_SDcast!$2:$2,0)),"#ekrk")),"#popis")</f>
        <v>27011.224060000004</v>
      </c>
    </row>
    <row r="1139" spans="1:44" x14ac:dyDescent="0.25">
      <c r="A1139" s="330">
        <v>121002</v>
      </c>
      <c r="B1139" s="329">
        <v>72087.036139999997</v>
      </c>
      <c r="C1139" s="157"/>
      <c r="D1139" s="330">
        <v>121002</v>
      </c>
      <c r="E1139" s="329">
        <v>72087.036139999997</v>
      </c>
      <c r="F1139" s="157"/>
      <c r="G1139" s="330">
        <v>121002</v>
      </c>
      <c r="H1139" s="329">
        <v>72087.036139999997</v>
      </c>
      <c r="I1139" s="157"/>
      <c r="J1139" s="330">
        <v>121002</v>
      </c>
      <c r="K1139" s="329">
        <v>72087.036139999997</v>
      </c>
      <c r="L1139" s="157"/>
      <c r="M1139" s="360">
        <f t="shared" si="114"/>
        <v>121002</v>
      </c>
      <c r="N1139" s="237">
        <f t="shared" si="115"/>
        <v>72087.036139999997</v>
      </c>
      <c r="O1139" s="361"/>
      <c r="P1139" s="361"/>
      <c r="Q1139" s="361" t="s">
        <v>698</v>
      </c>
      <c r="R1139" s="362">
        <f>IF(Q1139="ekrk",INDEX(indexy_SDcast!$A:$C,MATCH($M1139,indexy_SDcast!$A:$A,0),2),"")</f>
        <v>22</v>
      </c>
      <c r="S1139" s="236"/>
      <c r="T1139" s="364">
        <f t="shared" si="116"/>
        <v>121002</v>
      </c>
      <c r="U1139" s="365">
        <f t="shared" si="118"/>
        <v>72087.036139999997</v>
      </c>
      <c r="V1139" s="365">
        <f>IF($Q1139="ekrk",IF($R1139="data",IFERROR(INDEX(data!$A:$ALL,MATCH($M1139,data!$A:$A,0),MATCH(V$2,data!$1:$1,0)),"#data"),IFERROR(U1139*INDEX(indexy_SDcast!$A:$ALI,MATCH($R1139,indexy_SDcast!$K:$K,0),MATCH(V$2,indexy_SDcast!$2:$2,0)),"#ekrk")),"#popis")</f>
        <v>72087.036139999997</v>
      </c>
      <c r="W1139" s="365">
        <f>IF($Q1139="ekrk",IF($R1139="data",IFERROR(INDEX(data!$A:$ALL,MATCH($M1139,data!$A:$A,0),MATCH(W$2,data!$1:$1,0)),"#data"),IFERROR(V1139*INDEX(indexy_SDcast!$A:$ALI,MATCH($R1139,indexy_SDcast!$K:$K,0),MATCH(W$2,indexy_SDcast!$2:$2,0)),"#ekrk")),"#popis")</f>
        <v>72087.036139999997</v>
      </c>
      <c r="X1139" s="365">
        <f>IF($Q1139="ekrk",IF($R1139="data",IFERROR(INDEX(data!$A:$ALL,MATCH($M1139,data!$A:$A,0),MATCH(X$2,data!$1:$1,0)),"#data"),IFERROR(W1139*INDEX(indexy_SDcast!$A:$ALI,MATCH($R1139,indexy_SDcast!$K:$K,0),MATCH(X$2,indexy_SDcast!$2:$2,0)),"#ekrk")),"#popis")</f>
        <v>72087.036139999997</v>
      </c>
      <c r="Y1139" s="362">
        <f>IF($Q1139="ekrk",IF($R1139="data",IFERROR(INDEX(data!$A:$ALL,MATCH($M1139,data!$A:$A,0),MATCH(Y$2,data!$1:$1,0)),"#data"),IFERROR(X1139*INDEX(indexy_SDcast!$A:$ALI,MATCH($R1139,indexy_SDcast!$K:$K,0),MATCH(Y$2,indexy_SDcast!$2:$2,0)),"#ekrk")),"#popis")</f>
        <v>72087.036139999997</v>
      </c>
    </row>
    <row r="1140" spans="1:44" x14ac:dyDescent="0.25">
      <c r="A1140" s="330">
        <v>121003</v>
      </c>
      <c r="B1140" s="329">
        <v>5442.5372399999997</v>
      </c>
      <c r="C1140" s="157"/>
      <c r="D1140" s="330">
        <v>121003</v>
      </c>
      <c r="E1140" s="329">
        <v>5442.5372399999997</v>
      </c>
      <c r="F1140" s="157"/>
      <c r="G1140" s="330">
        <v>121003</v>
      </c>
      <c r="H1140" s="329">
        <v>5442.5372399999997</v>
      </c>
      <c r="I1140" s="157"/>
      <c r="J1140" s="330">
        <v>121003</v>
      </c>
      <c r="K1140" s="329">
        <v>5442.5372399999997</v>
      </c>
      <c r="L1140" s="157"/>
      <c r="M1140" s="360">
        <f t="shared" si="114"/>
        <v>121003</v>
      </c>
      <c r="N1140" s="237">
        <f t="shared" si="115"/>
        <v>5442.5372399999997</v>
      </c>
      <c r="O1140" s="361"/>
      <c r="P1140" s="361"/>
      <c r="Q1140" s="361" t="s">
        <v>698</v>
      </c>
      <c r="R1140" s="362">
        <f>IF(Q1140="ekrk",INDEX(indexy_SDcast!$A:$C,MATCH($M1140,indexy_SDcast!$A:$A,0),2),"")</f>
        <v>32</v>
      </c>
      <c r="S1140" s="236"/>
      <c r="T1140" s="364">
        <f t="shared" si="116"/>
        <v>121003</v>
      </c>
      <c r="U1140" s="365">
        <f t="shared" si="118"/>
        <v>5442.5372399999997</v>
      </c>
      <c r="V1140" s="365">
        <f>IF($Q1140="ekrk",IF($R1140="data",IFERROR(INDEX(data!$A:$ALL,MATCH($M1140,data!$A:$A,0),MATCH(V$2,data!$1:$1,0)),"#data"),IFERROR(U1140*INDEX(indexy_SDcast!$A:$ALI,MATCH($R1140,indexy_SDcast!$K:$K,0),MATCH(V$2,indexy_SDcast!$2:$2,0)),"#ekrk")),"#popis")</f>
        <v>5533.2539788865388</v>
      </c>
      <c r="W1140" s="365">
        <f>IF($Q1140="ekrk",IF($R1140="data",IFERROR(INDEX(data!$A:$ALL,MATCH($M1140,data!$A:$A,0),MATCH(W$2,data!$1:$1,0)),"#data"),IFERROR(V1140*INDEX(indexy_SDcast!$A:$ALI,MATCH($R1140,indexy_SDcast!$K:$K,0),MATCH(W$2,indexy_SDcast!$2:$2,0)),"#ekrk")),"#popis")</f>
        <v>5646.8976148756601</v>
      </c>
      <c r="X1140" s="365">
        <f>IF($Q1140="ekrk",IF($R1140="data",IFERROR(INDEX(data!$A:$ALL,MATCH($M1140,data!$A:$A,0),MATCH(X$2,data!$1:$1,0)),"#data"),IFERROR(W1140*INDEX(indexy_SDcast!$A:$ALI,MATCH($R1140,indexy_SDcast!$K:$K,0),MATCH(X$2,indexy_SDcast!$2:$2,0)),"#ekrk")),"#popis")</f>
        <v>5807.2121991565527</v>
      </c>
      <c r="Y1140" s="362">
        <f>IF($Q1140="ekrk",IF($R1140="data",IFERROR(INDEX(data!$A:$ALL,MATCH($M1140,data!$A:$A,0),MATCH(Y$2,data!$1:$1,0)),"#data"),IFERROR(X1140*INDEX(indexy_SDcast!$A:$ALI,MATCH($R1140,indexy_SDcast!$K:$K,0),MATCH(Y$2,indexy_SDcast!$2:$2,0)),"#ekrk")),"#popis")</f>
        <v>5993.4285007131693</v>
      </c>
    </row>
    <row r="1141" spans="1:44" x14ac:dyDescent="0.25">
      <c r="A1141" s="330">
        <v>123001</v>
      </c>
      <c r="B1141" s="329">
        <v>38.080950000000001</v>
      </c>
      <c r="C1141" s="157"/>
      <c r="D1141" s="330">
        <v>123001</v>
      </c>
      <c r="E1141" s="329">
        <v>38.080950000000001</v>
      </c>
      <c r="F1141" s="157"/>
      <c r="G1141" s="330">
        <v>123001</v>
      </c>
      <c r="H1141" s="329">
        <v>38.080950000000001</v>
      </c>
      <c r="I1141" s="157"/>
      <c r="J1141" s="330">
        <v>123001</v>
      </c>
      <c r="K1141" s="329">
        <v>38.080950000000001</v>
      </c>
      <c r="L1141" s="157"/>
      <c r="M1141" s="360">
        <f t="shared" si="114"/>
        <v>123001</v>
      </c>
      <c r="N1141" s="237">
        <f t="shared" si="115"/>
        <v>38.080950000000001</v>
      </c>
      <c r="O1141" s="361"/>
      <c r="P1141" s="361"/>
      <c r="Q1141" s="361" t="s">
        <v>698</v>
      </c>
      <c r="R1141" s="362">
        <f>IF(Q1141="ekrk",INDEX(indexy_SDcast!$A:$C,MATCH($M1141,indexy_SDcast!$A:$A,0),2),"")</f>
        <v>21</v>
      </c>
      <c r="S1141" s="236"/>
      <c r="T1141" s="364">
        <f t="shared" si="116"/>
        <v>123001</v>
      </c>
      <c r="U1141" s="365">
        <f t="shared" si="118"/>
        <v>38.080950000000001</v>
      </c>
      <c r="V1141" s="365">
        <f>IF($Q1141="ekrk",IF($R1141="data",IFERROR(INDEX(data!$A:$ALL,MATCH($M1141,data!$A:$A,0),MATCH(V$2,data!$1:$1,0)),"#data"),IFERROR(U1141*INDEX(indexy_SDcast!$A:$ALI,MATCH($R1141,indexy_SDcast!$K:$K,0),MATCH(V$2,indexy_SDcast!$2:$2,0)),"#ekrk")),"#popis")</f>
        <v>28.560712500000001</v>
      </c>
      <c r="W1141" s="365">
        <f>IF($Q1141="ekrk",IF($R1141="data",IFERROR(INDEX(data!$A:$ALL,MATCH($M1141,data!$A:$A,0),MATCH(W$2,data!$1:$1,0)),"#data"),IFERROR(V1141*INDEX(indexy_SDcast!$A:$ALI,MATCH($R1141,indexy_SDcast!$K:$K,0),MATCH(W$2,indexy_SDcast!$2:$2,0)),"#ekrk")),"#popis")</f>
        <v>19.040475000000001</v>
      </c>
      <c r="X1141" s="365">
        <f>IF($Q1141="ekrk",IF($R1141="data",IFERROR(INDEX(data!$A:$ALL,MATCH($M1141,data!$A:$A,0),MATCH(X$2,data!$1:$1,0)),"#data"),IFERROR(W1141*INDEX(indexy_SDcast!$A:$ALI,MATCH($R1141,indexy_SDcast!$K:$K,0),MATCH(X$2,indexy_SDcast!$2:$2,0)),"#ekrk")),"#popis")</f>
        <v>9.5202375000000004</v>
      </c>
      <c r="Y1141" s="362">
        <f>IF($Q1141="ekrk",IF($R1141="data",IFERROR(INDEX(data!$A:$ALL,MATCH($M1141,data!$A:$A,0),MATCH(Y$2,data!$1:$1,0)),"#data"),IFERROR(X1141*INDEX(indexy_SDcast!$A:$ALI,MATCH($R1141,indexy_SDcast!$K:$K,0),MATCH(Y$2,indexy_SDcast!$2:$2,0)),"#ekrk")),"#popis")</f>
        <v>0</v>
      </c>
    </row>
    <row r="1142" spans="1:44" x14ac:dyDescent="0.25">
      <c r="A1142" s="330">
        <v>133001</v>
      </c>
      <c r="B1142" s="329">
        <v>1560.3720599999999</v>
      </c>
      <c r="C1142" s="157"/>
      <c r="D1142" s="330">
        <v>133001</v>
      </c>
      <c r="E1142" s="329">
        <v>1560.3720599999999</v>
      </c>
      <c r="F1142" s="157"/>
      <c r="G1142" s="330">
        <v>133001</v>
      </c>
      <c r="H1142" s="329">
        <v>1560.3720599999999</v>
      </c>
      <c r="I1142" s="157"/>
      <c r="J1142" s="330">
        <v>133001</v>
      </c>
      <c r="K1142" s="329">
        <v>1560.3720599999999</v>
      </c>
      <c r="L1142" s="157"/>
      <c r="M1142" s="360">
        <f t="shared" si="114"/>
        <v>133001</v>
      </c>
      <c r="N1142" s="237">
        <f t="shared" si="115"/>
        <v>1560.3720599999999</v>
      </c>
      <c r="O1142" s="361"/>
      <c r="P1142" s="361"/>
      <c r="Q1142" s="361" t="s">
        <v>698</v>
      </c>
      <c r="R1142" s="362">
        <f>IF(Q1142="ekrk",INDEX(indexy_SDcast!$A:$C,MATCH($M1142,indexy_SDcast!$A:$A,0),2),"")</f>
        <v>33</v>
      </c>
      <c r="S1142" s="236"/>
      <c r="T1142" s="364">
        <f t="shared" si="116"/>
        <v>133001</v>
      </c>
      <c r="U1142" s="365">
        <f t="shared" si="118"/>
        <v>1560.3720599999999</v>
      </c>
      <c r="V1142" s="365">
        <f>IF($Q1142="ekrk",IF($R1142="data",IFERROR(INDEX(data!$A:$ALL,MATCH($M1142,data!$A:$A,0),MATCH(V$2,data!$1:$1,0)),"#data"),IFERROR(U1142*INDEX(indexy_SDcast!$A:$ALI,MATCH($R1142,indexy_SDcast!$K:$K,0),MATCH(V$2,indexy_SDcast!$2:$2,0)),"#ekrk")),"#popis")</f>
        <v>1581.5985514966474</v>
      </c>
      <c r="W1142" s="365">
        <f>IF($Q1142="ekrk",IF($R1142="data",IFERROR(INDEX(data!$A:$ALL,MATCH($M1142,data!$A:$A,0),MATCH(W$2,data!$1:$1,0)),"#data"),IFERROR(V1142*INDEX(indexy_SDcast!$A:$ALI,MATCH($R1142,indexy_SDcast!$K:$K,0),MATCH(W$2,indexy_SDcast!$2:$2,0)),"#ekrk")),"#popis")</f>
        <v>1617.3165553547972</v>
      </c>
      <c r="X1142" s="365">
        <f>IF($Q1142="ekrk",IF($R1142="data",IFERROR(INDEX(data!$A:$ALL,MATCH($M1142,data!$A:$A,0),MATCH(X$2,data!$1:$1,0)),"#data"),IFERROR(W1142*INDEX(indexy_SDcast!$A:$ALI,MATCH($R1142,indexy_SDcast!$K:$K,0),MATCH(X$2,indexy_SDcast!$2:$2,0)),"#ekrk")),"#popis")</f>
        <v>1654.1786035705163</v>
      </c>
      <c r="Y1142" s="362">
        <f>IF($Q1142="ekrk",IF($R1142="data",IFERROR(INDEX(data!$A:$ALL,MATCH($M1142,data!$A:$A,0),MATCH(Y$2,data!$1:$1,0)),"#data"),IFERROR(X1142*INDEX(indexy_SDcast!$A:$ALI,MATCH($R1142,indexy_SDcast!$K:$K,0),MATCH(Y$2,indexy_SDcast!$2:$2,0)),"#ekrk")),"#popis")</f>
        <v>1699.3248941437075</v>
      </c>
    </row>
    <row r="1143" spans="1:44" x14ac:dyDescent="0.25">
      <c r="A1143" s="330">
        <v>133005</v>
      </c>
      <c r="B1143" s="329">
        <v>92.79</v>
      </c>
      <c r="C1143" s="157"/>
      <c r="D1143" s="330">
        <v>133005</v>
      </c>
      <c r="E1143" s="329">
        <v>92.79</v>
      </c>
      <c r="F1143" s="157"/>
      <c r="G1143" s="330">
        <v>133005</v>
      </c>
      <c r="H1143" s="329">
        <v>92.79</v>
      </c>
      <c r="I1143" s="157"/>
      <c r="J1143" s="330">
        <v>133005</v>
      </c>
      <c r="K1143" s="329">
        <v>92.79</v>
      </c>
      <c r="L1143" s="157"/>
      <c r="M1143" s="360">
        <f t="shared" si="114"/>
        <v>133005</v>
      </c>
      <c r="N1143" s="237">
        <f t="shared" si="115"/>
        <v>92.79</v>
      </c>
      <c r="O1143" s="361"/>
      <c r="P1143" s="361"/>
      <c r="Q1143" s="361" t="s">
        <v>698</v>
      </c>
      <c r="R1143" s="362">
        <f>IF(Q1143="ekrk",INDEX(indexy_SDcast!$A:$C,MATCH($M1143,indexy_SDcast!$A:$A,0),2),"")</f>
        <v>33</v>
      </c>
      <c r="S1143" s="236"/>
      <c r="T1143" s="364">
        <f t="shared" si="116"/>
        <v>133005</v>
      </c>
      <c r="U1143" s="365">
        <f t="shared" si="118"/>
        <v>92.79</v>
      </c>
      <c r="V1143" s="365">
        <f>IF($Q1143="ekrk",IF($R1143="data",IFERROR(INDEX(data!$A:$ALL,MATCH($M1143,data!$A:$A,0),MATCH(V$2,data!$1:$1,0)),"#data"),IFERROR(U1143*INDEX(indexy_SDcast!$A:$ALI,MATCH($R1143,indexy_SDcast!$K:$K,0),MATCH(V$2,indexy_SDcast!$2:$2,0)),"#ekrk")),"#popis")</f>
        <v>94.052266991613479</v>
      </c>
      <c r="W1143" s="365">
        <f>IF($Q1143="ekrk",IF($R1143="data",IFERROR(INDEX(data!$A:$ALL,MATCH($M1143,data!$A:$A,0),MATCH(W$2,data!$1:$1,0)),"#data"),IFERROR(V1143*INDEX(indexy_SDcast!$A:$ALI,MATCH($R1143,indexy_SDcast!$K:$K,0),MATCH(W$2,indexy_SDcast!$2:$2,0)),"#ekrk")),"#popis")</f>
        <v>96.176294755862045</v>
      </c>
      <c r="X1143" s="365">
        <f>IF($Q1143="ekrk",IF($R1143="data",IFERROR(INDEX(data!$A:$ALL,MATCH($M1143,data!$A:$A,0),MATCH(X$2,data!$1:$1,0)),"#data"),IFERROR(W1143*INDEX(indexy_SDcast!$A:$ALI,MATCH($R1143,indexy_SDcast!$K:$K,0),MATCH(X$2,indexy_SDcast!$2:$2,0)),"#ekrk")),"#popis")</f>
        <v>98.368354932802518</v>
      </c>
      <c r="Y1143" s="362">
        <f>IF($Q1143="ekrk",IF($R1143="data",IFERROR(INDEX(data!$A:$ALL,MATCH($M1143,data!$A:$A,0),MATCH(Y$2,data!$1:$1,0)),"#data"),IFERROR(X1143*INDEX(indexy_SDcast!$A:$ALI,MATCH($R1143,indexy_SDcast!$K:$K,0),MATCH(Y$2,indexy_SDcast!$2:$2,0)),"#ekrk")),"#popis")</f>
        <v>101.05305072406554</v>
      </c>
    </row>
    <row r="1144" spans="1:44" x14ac:dyDescent="0.25">
      <c r="A1144" s="330">
        <v>139001</v>
      </c>
      <c r="B1144" s="329">
        <v>60623.792759999997</v>
      </c>
      <c r="C1144" s="157"/>
      <c r="D1144" s="330">
        <v>139001</v>
      </c>
      <c r="E1144" s="329">
        <v>60623.792759999997</v>
      </c>
      <c r="F1144" s="157"/>
      <c r="G1144" s="330">
        <v>139001</v>
      </c>
      <c r="H1144" s="329">
        <v>60623.792759999997</v>
      </c>
      <c r="I1144" s="157"/>
      <c r="J1144" s="330">
        <v>139001</v>
      </c>
      <c r="K1144" s="329">
        <v>60623.792759999997</v>
      </c>
      <c r="L1144" s="157"/>
      <c r="M1144" s="360">
        <f t="shared" si="114"/>
        <v>139001</v>
      </c>
      <c r="N1144" s="237">
        <f t="shared" si="115"/>
        <v>60623.792759999997</v>
      </c>
      <c r="O1144" s="361"/>
      <c r="P1144" s="361"/>
      <c r="Q1144" s="361" t="s">
        <v>698</v>
      </c>
      <c r="R1144" s="362" t="str">
        <f>IF(Q1144="ekrk",INDEX(indexy_SDcast!$A:$C,MATCH($M1144,indexy_SDcast!$A:$A,0),2),"")</f>
        <v>data</v>
      </c>
      <c r="S1144" s="236"/>
      <c r="T1144" s="364">
        <f t="shared" si="116"/>
        <v>139001</v>
      </c>
      <c r="U1144" s="365">
        <f t="shared" si="118"/>
        <v>60623.792759999997</v>
      </c>
      <c r="V1144" s="365">
        <f>IF($Q1144="ekrk",IF($R1144="data",IFERROR(INDEX(data!$A:$ALL,MATCH($M1144,data!$A:$A,0),MATCH(V$2,data!$1:$1,0)),"#data"),IFERROR(U1144*INDEX(indexy_SDcast!$A:$ALI,MATCH($R1144,indexy_SDcast!$K:$K,0),MATCH(V$2,indexy_SDcast!$2:$2,0)),"#ekrk")),"#popis")</f>
        <v>71225.231814117651</v>
      </c>
      <c r="W1144" s="365">
        <f>IF($Q1144="ekrk",IF($R1144="data",IFERROR(INDEX(data!$A:$ALL,MATCH($M1144,data!$A:$A,0),MATCH(W$2,data!$1:$1,0)),"#data"),IFERROR(V1144*INDEX(indexy_SDcast!$A:$ALI,MATCH($R1144,indexy_SDcast!$K:$K,0),MATCH(W$2,indexy_SDcast!$2:$2,0)),"#ekrk")),"#popis")</f>
        <v>71131.40556840325</v>
      </c>
      <c r="X1144" s="365">
        <f>IF($Q1144="ekrk",IF($R1144="data",IFERROR(INDEX(data!$A:$ALL,MATCH($M1144,data!$A:$A,0),MATCH(X$2,data!$1:$1,0)),"#data"),IFERROR(W1144*INDEX(indexy_SDcast!$A:$ALI,MATCH($R1144,indexy_SDcast!$K:$K,0),MATCH(X$2,indexy_SDcast!$2:$2,0)),"#ekrk")),"#popis")</f>
        <v>70962.3768695615</v>
      </c>
      <c r="Y1144" s="362">
        <f>IF($Q1144="ekrk",IF($R1144="data",IFERROR(INDEX(data!$A:$ALL,MATCH($M1144,data!$A:$A,0),MATCH(Y$2,data!$1:$1,0)),"#data"),IFERROR(X1144*INDEX(indexy_SDcast!$A:$ALI,MATCH($R1144,indexy_SDcast!$K:$K,0),MATCH(Y$2,indexy_SDcast!$2:$2,0)),"#ekrk")),"#popis")</f>
        <v>70716.249626646866</v>
      </c>
    </row>
    <row r="1145" spans="1:44" x14ac:dyDescent="0.25">
      <c r="A1145" s="330">
        <v>139002</v>
      </c>
      <c r="B1145" s="329">
        <v>8.7062099999999987</v>
      </c>
      <c r="C1145" s="157"/>
      <c r="D1145" s="330">
        <v>139002</v>
      </c>
      <c r="E1145" s="329">
        <v>8.7062099999999987</v>
      </c>
      <c r="F1145" s="157"/>
      <c r="G1145" s="330">
        <v>139002</v>
      </c>
      <c r="H1145" s="329">
        <v>8.7062099999999987</v>
      </c>
      <c r="I1145" s="157"/>
      <c r="J1145" s="330">
        <v>139002</v>
      </c>
      <c r="K1145" s="329">
        <v>8.7062099999999987</v>
      </c>
      <c r="L1145" s="157"/>
      <c r="M1145" s="360">
        <f t="shared" si="114"/>
        <v>139002</v>
      </c>
      <c r="N1145" s="237">
        <f t="shared" si="115"/>
        <v>8.7062099999999987</v>
      </c>
      <c r="O1145" s="361"/>
      <c r="P1145" s="361"/>
      <c r="Q1145" s="361" t="s">
        <v>698</v>
      </c>
      <c r="R1145" s="362">
        <f>IF(Q1145="ekrk",INDEX(indexy_SDcast!$A:$C,MATCH($M1145,indexy_SDcast!$A:$A,0),2),"")</f>
        <v>21</v>
      </c>
      <c r="S1145" s="236"/>
      <c r="T1145" s="364">
        <f t="shared" si="116"/>
        <v>139002</v>
      </c>
      <c r="U1145" s="365">
        <f t="shared" si="118"/>
        <v>8.7062099999999987</v>
      </c>
      <c r="V1145" s="365">
        <f>IF($Q1145="ekrk",IF($R1145="data",IFERROR(INDEX(data!$A:$ALL,MATCH($M1145,data!$A:$A,0),MATCH(V$2,data!$1:$1,0)),"#data"),IFERROR(U1145*INDEX(indexy_SDcast!$A:$ALI,MATCH($R1145,indexy_SDcast!$K:$K,0),MATCH(V$2,indexy_SDcast!$2:$2,0)),"#ekrk")),"#popis")</f>
        <v>6.529657499999999</v>
      </c>
      <c r="W1145" s="365">
        <f>IF($Q1145="ekrk",IF($R1145="data",IFERROR(INDEX(data!$A:$ALL,MATCH($M1145,data!$A:$A,0),MATCH(W$2,data!$1:$1,0)),"#data"),IFERROR(V1145*INDEX(indexy_SDcast!$A:$ALI,MATCH($R1145,indexy_SDcast!$K:$K,0),MATCH(W$2,indexy_SDcast!$2:$2,0)),"#ekrk")),"#popis")</f>
        <v>4.3531049999999993</v>
      </c>
      <c r="X1145" s="365">
        <f>IF($Q1145="ekrk",IF($R1145="data",IFERROR(INDEX(data!$A:$ALL,MATCH($M1145,data!$A:$A,0),MATCH(X$2,data!$1:$1,0)),"#data"),IFERROR(W1145*INDEX(indexy_SDcast!$A:$ALI,MATCH($R1145,indexy_SDcast!$K:$K,0),MATCH(X$2,indexy_SDcast!$2:$2,0)),"#ekrk")),"#popis")</f>
        <v>2.1765524999999997</v>
      </c>
      <c r="Y1145" s="362">
        <f>IF($Q1145="ekrk",IF($R1145="data",IFERROR(INDEX(data!$A:$ALL,MATCH($M1145,data!$A:$A,0),MATCH(Y$2,data!$1:$1,0)),"#data"),IFERROR(X1145*INDEX(indexy_SDcast!$A:$ALI,MATCH($R1145,indexy_SDcast!$K:$K,0),MATCH(Y$2,indexy_SDcast!$2:$2,0)),"#ekrk")),"#popis")</f>
        <v>0</v>
      </c>
    </row>
    <row r="1146" spans="1:44" x14ac:dyDescent="0.25">
      <c r="A1146" s="330">
        <v>221002</v>
      </c>
      <c r="B1146" s="329">
        <v>24757.704239999999</v>
      </c>
      <c r="C1146" s="157"/>
      <c r="D1146" s="330">
        <v>221002</v>
      </c>
      <c r="E1146" s="329">
        <v>24757.704239999999</v>
      </c>
      <c r="F1146" s="157"/>
      <c r="G1146" s="330">
        <v>221002</v>
      </c>
      <c r="H1146" s="329">
        <v>24757.704239999999</v>
      </c>
      <c r="I1146" s="157"/>
      <c r="J1146" s="330">
        <v>221002</v>
      </c>
      <c r="K1146" s="329">
        <v>24757.704239999999</v>
      </c>
      <c r="L1146" s="157"/>
      <c r="M1146" s="360">
        <f t="shared" ref="M1146:M1177" si="119">J1146</f>
        <v>221002</v>
      </c>
      <c r="N1146" s="237">
        <f t="shared" ref="N1146:N1177" si="120">K1146</f>
        <v>24757.704239999999</v>
      </c>
      <c r="O1146" s="361"/>
      <c r="P1146" s="361"/>
      <c r="Q1146" s="361" t="s">
        <v>698</v>
      </c>
      <c r="R1146" s="362">
        <f>IF(Q1146="ekrk",INDEX(indexy_SDcast!$A:$C,MATCH($M1146,indexy_SDcast!$A:$A,0),2),"")</f>
        <v>22</v>
      </c>
      <c r="S1146" s="236"/>
      <c r="T1146" s="364">
        <f t="shared" si="116"/>
        <v>221002</v>
      </c>
      <c r="U1146" s="365">
        <f t="shared" si="118"/>
        <v>24757.704239999999</v>
      </c>
      <c r="V1146" s="365">
        <f>IF($Q1146="ekrk",IF($R1146="data",IFERROR(INDEX(data!$A:$ALL,MATCH($M1146,data!$A:$A,0),MATCH(V$2,data!$1:$1,0)),"#data"),IFERROR(U1146*INDEX(indexy_SDcast!$A:$ALI,MATCH($R1146,indexy_SDcast!$K:$K,0),MATCH(V$2,indexy_SDcast!$2:$2,0)),"#ekrk")),"#popis")</f>
        <v>24757.704239999999</v>
      </c>
      <c r="W1146" s="365">
        <f>IF($Q1146="ekrk",IF($R1146="data",IFERROR(INDEX(data!$A:$ALL,MATCH($M1146,data!$A:$A,0),MATCH(W$2,data!$1:$1,0)),"#data"),IFERROR(V1146*INDEX(indexy_SDcast!$A:$ALI,MATCH($R1146,indexy_SDcast!$K:$K,0),MATCH(W$2,indexy_SDcast!$2:$2,0)),"#ekrk")),"#popis")</f>
        <v>24757.704239999999</v>
      </c>
      <c r="X1146" s="365">
        <f>IF($Q1146="ekrk",IF($R1146="data",IFERROR(INDEX(data!$A:$ALL,MATCH($M1146,data!$A:$A,0),MATCH(X$2,data!$1:$1,0)),"#data"),IFERROR(W1146*INDEX(indexy_SDcast!$A:$ALI,MATCH($R1146,indexy_SDcast!$K:$K,0),MATCH(X$2,indexy_SDcast!$2:$2,0)),"#ekrk")),"#popis")</f>
        <v>24757.704239999999</v>
      </c>
      <c r="Y1146" s="362">
        <f>IF($Q1146="ekrk",IF($R1146="data",IFERROR(INDEX(data!$A:$ALL,MATCH($M1146,data!$A:$A,0),MATCH(Y$2,data!$1:$1,0)),"#data"),IFERROR(X1146*INDEX(indexy_SDcast!$A:$ALI,MATCH($R1146,indexy_SDcast!$K:$K,0),MATCH(Y$2,indexy_SDcast!$2:$2,0)),"#ekrk")),"#popis")</f>
        <v>24757.704239999999</v>
      </c>
    </row>
    <row r="1147" spans="1:44" x14ac:dyDescent="0.25">
      <c r="A1147" s="330">
        <v>221004</v>
      </c>
      <c r="B1147" s="329">
        <v>51332.989939999999</v>
      </c>
      <c r="C1147" s="157"/>
      <c r="D1147" s="330">
        <v>221004</v>
      </c>
      <c r="E1147" s="329">
        <v>51332.989939999999</v>
      </c>
      <c r="F1147" s="157"/>
      <c r="G1147" s="330">
        <v>221004</v>
      </c>
      <c r="H1147" s="329">
        <v>51332.989939999999</v>
      </c>
      <c r="I1147" s="157"/>
      <c r="J1147" s="330">
        <v>221004</v>
      </c>
      <c r="K1147" s="329">
        <v>51332.989939999999</v>
      </c>
      <c r="L1147" s="157"/>
      <c r="M1147" s="360">
        <f t="shared" si="119"/>
        <v>221004</v>
      </c>
      <c r="N1147" s="237">
        <f t="shared" si="120"/>
        <v>51332.989939999999</v>
      </c>
      <c r="O1147" s="361"/>
      <c r="P1147" s="361"/>
      <c r="Q1147" s="361" t="s">
        <v>698</v>
      </c>
      <c r="R1147" s="362">
        <f>IF(Q1147="ekrk",INDEX(indexy_SDcast!$A:$C,MATCH($M1147,indexy_SDcast!$A:$A,0),2),"")</f>
        <v>22</v>
      </c>
      <c r="S1147" s="236"/>
      <c r="T1147" s="364">
        <f t="shared" si="116"/>
        <v>221004</v>
      </c>
      <c r="U1147" s="365">
        <f t="shared" si="118"/>
        <v>51332.989939999999</v>
      </c>
      <c r="V1147" s="365">
        <f>IF($Q1147="ekrk",IF($R1147="data",IFERROR(INDEX(data!$A:$ALL,MATCH($M1147,data!$A:$A,0),MATCH(V$2,data!$1:$1,0)),"#data"),IFERROR(U1147*INDEX(indexy_SDcast!$A:$ALI,MATCH($R1147,indexy_SDcast!$K:$K,0),MATCH(V$2,indexy_SDcast!$2:$2,0)),"#ekrk")),"#popis")</f>
        <v>51332.989939999999</v>
      </c>
      <c r="W1147" s="365">
        <f>IF($Q1147="ekrk",IF($R1147="data",IFERROR(INDEX(data!$A:$ALL,MATCH($M1147,data!$A:$A,0),MATCH(W$2,data!$1:$1,0)),"#data"),IFERROR(V1147*INDEX(indexy_SDcast!$A:$ALI,MATCH($R1147,indexy_SDcast!$K:$K,0),MATCH(W$2,indexy_SDcast!$2:$2,0)),"#ekrk")),"#popis")</f>
        <v>51332.989939999999</v>
      </c>
      <c r="X1147" s="365">
        <f>IF($Q1147="ekrk",IF($R1147="data",IFERROR(INDEX(data!$A:$ALL,MATCH($M1147,data!$A:$A,0),MATCH(X$2,data!$1:$1,0)),"#data"),IFERROR(W1147*INDEX(indexy_SDcast!$A:$ALI,MATCH($R1147,indexy_SDcast!$K:$K,0),MATCH(X$2,indexy_SDcast!$2:$2,0)),"#ekrk")),"#popis")</f>
        <v>51332.989939999999</v>
      </c>
      <c r="Y1147" s="362">
        <f>IF($Q1147="ekrk",IF($R1147="data",IFERROR(INDEX(data!$A:$ALL,MATCH($M1147,data!$A:$A,0),MATCH(Y$2,data!$1:$1,0)),"#data"),IFERROR(X1147*INDEX(indexy_SDcast!$A:$ALI,MATCH($R1147,indexy_SDcast!$K:$K,0),MATCH(Y$2,indexy_SDcast!$2:$2,0)),"#ekrk")),"#popis")</f>
        <v>51332.989939999999</v>
      </c>
    </row>
    <row r="1148" spans="1:44" x14ac:dyDescent="0.25">
      <c r="A1148" s="330">
        <v>221005</v>
      </c>
      <c r="B1148" s="329">
        <v>919.57381999999996</v>
      </c>
      <c r="C1148" s="157"/>
      <c r="D1148" s="330">
        <v>221005</v>
      </c>
      <c r="E1148" s="329">
        <v>919.57381999999996</v>
      </c>
      <c r="F1148" s="157"/>
      <c r="G1148" s="330">
        <v>221005</v>
      </c>
      <c r="H1148" s="329">
        <v>919.57381999999996</v>
      </c>
      <c r="I1148" s="157"/>
      <c r="J1148" s="330">
        <v>221005</v>
      </c>
      <c r="K1148" s="329">
        <v>919.57381999999996</v>
      </c>
      <c r="L1148" s="157"/>
      <c r="M1148" s="360">
        <f t="shared" si="119"/>
        <v>221005</v>
      </c>
      <c r="N1148" s="237">
        <f t="shared" si="120"/>
        <v>919.57381999999996</v>
      </c>
      <c r="O1148" s="361"/>
      <c r="P1148" s="361"/>
      <c r="Q1148" s="361" t="s">
        <v>698</v>
      </c>
      <c r="R1148" s="362">
        <f>IF(Q1148="ekrk",INDEX(indexy_SDcast!$A:$C,MATCH($M1148,indexy_SDcast!$A:$A,0),2),"")</f>
        <v>22</v>
      </c>
      <c r="S1148" s="236"/>
      <c r="T1148" s="364">
        <f t="shared" si="116"/>
        <v>221005</v>
      </c>
      <c r="U1148" s="365">
        <f t="shared" si="118"/>
        <v>919.57381999999996</v>
      </c>
      <c r="V1148" s="365">
        <f>IF($Q1148="ekrk",IF($R1148="data",IFERROR(INDEX(data!$A:$ALL,MATCH($M1148,data!$A:$A,0),MATCH(V$2,data!$1:$1,0)),"#data"),IFERROR(U1148*INDEX(indexy_SDcast!$A:$ALI,MATCH($R1148,indexy_SDcast!$K:$K,0),MATCH(V$2,indexy_SDcast!$2:$2,0)),"#ekrk")),"#popis")</f>
        <v>919.57381999999996</v>
      </c>
      <c r="W1148" s="365">
        <f>IF($Q1148="ekrk",IF($R1148="data",IFERROR(INDEX(data!$A:$ALL,MATCH($M1148,data!$A:$A,0),MATCH(W$2,data!$1:$1,0)),"#data"),IFERROR(V1148*INDEX(indexy_SDcast!$A:$ALI,MATCH($R1148,indexy_SDcast!$K:$K,0),MATCH(W$2,indexy_SDcast!$2:$2,0)),"#ekrk")),"#popis")</f>
        <v>919.57381999999996</v>
      </c>
      <c r="X1148" s="365">
        <f>IF($Q1148="ekrk",IF($R1148="data",IFERROR(INDEX(data!$A:$ALL,MATCH($M1148,data!$A:$A,0),MATCH(X$2,data!$1:$1,0)),"#data"),IFERROR(W1148*INDEX(indexy_SDcast!$A:$ALI,MATCH($R1148,indexy_SDcast!$K:$K,0),MATCH(X$2,indexy_SDcast!$2:$2,0)),"#ekrk")),"#popis")</f>
        <v>919.57381999999996</v>
      </c>
      <c r="Y1148" s="362">
        <f>IF($Q1148="ekrk",IF($R1148="data",IFERROR(INDEX(data!$A:$ALL,MATCH($M1148,data!$A:$A,0),MATCH(Y$2,data!$1:$1,0)),"#data"),IFERROR(X1148*INDEX(indexy_SDcast!$A:$ALI,MATCH($R1148,indexy_SDcast!$K:$K,0),MATCH(Y$2,indexy_SDcast!$2:$2,0)),"#ekrk")),"#popis")</f>
        <v>919.57381999999996</v>
      </c>
    </row>
    <row r="1149" spans="1:44" s="18" customFormat="1" x14ac:dyDescent="0.25">
      <c r="A1149" s="333" t="s">
        <v>721</v>
      </c>
      <c r="B1149" s="334">
        <v>5419691.6361099994</v>
      </c>
      <c r="C1149" s="164"/>
      <c r="D1149" s="333" t="s">
        <v>721</v>
      </c>
      <c r="E1149" s="334">
        <v>5419691.6361099994</v>
      </c>
      <c r="F1149" s="164"/>
      <c r="G1149" s="333" t="s">
        <v>721</v>
      </c>
      <c r="H1149" s="334">
        <v>5419691.6361099994</v>
      </c>
      <c r="I1149" s="164"/>
      <c r="J1149" s="333" t="s">
        <v>721</v>
      </c>
      <c r="K1149" s="334">
        <v>5419691.6361099994</v>
      </c>
      <c r="L1149" s="164"/>
      <c r="M1149" s="358" t="str">
        <f t="shared" si="119"/>
        <v>D61111REC</v>
      </c>
      <c r="N1149" s="239">
        <f t="shared" si="120"/>
        <v>5419691.6361099994</v>
      </c>
      <c r="O1149" s="243"/>
      <c r="P1149" s="243">
        <f>MATCH(Q1149,Q1150:Q$1550,0)</f>
        <v>19</v>
      </c>
      <c r="Q1149" s="243" t="s">
        <v>697</v>
      </c>
      <c r="R1149" s="359" t="str">
        <f>IF(Q1149="ekrk",INDEX(indexy_SDcast!$A:$C,MATCH($M1149,indexy_SDcast!$A:$A,0),2),"")</f>
        <v/>
      </c>
      <c r="S1149" s="240"/>
      <c r="T1149" s="363" t="str">
        <f t="shared" si="116"/>
        <v>D61111REC</v>
      </c>
      <c r="U1149" s="244">
        <f>SUM(U1150:U1167)</f>
        <v>5419691.6361099994</v>
      </c>
      <c r="V1149" s="244">
        <f>SUM(V1150:V1167)</f>
        <v>292091.49861407874</v>
      </c>
      <c r="W1149" s="244">
        <f>SUM(W1150:W1167)</f>
        <v>298874.06258865498</v>
      </c>
      <c r="X1149" s="244">
        <f>SUM(X1150:X1167)</f>
        <v>307230.79070436943</v>
      </c>
      <c r="Y1149" s="359">
        <f>SUM(Y1150:Y1167)</f>
        <v>317101.30485660792</v>
      </c>
      <c r="Z1149" s="58"/>
      <c r="AA1149" s="58"/>
      <c r="AB1149" s="58"/>
      <c r="AC1149" s="58"/>
      <c r="AD1149" s="58"/>
      <c r="AE1149" s="58"/>
      <c r="AF1149" s="58"/>
      <c r="AG1149" s="58"/>
      <c r="AH1149" s="58"/>
      <c r="AI1149" s="58"/>
      <c r="AJ1149" s="58"/>
      <c r="AK1149" s="58"/>
      <c r="AL1149" s="58"/>
      <c r="AM1149" s="58"/>
      <c r="AN1149" s="58"/>
      <c r="AO1149" s="58"/>
      <c r="AP1149" s="58"/>
      <c r="AQ1149" s="58"/>
      <c r="AR1149" s="58"/>
    </row>
    <row r="1150" spans="1:44" x14ac:dyDescent="0.25">
      <c r="A1150" s="330">
        <v>151004</v>
      </c>
      <c r="B1150" s="329">
        <v>217350.05998999998</v>
      </c>
      <c r="C1150" s="157"/>
      <c r="D1150" s="330">
        <v>151004</v>
      </c>
      <c r="E1150" s="329">
        <v>217350.05998999998</v>
      </c>
      <c r="F1150" s="157"/>
      <c r="G1150" s="330">
        <v>151004</v>
      </c>
      <c r="H1150" s="329">
        <v>217350.05998999998</v>
      </c>
      <c r="I1150" s="157"/>
      <c r="J1150" s="330">
        <v>151004</v>
      </c>
      <c r="K1150" s="329">
        <v>217350.05998999998</v>
      </c>
      <c r="L1150" s="157"/>
      <c r="M1150" s="360">
        <f t="shared" si="119"/>
        <v>151004</v>
      </c>
      <c r="N1150" s="237">
        <f t="shared" si="120"/>
        <v>217350.05998999998</v>
      </c>
      <c r="O1150" s="361"/>
      <c r="P1150" s="361"/>
      <c r="Q1150" s="361" t="s">
        <v>698</v>
      </c>
      <c r="R1150" s="362">
        <f>IF(Q1150="ekrk",INDEX(indexy_SDcast!$A:$C,MATCH($M1150,indexy_SDcast!$A:$A,0),2),"")</f>
        <v>2</v>
      </c>
      <c r="S1150" s="236"/>
      <c r="T1150" s="364">
        <f t="shared" si="116"/>
        <v>151004</v>
      </c>
      <c r="U1150" s="365">
        <f t="shared" ref="U1150:U1166" si="121">N1150</f>
        <v>217350.05998999998</v>
      </c>
      <c r="V1150" s="365">
        <f>IF($Q1150="ekrk",IF($R1150="data",IFERROR(INDEX(data!$A:$ALL,MATCH($M1150,data!$A:$A,0),MATCH(V$2,data!$1:$1,0)),"#data"),IFERROR(U1150*INDEX(indexy_SDcast!$A:$ALI,MATCH($R1150,indexy_SDcast!$K:$K,0),MATCH(V$2,indexy_SDcast!$2:$2,0)),"#ekrk")),"#popis")</f>
        <v>0</v>
      </c>
      <c r="W1150" s="365">
        <f>IF($Q1150="ekrk",IF($R1150="data",IFERROR(INDEX(data!$A:$ALL,MATCH($M1150,data!$A:$A,0),MATCH(W$2,data!$1:$1,0)),"#data"),IFERROR(V1150*INDEX(indexy_SDcast!$A:$ALI,MATCH($R1150,indexy_SDcast!$K:$K,0),MATCH(W$2,indexy_SDcast!$2:$2,0)),"#ekrk")),"#popis")</f>
        <v>0</v>
      </c>
      <c r="X1150" s="365">
        <f>IF($Q1150="ekrk",IF($R1150="data",IFERROR(INDEX(data!$A:$ALL,MATCH($M1150,data!$A:$A,0),MATCH(X$2,data!$1:$1,0)),"#data"),IFERROR(W1150*INDEX(indexy_SDcast!$A:$ALI,MATCH($R1150,indexy_SDcast!$K:$K,0),MATCH(X$2,indexy_SDcast!$2:$2,0)),"#ekrk")),"#popis")</f>
        <v>0</v>
      </c>
      <c r="Y1150" s="362">
        <f>IF($Q1150="ekrk",IF($R1150="data",IFERROR(INDEX(data!$A:$ALL,MATCH($M1150,data!$A:$A,0),MATCH(Y$2,data!$1:$1,0)),"#data"),IFERROR(X1150*INDEX(indexy_SDcast!$A:$ALI,MATCH($R1150,indexy_SDcast!$K:$K,0),MATCH(Y$2,indexy_SDcast!$2:$2,0)),"#ekrk")),"#popis")</f>
        <v>0</v>
      </c>
    </row>
    <row r="1151" spans="1:44" x14ac:dyDescent="0.25">
      <c r="A1151" s="330">
        <v>151007</v>
      </c>
      <c r="B1151" s="329">
        <v>8122.9603300000008</v>
      </c>
      <c r="C1151" s="157"/>
      <c r="D1151" s="330">
        <v>151007</v>
      </c>
      <c r="E1151" s="329">
        <v>8122.9603300000008</v>
      </c>
      <c r="F1151" s="157"/>
      <c r="G1151" s="330">
        <v>151007</v>
      </c>
      <c r="H1151" s="329">
        <v>8122.9603300000008</v>
      </c>
      <c r="I1151" s="157"/>
      <c r="J1151" s="330">
        <v>151007</v>
      </c>
      <c r="K1151" s="329">
        <v>8122.9603300000008</v>
      </c>
      <c r="L1151" s="157"/>
      <c r="M1151" s="360">
        <f t="shared" si="119"/>
        <v>151007</v>
      </c>
      <c r="N1151" s="237">
        <f t="shared" si="120"/>
        <v>8122.9603300000008</v>
      </c>
      <c r="O1151" s="361"/>
      <c r="P1151" s="361"/>
      <c r="Q1151" s="361" t="s">
        <v>698</v>
      </c>
      <c r="R1151" s="362" t="str">
        <f>IF(Q1151="ekrk",INDEX(indexy_SDcast!$A:$C,MATCH($M1151,indexy_SDcast!$A:$A,0),2),"")</f>
        <v>data</v>
      </c>
      <c r="S1151" s="236"/>
      <c r="T1151" s="364">
        <f t="shared" si="116"/>
        <v>151007</v>
      </c>
      <c r="U1151" s="365">
        <f t="shared" si="121"/>
        <v>8122.9603300000008</v>
      </c>
      <c r="V1151" s="365">
        <f>IF($Q1151="ekrk",IF($R1151="data",IFERROR(INDEX(data!$A:$ALL,MATCH($M1151,data!$A:$A,0),MATCH(V$2,data!$1:$1,0)),"#data"),IFERROR(U1151*INDEX(indexy_SDcast!$A:$ALI,MATCH($R1151,indexy_SDcast!$K:$K,0),MATCH(V$2,indexy_SDcast!$2:$2,0)),"#ekrk")),"#popis")</f>
        <v>232365</v>
      </c>
      <c r="W1151" s="365">
        <f>IF($Q1151="ekrk",IF($R1151="data",IFERROR(INDEX(data!$A:$ALL,MATCH($M1151,data!$A:$A,0),MATCH(W$2,data!$1:$1,0)),"#data"),IFERROR(V1151*INDEX(indexy_SDcast!$A:$ALI,MATCH($R1151,indexy_SDcast!$K:$K,0),MATCH(W$2,indexy_SDcast!$2:$2,0)),"#ekrk")),"#popis")</f>
        <v>236833</v>
      </c>
      <c r="X1151" s="365">
        <f>IF($Q1151="ekrk",IF($R1151="data",IFERROR(INDEX(data!$A:$ALL,MATCH($M1151,data!$A:$A,0),MATCH(X$2,data!$1:$1,0)),"#data"),IFERROR(W1151*INDEX(indexy_SDcast!$A:$ALI,MATCH($R1151,indexy_SDcast!$K:$K,0),MATCH(X$2,indexy_SDcast!$2:$2,0)),"#ekrk")),"#popis")</f>
        <v>242272</v>
      </c>
      <c r="Y1151" s="362">
        <f>IF($Q1151="ekrk",IF($R1151="data",IFERROR(INDEX(data!$A:$ALL,MATCH($M1151,data!$A:$A,0),MATCH(Y$2,data!$1:$1,0)),"#data"),IFERROR(X1151*INDEX(indexy_SDcast!$A:$ALI,MATCH($R1151,indexy_SDcast!$K:$K,0),MATCH(Y$2,indexy_SDcast!$2:$2,0)),"#ekrk")),"#popis")</f>
        <v>248664</v>
      </c>
    </row>
    <row r="1152" spans="1:44" x14ac:dyDescent="0.25">
      <c r="A1152" s="330">
        <v>152004</v>
      </c>
      <c r="B1152" s="329">
        <v>1890755.8279900001</v>
      </c>
      <c r="C1152" s="157"/>
      <c r="D1152" s="330">
        <v>152004</v>
      </c>
      <c r="E1152" s="329">
        <v>1890755.8279900001</v>
      </c>
      <c r="F1152" s="157"/>
      <c r="G1152" s="330">
        <v>152004</v>
      </c>
      <c r="H1152" s="329">
        <v>1890755.8279900001</v>
      </c>
      <c r="I1152" s="157"/>
      <c r="J1152" s="330">
        <v>152004</v>
      </c>
      <c r="K1152" s="329">
        <v>1890755.8279900001</v>
      </c>
      <c r="L1152" s="157"/>
      <c r="M1152" s="360">
        <f t="shared" si="119"/>
        <v>152004</v>
      </c>
      <c r="N1152" s="237">
        <f t="shared" si="120"/>
        <v>1890755.8279900001</v>
      </c>
      <c r="O1152" s="361"/>
      <c r="P1152" s="361"/>
      <c r="Q1152" s="361" t="s">
        <v>698</v>
      </c>
      <c r="R1152" s="362">
        <f>IF(Q1152="ekrk",INDEX(indexy_SDcast!$A:$C,MATCH($M1152,indexy_SDcast!$A:$A,0),2),"")</f>
        <v>2</v>
      </c>
      <c r="S1152" s="236"/>
      <c r="T1152" s="364">
        <f t="shared" si="116"/>
        <v>152004</v>
      </c>
      <c r="U1152" s="365">
        <f t="shared" si="121"/>
        <v>1890755.8279900001</v>
      </c>
      <c r="V1152" s="365">
        <f>IF($Q1152="ekrk",IF($R1152="data",IFERROR(INDEX(data!$A:$ALL,MATCH($M1152,data!$A:$A,0),MATCH(V$2,data!$1:$1,0)),"#data"),IFERROR(U1152*INDEX(indexy_SDcast!$A:$ALI,MATCH($R1152,indexy_SDcast!$K:$K,0),MATCH(V$2,indexy_SDcast!$2:$2,0)),"#ekrk")),"#popis")</f>
        <v>0</v>
      </c>
      <c r="W1152" s="365">
        <f>IF($Q1152="ekrk",IF($R1152="data",IFERROR(INDEX(data!$A:$ALL,MATCH($M1152,data!$A:$A,0),MATCH(W$2,data!$1:$1,0)),"#data"),IFERROR(V1152*INDEX(indexy_SDcast!$A:$ALI,MATCH($R1152,indexy_SDcast!$K:$K,0),MATCH(W$2,indexy_SDcast!$2:$2,0)),"#ekrk")),"#popis")</f>
        <v>0</v>
      </c>
      <c r="X1152" s="365">
        <f>IF($Q1152="ekrk",IF($R1152="data",IFERROR(INDEX(data!$A:$ALL,MATCH($M1152,data!$A:$A,0),MATCH(X$2,data!$1:$1,0)),"#data"),IFERROR(W1152*INDEX(indexy_SDcast!$A:$ALI,MATCH($R1152,indexy_SDcast!$K:$K,0),MATCH(X$2,indexy_SDcast!$2:$2,0)),"#ekrk")),"#popis")</f>
        <v>0</v>
      </c>
      <c r="Y1152" s="362">
        <f>IF($Q1152="ekrk",IF($R1152="data",IFERROR(INDEX(data!$A:$ALL,MATCH($M1152,data!$A:$A,0),MATCH(Y$2,data!$1:$1,0)),"#data"),IFERROR(X1152*INDEX(indexy_SDcast!$A:$ALI,MATCH($R1152,indexy_SDcast!$K:$K,0),MATCH(Y$2,indexy_SDcast!$2:$2,0)),"#ekrk")),"#popis")</f>
        <v>0</v>
      </c>
    </row>
    <row r="1153" spans="1:44" x14ac:dyDescent="0.25">
      <c r="A1153" s="330">
        <v>152008</v>
      </c>
      <c r="B1153" s="329">
        <v>2825.4674400000076</v>
      </c>
      <c r="C1153" s="157"/>
      <c r="D1153" s="330">
        <v>152008</v>
      </c>
      <c r="E1153" s="329">
        <v>2825.4674400000076</v>
      </c>
      <c r="F1153" s="157"/>
      <c r="G1153" s="330">
        <v>152008</v>
      </c>
      <c r="H1153" s="329">
        <v>2825.4674400000076</v>
      </c>
      <c r="I1153" s="157"/>
      <c r="J1153" s="330">
        <v>152008</v>
      </c>
      <c r="K1153" s="329">
        <v>2825.4674400000076</v>
      </c>
      <c r="L1153" s="157"/>
      <c r="M1153" s="360">
        <f t="shared" si="119"/>
        <v>152008</v>
      </c>
      <c r="N1153" s="237">
        <f t="shared" si="120"/>
        <v>2825.4674400000076</v>
      </c>
      <c r="O1153" s="361"/>
      <c r="P1153" s="361"/>
      <c r="Q1153" s="361" t="s">
        <v>698</v>
      </c>
      <c r="R1153" s="362">
        <f>IF(Q1153="ekrk",INDEX(indexy_SDcast!$A:$C,MATCH($M1153,indexy_SDcast!$A:$A,0),2),"")</f>
        <v>2</v>
      </c>
      <c r="S1153" s="236"/>
      <c r="T1153" s="364">
        <f t="shared" si="116"/>
        <v>152008</v>
      </c>
      <c r="U1153" s="365">
        <f t="shared" si="121"/>
        <v>2825.4674400000076</v>
      </c>
      <c r="V1153" s="365">
        <f>IF($Q1153="ekrk",IF($R1153="data",IFERROR(INDEX(data!$A:$ALL,MATCH($M1153,data!$A:$A,0),MATCH(V$2,data!$1:$1,0)),"#data"),IFERROR(U1153*INDEX(indexy_SDcast!$A:$ALI,MATCH($R1153,indexy_SDcast!$K:$K,0),MATCH(V$2,indexy_SDcast!$2:$2,0)),"#ekrk")),"#popis")</f>
        <v>0</v>
      </c>
      <c r="W1153" s="365">
        <f>IF($Q1153="ekrk",IF($R1153="data",IFERROR(INDEX(data!$A:$ALL,MATCH($M1153,data!$A:$A,0),MATCH(W$2,data!$1:$1,0)),"#data"),IFERROR(V1153*INDEX(indexy_SDcast!$A:$ALI,MATCH($R1153,indexy_SDcast!$K:$K,0),MATCH(W$2,indexy_SDcast!$2:$2,0)),"#ekrk")),"#popis")</f>
        <v>0</v>
      </c>
      <c r="X1153" s="365">
        <f>IF($Q1153="ekrk",IF($R1153="data",IFERROR(INDEX(data!$A:$ALL,MATCH($M1153,data!$A:$A,0),MATCH(X$2,data!$1:$1,0)),"#data"),IFERROR(W1153*INDEX(indexy_SDcast!$A:$ALI,MATCH($R1153,indexy_SDcast!$K:$K,0),MATCH(X$2,indexy_SDcast!$2:$2,0)),"#ekrk")),"#popis")</f>
        <v>0</v>
      </c>
      <c r="Y1153" s="362">
        <f>IF($Q1153="ekrk",IF($R1153="data",IFERROR(INDEX(data!$A:$ALL,MATCH($M1153,data!$A:$A,0),MATCH(Y$2,data!$1:$1,0)),"#data"),IFERROR(X1153*INDEX(indexy_SDcast!$A:$ALI,MATCH($R1153,indexy_SDcast!$K:$K,0),MATCH(Y$2,indexy_SDcast!$2:$2,0)),"#ekrk")),"#popis")</f>
        <v>0</v>
      </c>
    </row>
    <row r="1154" spans="1:44" x14ac:dyDescent="0.25">
      <c r="A1154" s="330">
        <v>153001</v>
      </c>
      <c r="B1154" s="329">
        <v>134131.17538999999</v>
      </c>
      <c r="C1154" s="157"/>
      <c r="D1154" s="330">
        <v>153001</v>
      </c>
      <c r="E1154" s="329">
        <v>134131.17538999999</v>
      </c>
      <c r="F1154" s="157"/>
      <c r="G1154" s="330">
        <v>153001</v>
      </c>
      <c r="H1154" s="329">
        <v>134131.17538999999</v>
      </c>
      <c r="I1154" s="157"/>
      <c r="J1154" s="330">
        <v>153001</v>
      </c>
      <c r="K1154" s="329">
        <v>134131.17538999999</v>
      </c>
      <c r="L1154" s="157"/>
      <c r="M1154" s="360">
        <f t="shared" si="119"/>
        <v>153001</v>
      </c>
      <c r="N1154" s="237">
        <f t="shared" si="120"/>
        <v>134131.17538999999</v>
      </c>
      <c r="O1154" s="361"/>
      <c r="P1154" s="361"/>
      <c r="Q1154" s="361" t="s">
        <v>698</v>
      </c>
      <c r="R1154" s="362">
        <f>IF(Q1154="ekrk",INDEX(indexy_SDcast!$A:$C,MATCH($M1154,indexy_SDcast!$A:$A,0),2),"")</f>
        <v>2</v>
      </c>
      <c r="S1154" s="236"/>
      <c r="T1154" s="364">
        <f t="shared" si="116"/>
        <v>153001</v>
      </c>
      <c r="U1154" s="365">
        <f t="shared" si="121"/>
        <v>134131.17538999999</v>
      </c>
      <c r="V1154" s="365">
        <f>IF($Q1154="ekrk",IF($R1154="data",IFERROR(INDEX(data!$A:$ALL,MATCH($M1154,data!$A:$A,0),MATCH(V$2,data!$1:$1,0)),"#data"),IFERROR(U1154*INDEX(indexy_SDcast!$A:$ALI,MATCH($R1154,indexy_SDcast!$K:$K,0),MATCH(V$2,indexy_SDcast!$2:$2,0)),"#ekrk")),"#popis")</f>
        <v>0</v>
      </c>
      <c r="W1154" s="365">
        <f>IF($Q1154="ekrk",IF($R1154="data",IFERROR(INDEX(data!$A:$ALL,MATCH($M1154,data!$A:$A,0),MATCH(W$2,data!$1:$1,0)),"#data"),IFERROR(V1154*INDEX(indexy_SDcast!$A:$ALI,MATCH($R1154,indexy_SDcast!$K:$K,0),MATCH(W$2,indexy_SDcast!$2:$2,0)),"#ekrk")),"#popis")</f>
        <v>0</v>
      </c>
      <c r="X1154" s="365">
        <f>IF($Q1154="ekrk",IF($R1154="data",IFERROR(INDEX(data!$A:$ALL,MATCH($M1154,data!$A:$A,0),MATCH(X$2,data!$1:$1,0)),"#data"),IFERROR(W1154*INDEX(indexy_SDcast!$A:$ALI,MATCH($R1154,indexy_SDcast!$K:$K,0),MATCH(X$2,indexy_SDcast!$2:$2,0)),"#ekrk")),"#popis")</f>
        <v>0</v>
      </c>
      <c r="Y1154" s="362">
        <f>IF($Q1154="ekrk",IF($R1154="data",IFERROR(INDEX(data!$A:$ALL,MATCH($M1154,data!$A:$A,0),MATCH(Y$2,data!$1:$1,0)),"#data"),IFERROR(X1154*INDEX(indexy_SDcast!$A:$ALI,MATCH($R1154,indexy_SDcast!$K:$K,0),MATCH(Y$2,indexy_SDcast!$2:$2,0)),"#ekrk")),"#popis")</f>
        <v>0</v>
      </c>
    </row>
    <row r="1155" spans="1:44" x14ac:dyDescent="0.25">
      <c r="A1155" s="330">
        <v>153002</v>
      </c>
      <c r="B1155" s="329">
        <v>4429.7635</v>
      </c>
      <c r="C1155" s="157"/>
      <c r="D1155" s="330">
        <v>153002</v>
      </c>
      <c r="E1155" s="329">
        <v>4429.7635</v>
      </c>
      <c r="F1155" s="157"/>
      <c r="G1155" s="330">
        <v>153002</v>
      </c>
      <c r="H1155" s="329">
        <v>4429.7635</v>
      </c>
      <c r="I1155" s="157"/>
      <c r="J1155" s="330">
        <v>153002</v>
      </c>
      <c r="K1155" s="329">
        <v>4429.7635</v>
      </c>
      <c r="L1155" s="157"/>
      <c r="M1155" s="360">
        <f t="shared" si="119"/>
        <v>153002</v>
      </c>
      <c r="N1155" s="237">
        <f t="shared" si="120"/>
        <v>4429.7635</v>
      </c>
      <c r="O1155" s="361"/>
      <c r="P1155" s="361"/>
      <c r="Q1155" s="361" t="s">
        <v>698</v>
      </c>
      <c r="R1155" s="362">
        <f>IF(Q1155="ekrk",INDEX(indexy_SDcast!$A:$C,MATCH($M1155,indexy_SDcast!$A:$A,0),2),"")</f>
        <v>2</v>
      </c>
      <c r="S1155" s="236"/>
      <c r="T1155" s="364">
        <f t="shared" si="116"/>
        <v>153002</v>
      </c>
      <c r="U1155" s="365">
        <f t="shared" si="121"/>
        <v>4429.7635</v>
      </c>
      <c r="V1155" s="365">
        <f>IF($Q1155="ekrk",IF($R1155="data",IFERROR(INDEX(data!$A:$ALL,MATCH($M1155,data!$A:$A,0),MATCH(V$2,data!$1:$1,0)),"#data"),IFERROR(U1155*INDEX(indexy_SDcast!$A:$ALI,MATCH($R1155,indexy_SDcast!$K:$K,0),MATCH(V$2,indexy_SDcast!$2:$2,0)),"#ekrk")),"#popis")</f>
        <v>0</v>
      </c>
      <c r="W1155" s="365">
        <f>IF($Q1155="ekrk",IF($R1155="data",IFERROR(INDEX(data!$A:$ALL,MATCH($M1155,data!$A:$A,0),MATCH(W$2,data!$1:$1,0)),"#data"),IFERROR(V1155*INDEX(indexy_SDcast!$A:$ALI,MATCH($R1155,indexy_SDcast!$K:$K,0),MATCH(W$2,indexy_SDcast!$2:$2,0)),"#ekrk")),"#popis")</f>
        <v>0</v>
      </c>
      <c r="X1155" s="365">
        <f>IF($Q1155="ekrk",IF($R1155="data",IFERROR(INDEX(data!$A:$ALL,MATCH($M1155,data!$A:$A,0),MATCH(X$2,data!$1:$1,0)),"#data"),IFERROR(W1155*INDEX(indexy_SDcast!$A:$ALI,MATCH($R1155,indexy_SDcast!$K:$K,0),MATCH(X$2,indexy_SDcast!$2:$2,0)),"#ekrk")),"#popis")</f>
        <v>0</v>
      </c>
      <c r="Y1155" s="362">
        <f>IF($Q1155="ekrk",IF($R1155="data",IFERROR(INDEX(data!$A:$ALL,MATCH($M1155,data!$A:$A,0),MATCH(Y$2,data!$1:$1,0)),"#data"),IFERROR(X1155*INDEX(indexy_SDcast!$A:$ALI,MATCH($R1155,indexy_SDcast!$K:$K,0),MATCH(Y$2,indexy_SDcast!$2:$2,0)),"#ekrk")),"#popis")</f>
        <v>0</v>
      </c>
    </row>
    <row r="1156" spans="1:44" x14ac:dyDescent="0.25">
      <c r="A1156" s="330">
        <v>154000</v>
      </c>
      <c r="B1156" s="329">
        <v>590462.32689999999</v>
      </c>
      <c r="C1156" s="157"/>
      <c r="D1156" s="330">
        <v>154000</v>
      </c>
      <c r="E1156" s="329">
        <v>590462.32689999999</v>
      </c>
      <c r="F1156" s="157"/>
      <c r="G1156" s="330">
        <v>154000</v>
      </c>
      <c r="H1156" s="356">
        <f>E1156+E1167</f>
        <v>620169.32689999999</v>
      </c>
      <c r="I1156" s="157"/>
      <c r="J1156" s="330">
        <v>154000</v>
      </c>
      <c r="K1156" s="329">
        <f>H1156+H1167</f>
        <v>620169.32689999999</v>
      </c>
      <c r="L1156" s="157"/>
      <c r="M1156" s="360">
        <f t="shared" si="119"/>
        <v>154000</v>
      </c>
      <c r="N1156" s="237">
        <f t="shared" si="120"/>
        <v>620169.32689999999</v>
      </c>
      <c r="O1156" s="361"/>
      <c r="P1156" s="361"/>
      <c r="Q1156" s="361" t="s">
        <v>698</v>
      </c>
      <c r="R1156" s="362">
        <f>IF(Q1156="ekrk",INDEX(indexy_SDcast!$A:$C,MATCH($M1156,indexy_SDcast!$A:$A,0),2),"")</f>
        <v>2</v>
      </c>
      <c r="S1156" s="236"/>
      <c r="T1156" s="364">
        <f t="shared" si="116"/>
        <v>154000</v>
      </c>
      <c r="U1156" s="365">
        <f t="shared" si="121"/>
        <v>620169.32689999999</v>
      </c>
      <c r="V1156" s="365">
        <f>IF($Q1156="ekrk",IF($R1156="data",IFERROR(INDEX(data!$A:$ALL,MATCH($M1156,data!$A:$A,0),MATCH(V$2,data!$1:$1,0)),"#data"),IFERROR(U1156*INDEX(indexy_SDcast!$A:$ALI,MATCH($R1156,indexy_SDcast!$K:$K,0),MATCH(V$2,indexy_SDcast!$2:$2,0)),"#ekrk")),"#popis")</f>
        <v>0</v>
      </c>
      <c r="W1156" s="365">
        <f>IF($Q1156="ekrk",IF($R1156="data",IFERROR(INDEX(data!$A:$ALL,MATCH($M1156,data!$A:$A,0),MATCH(W$2,data!$1:$1,0)),"#data"),IFERROR(V1156*INDEX(indexy_SDcast!$A:$ALI,MATCH($R1156,indexy_SDcast!$K:$K,0),MATCH(W$2,indexy_SDcast!$2:$2,0)),"#ekrk")),"#popis")</f>
        <v>0</v>
      </c>
      <c r="X1156" s="365">
        <f>IF($Q1156="ekrk",IF($R1156="data",IFERROR(INDEX(data!$A:$ALL,MATCH($M1156,data!$A:$A,0),MATCH(X$2,data!$1:$1,0)),"#data"),IFERROR(W1156*INDEX(indexy_SDcast!$A:$ALI,MATCH($R1156,indexy_SDcast!$K:$K,0),MATCH(X$2,indexy_SDcast!$2:$2,0)),"#ekrk")),"#popis")</f>
        <v>0</v>
      </c>
      <c r="Y1156" s="362">
        <f>IF($Q1156="ekrk",IF($R1156="data",IFERROR(INDEX(data!$A:$ALL,MATCH($M1156,data!$A:$A,0),MATCH(Y$2,data!$1:$1,0)),"#data"),IFERROR(X1156*INDEX(indexy_SDcast!$A:$ALI,MATCH($R1156,indexy_SDcast!$K:$K,0),MATCH(Y$2,indexy_SDcast!$2:$2,0)),"#ekrk")),"#popis")</f>
        <v>0</v>
      </c>
    </row>
    <row r="1157" spans="1:44" x14ac:dyDescent="0.25">
      <c r="A1157" s="330">
        <v>154004</v>
      </c>
      <c r="B1157" s="329">
        <v>1089629.3343699998</v>
      </c>
      <c r="C1157" s="157"/>
      <c r="D1157" s="330">
        <v>154004</v>
      </c>
      <c r="E1157" s="329">
        <v>1089629.3343699998</v>
      </c>
      <c r="F1157" s="157"/>
      <c r="G1157" s="330">
        <v>154004</v>
      </c>
      <c r="H1157" s="329">
        <v>1089629.3343699998</v>
      </c>
      <c r="I1157" s="157"/>
      <c r="J1157" s="330">
        <v>154004</v>
      </c>
      <c r="K1157" s="329">
        <v>1089629.3343699998</v>
      </c>
      <c r="L1157" s="157"/>
      <c r="M1157" s="360">
        <f t="shared" si="119"/>
        <v>154004</v>
      </c>
      <c r="N1157" s="237">
        <f t="shared" si="120"/>
        <v>1089629.3343699998</v>
      </c>
      <c r="O1157" s="361"/>
      <c r="P1157" s="361"/>
      <c r="Q1157" s="361" t="s">
        <v>698</v>
      </c>
      <c r="R1157" s="362">
        <f>IF(Q1157="ekrk",INDEX(indexy_SDcast!$A:$C,MATCH($M1157,indexy_SDcast!$A:$A,0),2),"")</f>
        <v>2</v>
      </c>
      <c r="S1157" s="236"/>
      <c r="T1157" s="364">
        <f t="shared" si="116"/>
        <v>154004</v>
      </c>
      <c r="U1157" s="365">
        <f t="shared" si="121"/>
        <v>1089629.3343699998</v>
      </c>
      <c r="V1157" s="365">
        <f>IF($Q1157="ekrk",IF($R1157="data",IFERROR(INDEX(data!$A:$ALL,MATCH($M1157,data!$A:$A,0),MATCH(V$2,data!$1:$1,0)),"#data"),IFERROR(U1157*INDEX(indexy_SDcast!$A:$ALI,MATCH($R1157,indexy_SDcast!$K:$K,0),MATCH(V$2,indexy_SDcast!$2:$2,0)),"#ekrk")),"#popis")</f>
        <v>0</v>
      </c>
      <c r="W1157" s="365">
        <f>IF($Q1157="ekrk",IF($R1157="data",IFERROR(INDEX(data!$A:$ALL,MATCH($M1157,data!$A:$A,0),MATCH(W$2,data!$1:$1,0)),"#data"),IFERROR(V1157*INDEX(indexy_SDcast!$A:$ALI,MATCH($R1157,indexy_SDcast!$K:$K,0),MATCH(W$2,indexy_SDcast!$2:$2,0)),"#ekrk")),"#popis")</f>
        <v>0</v>
      </c>
      <c r="X1157" s="365">
        <f>IF($Q1157="ekrk",IF($R1157="data",IFERROR(INDEX(data!$A:$ALL,MATCH($M1157,data!$A:$A,0),MATCH(X$2,data!$1:$1,0)),"#data"),IFERROR(W1157*INDEX(indexy_SDcast!$A:$ALI,MATCH($R1157,indexy_SDcast!$K:$K,0),MATCH(X$2,indexy_SDcast!$2:$2,0)),"#ekrk")),"#popis")</f>
        <v>0</v>
      </c>
      <c r="Y1157" s="362">
        <f>IF($Q1157="ekrk",IF($R1157="data",IFERROR(INDEX(data!$A:$ALL,MATCH($M1157,data!$A:$A,0),MATCH(Y$2,data!$1:$1,0)),"#data"),IFERROR(X1157*INDEX(indexy_SDcast!$A:$ALI,MATCH($R1157,indexy_SDcast!$K:$K,0),MATCH(Y$2,indexy_SDcast!$2:$2,0)),"#ekrk")),"#popis")</f>
        <v>0</v>
      </c>
    </row>
    <row r="1158" spans="1:44" x14ac:dyDescent="0.25">
      <c r="A1158" s="330">
        <v>154011</v>
      </c>
      <c r="B1158" s="329">
        <v>24773.756319999997</v>
      </c>
      <c r="C1158" s="157"/>
      <c r="D1158" s="330">
        <v>154011</v>
      </c>
      <c r="E1158" s="329">
        <v>24773.756319999997</v>
      </c>
      <c r="F1158" s="157"/>
      <c r="G1158" s="330">
        <v>154011</v>
      </c>
      <c r="H1158" s="329">
        <v>24773.756319999997</v>
      </c>
      <c r="I1158" s="157"/>
      <c r="J1158" s="330">
        <v>154011</v>
      </c>
      <c r="K1158" s="329">
        <v>24773.756319999997</v>
      </c>
      <c r="L1158" s="157"/>
      <c r="M1158" s="360">
        <f t="shared" si="119"/>
        <v>154011</v>
      </c>
      <c r="N1158" s="237">
        <f t="shared" si="120"/>
        <v>24773.756319999997</v>
      </c>
      <c r="O1158" s="361"/>
      <c r="P1158" s="361"/>
      <c r="Q1158" s="361" t="s">
        <v>698</v>
      </c>
      <c r="R1158" s="362" t="str">
        <f>IF(Q1158="ekrk",INDEX(indexy_SDcast!$A:$C,MATCH($M1158,indexy_SDcast!$A:$A,0),2),"")</f>
        <v>data</v>
      </c>
      <c r="S1158" s="236"/>
      <c r="T1158" s="364">
        <f t="shared" si="116"/>
        <v>154011</v>
      </c>
      <c r="U1158" s="365">
        <f t="shared" si="121"/>
        <v>24773.756319999997</v>
      </c>
      <c r="V1158" s="365">
        <f>IF($Q1158="ekrk",IF($R1158="data",IFERROR(INDEX(data!$A:$ALL,MATCH($M1158,data!$A:$A,0),MATCH(V$2,data!$1:$1,0)),"#data"),IFERROR(U1158*INDEX(indexy_SDcast!$A:$ALI,MATCH($R1158,indexy_SDcast!$K:$K,0),MATCH(V$2,indexy_SDcast!$2:$2,0)),"#ekrk")),"#popis")</f>
        <v>59726.498614078708</v>
      </c>
      <c r="W1158" s="365">
        <f>IF($Q1158="ekrk",IF($R1158="data",IFERROR(INDEX(data!$A:$ALL,MATCH($M1158,data!$A:$A,0),MATCH(W$2,data!$1:$1,0)),"#data"),IFERROR(V1158*INDEX(indexy_SDcast!$A:$ALI,MATCH($R1158,indexy_SDcast!$K:$K,0),MATCH(W$2,indexy_SDcast!$2:$2,0)),"#ekrk")),"#popis")</f>
        <v>62041.062588654982</v>
      </c>
      <c r="X1158" s="365">
        <f>IF($Q1158="ekrk",IF($R1158="data",IFERROR(INDEX(data!$A:$ALL,MATCH($M1158,data!$A:$A,0),MATCH(X$2,data!$1:$1,0)),"#data"),IFERROR(W1158*INDEX(indexy_SDcast!$A:$ALI,MATCH($R1158,indexy_SDcast!$K:$K,0),MATCH(X$2,indexy_SDcast!$2:$2,0)),"#ekrk")),"#popis")</f>
        <v>64958.790704369414</v>
      </c>
      <c r="Y1158" s="362">
        <f>IF($Q1158="ekrk",IF($R1158="data",IFERROR(INDEX(data!$A:$ALL,MATCH($M1158,data!$A:$A,0),MATCH(Y$2,data!$1:$1,0)),"#data"),IFERROR(X1158*INDEX(indexy_SDcast!$A:$ALI,MATCH($R1158,indexy_SDcast!$K:$K,0),MATCH(Y$2,indexy_SDcast!$2:$2,0)),"#ekrk")),"#popis")</f>
        <v>68437.304856607894</v>
      </c>
    </row>
    <row r="1159" spans="1:44" x14ac:dyDescent="0.25">
      <c r="A1159" s="330">
        <v>155003</v>
      </c>
      <c r="B1159" s="329">
        <v>148079.71507999999</v>
      </c>
      <c r="C1159" s="157"/>
      <c r="D1159" s="330">
        <v>155003</v>
      </c>
      <c r="E1159" s="329">
        <v>148079.71507999999</v>
      </c>
      <c r="F1159" s="157"/>
      <c r="G1159" s="330">
        <v>155003</v>
      </c>
      <c r="H1159" s="329">
        <v>148079.71507999999</v>
      </c>
      <c r="I1159" s="157"/>
      <c r="J1159" s="330">
        <v>155003</v>
      </c>
      <c r="K1159" s="329">
        <v>148079.71507999999</v>
      </c>
      <c r="L1159" s="157"/>
      <c r="M1159" s="360">
        <f t="shared" si="119"/>
        <v>155003</v>
      </c>
      <c r="N1159" s="237">
        <f t="shared" si="120"/>
        <v>148079.71507999999</v>
      </c>
      <c r="O1159" s="361"/>
      <c r="P1159" s="361"/>
      <c r="Q1159" s="361" t="s">
        <v>698</v>
      </c>
      <c r="R1159" s="362">
        <f>IF(Q1159="ekrk",INDEX(indexy_SDcast!$A:$C,MATCH($M1159,indexy_SDcast!$A:$A,0),2),"")</f>
        <v>2</v>
      </c>
      <c r="S1159" s="236"/>
      <c r="T1159" s="364">
        <f t="shared" si="116"/>
        <v>155003</v>
      </c>
      <c r="U1159" s="365">
        <f t="shared" si="121"/>
        <v>148079.71507999999</v>
      </c>
      <c r="V1159" s="365">
        <f>IF($Q1159="ekrk",IF($R1159="data",IFERROR(INDEX(data!$A:$ALL,MATCH($M1159,data!$A:$A,0),MATCH(V$2,data!$1:$1,0)),"#data"),IFERROR(U1159*INDEX(indexy_SDcast!$A:$ALI,MATCH($R1159,indexy_SDcast!$K:$K,0),MATCH(V$2,indexy_SDcast!$2:$2,0)),"#ekrk")),"#popis")</f>
        <v>0</v>
      </c>
      <c r="W1159" s="365">
        <f>IF($Q1159="ekrk",IF($R1159="data",IFERROR(INDEX(data!$A:$ALL,MATCH($M1159,data!$A:$A,0),MATCH(W$2,data!$1:$1,0)),"#data"),IFERROR(V1159*INDEX(indexy_SDcast!$A:$ALI,MATCH($R1159,indexy_SDcast!$K:$K,0),MATCH(W$2,indexy_SDcast!$2:$2,0)),"#ekrk")),"#popis")</f>
        <v>0</v>
      </c>
      <c r="X1159" s="365">
        <f>IF($Q1159="ekrk",IF($R1159="data",IFERROR(INDEX(data!$A:$ALL,MATCH($M1159,data!$A:$A,0),MATCH(X$2,data!$1:$1,0)),"#data"),IFERROR(W1159*INDEX(indexy_SDcast!$A:$ALI,MATCH($R1159,indexy_SDcast!$K:$K,0),MATCH(X$2,indexy_SDcast!$2:$2,0)),"#ekrk")),"#popis")</f>
        <v>0</v>
      </c>
      <c r="Y1159" s="362">
        <f>IF($Q1159="ekrk",IF($R1159="data",IFERROR(INDEX(data!$A:$ALL,MATCH($M1159,data!$A:$A,0),MATCH(Y$2,data!$1:$1,0)),"#data"),IFERROR(X1159*INDEX(indexy_SDcast!$A:$ALI,MATCH($R1159,indexy_SDcast!$K:$K,0),MATCH(Y$2,indexy_SDcast!$2:$2,0)),"#ekrk")),"#popis")</f>
        <v>0</v>
      </c>
    </row>
    <row r="1160" spans="1:44" x14ac:dyDescent="0.25">
      <c r="A1160" s="330">
        <v>155005</v>
      </c>
      <c r="B1160" s="329">
        <v>4764.0193199999994</v>
      </c>
      <c r="C1160" s="157"/>
      <c r="D1160" s="330">
        <v>155005</v>
      </c>
      <c r="E1160" s="329">
        <v>4764.0193199999994</v>
      </c>
      <c r="F1160" s="157"/>
      <c r="G1160" s="330">
        <v>155005</v>
      </c>
      <c r="H1160" s="329">
        <v>4764.0193199999994</v>
      </c>
      <c r="I1160" s="157"/>
      <c r="J1160" s="330">
        <v>155005</v>
      </c>
      <c r="K1160" s="329">
        <v>4764.0193199999994</v>
      </c>
      <c r="L1160" s="157"/>
      <c r="M1160" s="360">
        <f t="shared" si="119"/>
        <v>155005</v>
      </c>
      <c r="N1160" s="237">
        <f t="shared" si="120"/>
        <v>4764.0193199999994</v>
      </c>
      <c r="O1160" s="361"/>
      <c r="P1160" s="361"/>
      <c r="Q1160" s="361" t="s">
        <v>698</v>
      </c>
      <c r="R1160" s="362">
        <f>IF(Q1160="ekrk",INDEX(indexy_SDcast!$A:$C,MATCH($M1160,indexy_SDcast!$A:$A,0),2),"")</f>
        <v>2</v>
      </c>
      <c r="S1160" s="236"/>
      <c r="T1160" s="364">
        <f t="shared" si="116"/>
        <v>155005</v>
      </c>
      <c r="U1160" s="365">
        <f t="shared" si="121"/>
        <v>4764.0193199999994</v>
      </c>
      <c r="V1160" s="365">
        <f>IF($Q1160="ekrk",IF($R1160="data",IFERROR(INDEX(data!$A:$ALL,MATCH($M1160,data!$A:$A,0),MATCH(V$2,data!$1:$1,0)),"#data"),IFERROR(U1160*INDEX(indexy_SDcast!$A:$ALI,MATCH($R1160,indexy_SDcast!$K:$K,0),MATCH(V$2,indexy_SDcast!$2:$2,0)),"#ekrk")),"#popis")</f>
        <v>0</v>
      </c>
      <c r="W1160" s="365">
        <f>IF($Q1160="ekrk",IF($R1160="data",IFERROR(INDEX(data!$A:$ALL,MATCH($M1160,data!$A:$A,0),MATCH(W$2,data!$1:$1,0)),"#data"),IFERROR(V1160*INDEX(indexy_SDcast!$A:$ALI,MATCH($R1160,indexy_SDcast!$K:$K,0),MATCH(W$2,indexy_SDcast!$2:$2,0)),"#ekrk")),"#popis")</f>
        <v>0</v>
      </c>
      <c r="X1160" s="365">
        <f>IF($Q1160="ekrk",IF($R1160="data",IFERROR(INDEX(data!$A:$ALL,MATCH($M1160,data!$A:$A,0),MATCH(X$2,data!$1:$1,0)),"#data"),IFERROR(W1160*INDEX(indexy_SDcast!$A:$ALI,MATCH($R1160,indexy_SDcast!$K:$K,0),MATCH(X$2,indexy_SDcast!$2:$2,0)),"#ekrk")),"#popis")</f>
        <v>0</v>
      </c>
      <c r="Y1160" s="362">
        <f>IF($Q1160="ekrk",IF($R1160="data",IFERROR(INDEX(data!$A:$ALL,MATCH($M1160,data!$A:$A,0),MATCH(Y$2,data!$1:$1,0)),"#data"),IFERROR(X1160*INDEX(indexy_SDcast!$A:$ALI,MATCH($R1160,indexy_SDcast!$K:$K,0),MATCH(Y$2,indexy_SDcast!$2:$2,0)),"#ekrk")),"#popis")</f>
        <v>0</v>
      </c>
    </row>
    <row r="1161" spans="1:44" x14ac:dyDescent="0.25">
      <c r="A1161" s="330">
        <v>156001</v>
      </c>
      <c r="B1161" s="329">
        <v>31581.458269999999</v>
      </c>
      <c r="C1161" s="157"/>
      <c r="D1161" s="330">
        <v>156001</v>
      </c>
      <c r="E1161" s="329">
        <v>31581.458269999999</v>
      </c>
      <c r="F1161" s="157"/>
      <c r="G1161" s="330">
        <v>156001</v>
      </c>
      <c r="H1161" s="329">
        <v>31581.458269999999</v>
      </c>
      <c r="I1161" s="157"/>
      <c r="J1161" s="330">
        <v>156001</v>
      </c>
      <c r="K1161" s="329">
        <v>31581.458269999999</v>
      </c>
      <c r="L1161" s="157"/>
      <c r="M1161" s="360">
        <f t="shared" si="119"/>
        <v>156001</v>
      </c>
      <c r="N1161" s="237">
        <f t="shared" si="120"/>
        <v>31581.458269999999</v>
      </c>
      <c r="O1161" s="361"/>
      <c r="P1161" s="361"/>
      <c r="Q1161" s="361" t="s">
        <v>698</v>
      </c>
      <c r="R1161" s="362">
        <f>IF(Q1161="ekrk",INDEX(indexy_SDcast!$A:$C,MATCH($M1161,indexy_SDcast!$A:$A,0),2),"")</f>
        <v>2</v>
      </c>
      <c r="S1161" s="236"/>
      <c r="T1161" s="364">
        <f t="shared" si="116"/>
        <v>156001</v>
      </c>
      <c r="U1161" s="365">
        <f t="shared" si="121"/>
        <v>31581.458269999999</v>
      </c>
      <c r="V1161" s="365">
        <f>IF($Q1161="ekrk",IF($R1161="data",IFERROR(INDEX(data!$A:$ALL,MATCH($M1161,data!$A:$A,0),MATCH(V$2,data!$1:$1,0)),"#data"),IFERROR(U1161*INDEX(indexy_SDcast!$A:$ALI,MATCH($R1161,indexy_SDcast!$K:$K,0),MATCH(V$2,indexy_SDcast!$2:$2,0)),"#ekrk")),"#popis")</f>
        <v>0</v>
      </c>
      <c r="W1161" s="365">
        <f>IF($Q1161="ekrk",IF($R1161="data",IFERROR(INDEX(data!$A:$ALL,MATCH($M1161,data!$A:$A,0),MATCH(W$2,data!$1:$1,0)),"#data"),IFERROR(V1161*INDEX(indexy_SDcast!$A:$ALI,MATCH($R1161,indexy_SDcast!$K:$K,0),MATCH(W$2,indexy_SDcast!$2:$2,0)),"#ekrk")),"#popis")</f>
        <v>0</v>
      </c>
      <c r="X1161" s="365">
        <f>IF($Q1161="ekrk",IF($R1161="data",IFERROR(INDEX(data!$A:$ALL,MATCH($M1161,data!$A:$A,0),MATCH(X$2,data!$1:$1,0)),"#data"),IFERROR(W1161*INDEX(indexy_SDcast!$A:$ALI,MATCH($R1161,indexy_SDcast!$K:$K,0),MATCH(X$2,indexy_SDcast!$2:$2,0)),"#ekrk")),"#popis")</f>
        <v>0</v>
      </c>
      <c r="Y1161" s="362">
        <f>IF($Q1161="ekrk",IF($R1161="data",IFERROR(INDEX(data!$A:$ALL,MATCH($M1161,data!$A:$A,0),MATCH(Y$2,data!$1:$1,0)),"#data"),IFERROR(X1161*INDEX(indexy_SDcast!$A:$ALI,MATCH($R1161,indexy_SDcast!$K:$K,0),MATCH(Y$2,indexy_SDcast!$2:$2,0)),"#ekrk")),"#popis")</f>
        <v>0</v>
      </c>
    </row>
    <row r="1162" spans="1:44" x14ac:dyDescent="0.25">
      <c r="A1162" s="330">
        <v>156003</v>
      </c>
      <c r="B1162" s="329">
        <v>1175.5514000000001</v>
      </c>
      <c r="C1162" s="157"/>
      <c r="D1162" s="330">
        <v>156003</v>
      </c>
      <c r="E1162" s="329">
        <v>1175.5514000000001</v>
      </c>
      <c r="F1162" s="157"/>
      <c r="G1162" s="330">
        <v>156003</v>
      </c>
      <c r="H1162" s="329">
        <v>1175.5514000000001</v>
      </c>
      <c r="I1162" s="157"/>
      <c r="J1162" s="330">
        <v>156003</v>
      </c>
      <c r="K1162" s="329">
        <v>1175.5514000000001</v>
      </c>
      <c r="L1162" s="157"/>
      <c r="M1162" s="360">
        <f t="shared" si="119"/>
        <v>156003</v>
      </c>
      <c r="N1162" s="237">
        <f t="shared" si="120"/>
        <v>1175.5514000000001</v>
      </c>
      <c r="O1162" s="361"/>
      <c r="P1162" s="361"/>
      <c r="Q1162" s="361" t="s">
        <v>698</v>
      </c>
      <c r="R1162" s="362">
        <f>IF(Q1162="ekrk",INDEX(indexy_SDcast!$A:$C,MATCH($M1162,indexy_SDcast!$A:$A,0),2),"")</f>
        <v>2</v>
      </c>
      <c r="S1162" s="236"/>
      <c r="T1162" s="364">
        <f t="shared" si="116"/>
        <v>156003</v>
      </c>
      <c r="U1162" s="365">
        <f t="shared" si="121"/>
        <v>1175.5514000000001</v>
      </c>
      <c r="V1162" s="365">
        <f>IF($Q1162="ekrk",IF($R1162="data",IFERROR(INDEX(data!$A:$ALL,MATCH($M1162,data!$A:$A,0),MATCH(V$2,data!$1:$1,0)),"#data"),IFERROR(U1162*INDEX(indexy_SDcast!$A:$ALI,MATCH($R1162,indexy_SDcast!$K:$K,0),MATCH(V$2,indexy_SDcast!$2:$2,0)),"#ekrk")),"#popis")</f>
        <v>0</v>
      </c>
      <c r="W1162" s="365">
        <f>IF($Q1162="ekrk",IF($R1162="data",IFERROR(INDEX(data!$A:$ALL,MATCH($M1162,data!$A:$A,0),MATCH(W$2,data!$1:$1,0)),"#data"),IFERROR(V1162*INDEX(indexy_SDcast!$A:$ALI,MATCH($R1162,indexy_SDcast!$K:$K,0),MATCH(W$2,indexy_SDcast!$2:$2,0)),"#ekrk")),"#popis")</f>
        <v>0</v>
      </c>
      <c r="X1162" s="365">
        <f>IF($Q1162="ekrk",IF($R1162="data",IFERROR(INDEX(data!$A:$ALL,MATCH($M1162,data!$A:$A,0),MATCH(X$2,data!$1:$1,0)),"#data"),IFERROR(W1162*INDEX(indexy_SDcast!$A:$ALI,MATCH($R1162,indexy_SDcast!$K:$K,0),MATCH(X$2,indexy_SDcast!$2:$2,0)),"#ekrk")),"#popis")</f>
        <v>0</v>
      </c>
      <c r="Y1162" s="362">
        <f>IF($Q1162="ekrk",IF($R1162="data",IFERROR(INDEX(data!$A:$ALL,MATCH($M1162,data!$A:$A,0),MATCH(Y$2,data!$1:$1,0)),"#data"),IFERROR(X1162*INDEX(indexy_SDcast!$A:$ALI,MATCH($R1162,indexy_SDcast!$K:$K,0),MATCH(Y$2,indexy_SDcast!$2:$2,0)),"#ekrk")),"#popis")</f>
        <v>0</v>
      </c>
    </row>
    <row r="1163" spans="1:44" x14ac:dyDescent="0.25">
      <c r="A1163" s="330">
        <v>157001</v>
      </c>
      <c r="B1163" s="329">
        <v>736091.63715999993</v>
      </c>
      <c r="C1163" s="157"/>
      <c r="D1163" s="330">
        <v>157001</v>
      </c>
      <c r="E1163" s="329">
        <v>736091.63715999993</v>
      </c>
      <c r="F1163" s="157"/>
      <c r="G1163" s="330">
        <v>157001</v>
      </c>
      <c r="H1163" s="329">
        <v>736091.63715999993</v>
      </c>
      <c r="I1163" s="157"/>
      <c r="J1163" s="330">
        <v>157001</v>
      </c>
      <c r="K1163" s="329">
        <v>736091.63715999993</v>
      </c>
      <c r="L1163" s="157"/>
      <c r="M1163" s="360">
        <f t="shared" si="119"/>
        <v>157001</v>
      </c>
      <c r="N1163" s="237">
        <f t="shared" si="120"/>
        <v>736091.63715999993</v>
      </c>
      <c r="O1163" s="361"/>
      <c r="P1163" s="361"/>
      <c r="Q1163" s="361" t="s">
        <v>698</v>
      </c>
      <c r="R1163" s="362">
        <f>IF(Q1163="ekrk",INDEX(indexy_SDcast!$A:$C,MATCH($M1163,indexy_SDcast!$A:$A,0),2),"")</f>
        <v>2</v>
      </c>
      <c r="S1163" s="236"/>
      <c r="T1163" s="364">
        <f t="shared" si="116"/>
        <v>157001</v>
      </c>
      <c r="U1163" s="365">
        <f t="shared" si="121"/>
        <v>736091.63715999993</v>
      </c>
      <c r="V1163" s="365">
        <f>IF($Q1163="ekrk",IF($R1163="data",IFERROR(INDEX(data!$A:$ALL,MATCH($M1163,data!$A:$A,0),MATCH(V$2,data!$1:$1,0)),"#data"),IFERROR(U1163*INDEX(indexy_SDcast!$A:$ALI,MATCH($R1163,indexy_SDcast!$K:$K,0),MATCH(V$2,indexy_SDcast!$2:$2,0)),"#ekrk")),"#popis")</f>
        <v>0</v>
      </c>
      <c r="W1163" s="365">
        <f>IF($Q1163="ekrk",IF($R1163="data",IFERROR(INDEX(data!$A:$ALL,MATCH($M1163,data!$A:$A,0),MATCH(W$2,data!$1:$1,0)),"#data"),IFERROR(V1163*INDEX(indexy_SDcast!$A:$ALI,MATCH($R1163,indexy_SDcast!$K:$K,0),MATCH(W$2,indexy_SDcast!$2:$2,0)),"#ekrk")),"#popis")</f>
        <v>0</v>
      </c>
      <c r="X1163" s="365">
        <f>IF($Q1163="ekrk",IF($R1163="data",IFERROR(INDEX(data!$A:$ALL,MATCH($M1163,data!$A:$A,0),MATCH(X$2,data!$1:$1,0)),"#data"),IFERROR(W1163*INDEX(indexy_SDcast!$A:$ALI,MATCH($R1163,indexy_SDcast!$K:$K,0),MATCH(X$2,indexy_SDcast!$2:$2,0)),"#ekrk")),"#popis")</f>
        <v>0</v>
      </c>
      <c r="Y1163" s="362">
        <f>IF($Q1163="ekrk",IF($R1163="data",IFERROR(INDEX(data!$A:$ALL,MATCH($M1163,data!$A:$A,0),MATCH(Y$2,data!$1:$1,0)),"#data"),IFERROR(X1163*INDEX(indexy_SDcast!$A:$ALI,MATCH($R1163,indexy_SDcast!$K:$K,0),MATCH(Y$2,indexy_SDcast!$2:$2,0)),"#ekrk")),"#popis")</f>
        <v>0</v>
      </c>
    </row>
    <row r="1164" spans="1:44" x14ac:dyDescent="0.25">
      <c r="A1164" s="330">
        <v>157004</v>
      </c>
      <c r="B1164" s="329">
        <v>27254.734539999998</v>
      </c>
      <c r="C1164" s="157"/>
      <c r="D1164" s="330">
        <v>157004</v>
      </c>
      <c r="E1164" s="329">
        <v>27254.734539999998</v>
      </c>
      <c r="F1164" s="157"/>
      <c r="G1164" s="330">
        <v>157004</v>
      </c>
      <c r="H1164" s="329">
        <v>27254.734539999998</v>
      </c>
      <c r="I1164" s="157"/>
      <c r="J1164" s="330">
        <v>157004</v>
      </c>
      <c r="K1164" s="329">
        <v>27254.734539999998</v>
      </c>
      <c r="L1164" s="157"/>
      <c r="M1164" s="360">
        <f t="shared" si="119"/>
        <v>157004</v>
      </c>
      <c r="N1164" s="237">
        <f t="shared" si="120"/>
        <v>27254.734539999998</v>
      </c>
      <c r="O1164" s="361"/>
      <c r="P1164" s="361"/>
      <c r="Q1164" s="361" t="s">
        <v>698</v>
      </c>
      <c r="R1164" s="362">
        <f>IF(Q1164="ekrk",INDEX(indexy_SDcast!$A:$C,MATCH($M1164,indexy_SDcast!$A:$A,0),2),"")</f>
        <v>2</v>
      </c>
      <c r="S1164" s="236"/>
      <c r="T1164" s="364">
        <f t="shared" si="116"/>
        <v>157004</v>
      </c>
      <c r="U1164" s="365">
        <f t="shared" si="121"/>
        <v>27254.734539999998</v>
      </c>
      <c r="V1164" s="365">
        <f>IF($Q1164="ekrk",IF($R1164="data",IFERROR(INDEX(data!$A:$ALL,MATCH($M1164,data!$A:$A,0),MATCH(V$2,data!$1:$1,0)),"#data"),IFERROR(U1164*INDEX(indexy_SDcast!$A:$ALI,MATCH($R1164,indexy_SDcast!$K:$K,0),MATCH(V$2,indexy_SDcast!$2:$2,0)),"#ekrk")),"#popis")</f>
        <v>0</v>
      </c>
      <c r="W1164" s="365">
        <f>IF($Q1164="ekrk",IF($R1164="data",IFERROR(INDEX(data!$A:$ALL,MATCH($M1164,data!$A:$A,0),MATCH(W$2,data!$1:$1,0)),"#data"),IFERROR(V1164*INDEX(indexy_SDcast!$A:$ALI,MATCH($R1164,indexy_SDcast!$K:$K,0),MATCH(W$2,indexy_SDcast!$2:$2,0)),"#ekrk")),"#popis")</f>
        <v>0</v>
      </c>
      <c r="X1164" s="365">
        <f>IF($Q1164="ekrk",IF($R1164="data",IFERROR(INDEX(data!$A:$ALL,MATCH($M1164,data!$A:$A,0),MATCH(X$2,data!$1:$1,0)),"#data"),IFERROR(W1164*INDEX(indexy_SDcast!$A:$ALI,MATCH($R1164,indexy_SDcast!$K:$K,0),MATCH(X$2,indexy_SDcast!$2:$2,0)),"#ekrk")),"#popis")</f>
        <v>0</v>
      </c>
      <c r="Y1164" s="362">
        <f>IF($Q1164="ekrk",IF($R1164="data",IFERROR(INDEX(data!$A:$ALL,MATCH($M1164,data!$A:$A,0),MATCH(Y$2,data!$1:$1,0)),"#data"),IFERROR(X1164*INDEX(indexy_SDcast!$A:$ALI,MATCH($R1164,indexy_SDcast!$K:$K,0),MATCH(Y$2,indexy_SDcast!$2:$2,0)),"#ekrk")),"#popis")</f>
        <v>0</v>
      </c>
    </row>
    <row r="1165" spans="1:44" x14ac:dyDescent="0.25">
      <c r="A1165" s="330">
        <v>158002</v>
      </c>
      <c r="B1165" s="329">
        <v>462020.54311999999</v>
      </c>
      <c r="C1165" s="157"/>
      <c r="D1165" s="330">
        <v>158002</v>
      </c>
      <c r="E1165" s="329">
        <v>462020.54311999999</v>
      </c>
      <c r="F1165" s="157"/>
      <c r="G1165" s="330">
        <v>158002</v>
      </c>
      <c r="H1165" s="329">
        <v>462020.54311999999</v>
      </c>
      <c r="I1165" s="157"/>
      <c r="J1165" s="330">
        <v>158002</v>
      </c>
      <c r="K1165" s="329">
        <v>462020.54311999999</v>
      </c>
      <c r="L1165" s="157"/>
      <c r="M1165" s="360">
        <f t="shared" si="119"/>
        <v>158002</v>
      </c>
      <c r="N1165" s="237">
        <f t="shared" si="120"/>
        <v>462020.54311999999</v>
      </c>
      <c r="O1165" s="361"/>
      <c r="P1165" s="361"/>
      <c r="Q1165" s="361" t="s">
        <v>698</v>
      </c>
      <c r="R1165" s="362">
        <f>IF(Q1165="ekrk",INDEX(indexy_SDcast!$A:$C,MATCH($M1165,indexy_SDcast!$A:$A,0),2),"")</f>
        <v>2</v>
      </c>
      <c r="S1165" s="236"/>
      <c r="T1165" s="364">
        <f t="shared" si="116"/>
        <v>158002</v>
      </c>
      <c r="U1165" s="365">
        <f t="shared" si="121"/>
        <v>462020.54311999999</v>
      </c>
      <c r="V1165" s="365">
        <f>IF($Q1165="ekrk",IF($R1165="data",IFERROR(INDEX(data!$A:$ALL,MATCH($M1165,data!$A:$A,0),MATCH(V$2,data!$1:$1,0)),"#data"),IFERROR(U1165*INDEX(indexy_SDcast!$A:$ALI,MATCH($R1165,indexy_SDcast!$K:$K,0),MATCH(V$2,indexy_SDcast!$2:$2,0)),"#ekrk")),"#popis")</f>
        <v>0</v>
      </c>
      <c r="W1165" s="365">
        <f>IF($Q1165="ekrk",IF($R1165="data",IFERROR(INDEX(data!$A:$ALL,MATCH($M1165,data!$A:$A,0),MATCH(W$2,data!$1:$1,0)),"#data"),IFERROR(V1165*INDEX(indexy_SDcast!$A:$ALI,MATCH($R1165,indexy_SDcast!$K:$K,0),MATCH(W$2,indexy_SDcast!$2:$2,0)),"#ekrk")),"#popis")</f>
        <v>0</v>
      </c>
      <c r="X1165" s="365">
        <f>IF($Q1165="ekrk",IF($R1165="data",IFERROR(INDEX(data!$A:$ALL,MATCH($M1165,data!$A:$A,0),MATCH(X$2,data!$1:$1,0)),"#data"),IFERROR(W1165*INDEX(indexy_SDcast!$A:$ALI,MATCH($R1165,indexy_SDcast!$K:$K,0),MATCH(X$2,indexy_SDcast!$2:$2,0)),"#ekrk")),"#popis")</f>
        <v>0</v>
      </c>
      <c r="Y1165" s="362">
        <f>IF($Q1165="ekrk",IF($R1165="data",IFERROR(INDEX(data!$A:$ALL,MATCH($M1165,data!$A:$A,0),MATCH(Y$2,data!$1:$1,0)),"#data"),IFERROR(X1165*INDEX(indexy_SDcast!$A:$ALI,MATCH($R1165,indexy_SDcast!$K:$K,0),MATCH(Y$2,indexy_SDcast!$2:$2,0)),"#ekrk")),"#popis")</f>
        <v>0</v>
      </c>
    </row>
    <row r="1166" spans="1:44" x14ac:dyDescent="0.25">
      <c r="A1166" s="330">
        <v>158006</v>
      </c>
      <c r="B1166" s="329">
        <v>16536.304989999997</v>
      </c>
      <c r="C1166" s="157"/>
      <c r="D1166" s="330">
        <v>158006</v>
      </c>
      <c r="E1166" s="329">
        <v>16536.304989999997</v>
      </c>
      <c r="F1166" s="157"/>
      <c r="G1166" s="330">
        <v>158006</v>
      </c>
      <c r="H1166" s="329">
        <v>16536.304989999997</v>
      </c>
      <c r="I1166" s="157"/>
      <c r="J1166" s="330">
        <v>158006</v>
      </c>
      <c r="K1166" s="329">
        <v>16536.304989999997</v>
      </c>
      <c r="L1166" s="157"/>
      <c r="M1166" s="360">
        <f t="shared" si="119"/>
        <v>158006</v>
      </c>
      <c r="N1166" s="237">
        <f t="shared" si="120"/>
        <v>16536.304989999997</v>
      </c>
      <c r="O1166" s="361"/>
      <c r="P1166" s="361"/>
      <c r="Q1166" s="361" t="s">
        <v>698</v>
      </c>
      <c r="R1166" s="362">
        <f>IF(Q1166="ekrk",INDEX(indexy_SDcast!$A:$C,MATCH($M1166,indexy_SDcast!$A:$A,0),2),"")</f>
        <v>2</v>
      </c>
      <c r="S1166" s="236"/>
      <c r="T1166" s="364">
        <f t="shared" si="116"/>
        <v>158006</v>
      </c>
      <c r="U1166" s="365">
        <f t="shared" si="121"/>
        <v>16536.304989999997</v>
      </c>
      <c r="V1166" s="365">
        <f>IF($Q1166="ekrk",IF($R1166="data",IFERROR(INDEX(data!$A:$ALL,MATCH($M1166,data!$A:$A,0),MATCH(V$2,data!$1:$1,0)),"#data"),IFERROR(U1166*INDEX(indexy_SDcast!$A:$ALI,MATCH($R1166,indexy_SDcast!$K:$K,0),MATCH(V$2,indexy_SDcast!$2:$2,0)),"#ekrk")),"#popis")</f>
        <v>0</v>
      </c>
      <c r="W1166" s="365">
        <f>IF($Q1166="ekrk",IF($R1166="data",IFERROR(INDEX(data!$A:$ALL,MATCH($M1166,data!$A:$A,0),MATCH(W$2,data!$1:$1,0)),"#data"),IFERROR(V1166*INDEX(indexy_SDcast!$A:$ALI,MATCH($R1166,indexy_SDcast!$K:$K,0),MATCH(W$2,indexy_SDcast!$2:$2,0)),"#ekrk")),"#popis")</f>
        <v>0</v>
      </c>
      <c r="X1166" s="365">
        <f>IF($Q1166="ekrk",IF($R1166="data",IFERROR(INDEX(data!$A:$ALL,MATCH($M1166,data!$A:$A,0),MATCH(X$2,data!$1:$1,0)),"#data"),IFERROR(W1166*INDEX(indexy_SDcast!$A:$ALI,MATCH($R1166,indexy_SDcast!$K:$K,0),MATCH(X$2,indexy_SDcast!$2:$2,0)),"#ekrk")),"#popis")</f>
        <v>0</v>
      </c>
      <c r="Y1166" s="362">
        <f>IF($Q1166="ekrk",IF($R1166="data",IFERROR(INDEX(data!$A:$ALL,MATCH($M1166,data!$A:$A,0),MATCH(Y$2,data!$1:$1,0)),"#data"),IFERROR(X1166*INDEX(indexy_SDcast!$A:$ALI,MATCH($R1166,indexy_SDcast!$K:$K,0),MATCH(Y$2,indexy_SDcast!$2:$2,0)),"#ekrk")),"#popis")</f>
        <v>0</v>
      </c>
    </row>
    <row r="1167" spans="1:44" x14ac:dyDescent="0.25">
      <c r="A1167" s="330" t="s">
        <v>996</v>
      </c>
      <c r="B1167" s="329">
        <v>29707</v>
      </c>
      <c r="C1167" s="157"/>
      <c r="D1167" s="348">
        <v>154000</v>
      </c>
      <c r="E1167" s="329">
        <v>29707</v>
      </c>
      <c r="F1167" s="157"/>
      <c r="G1167" s="330"/>
      <c r="H1167" s="329"/>
      <c r="I1167" s="157"/>
      <c r="J1167" s="330"/>
      <c r="K1167" s="329"/>
      <c r="L1167" s="157"/>
      <c r="M1167" s="360">
        <f t="shared" si="119"/>
        <v>0</v>
      </c>
      <c r="N1167" s="237">
        <f t="shared" si="120"/>
        <v>0</v>
      </c>
      <c r="O1167" s="361"/>
      <c r="P1167" s="361"/>
      <c r="Q1167" s="361"/>
      <c r="R1167" s="362"/>
      <c r="S1167" s="236"/>
      <c r="T1167" s="364"/>
      <c r="U1167" s="365"/>
      <c r="V1167" s="365"/>
      <c r="W1167" s="365"/>
      <c r="X1167" s="365"/>
      <c r="Y1167" s="362"/>
    </row>
    <row r="1168" spans="1:44" s="18" customFormat="1" x14ac:dyDescent="0.25">
      <c r="A1168" s="333" t="s">
        <v>722</v>
      </c>
      <c r="B1168" s="334">
        <v>2295380.7969</v>
      </c>
      <c r="C1168" s="164"/>
      <c r="D1168" s="333" t="s">
        <v>722</v>
      </c>
      <c r="E1168" s="334">
        <v>2295380.7969</v>
      </c>
      <c r="F1168" s="164"/>
      <c r="G1168" s="333" t="s">
        <v>722</v>
      </c>
      <c r="H1168" s="334">
        <v>2295380.7969</v>
      </c>
      <c r="I1168" s="164"/>
      <c r="J1168" s="333" t="s">
        <v>722</v>
      </c>
      <c r="K1168" s="334">
        <v>2295380.7969</v>
      </c>
      <c r="L1168" s="164"/>
      <c r="M1168" s="358" t="str">
        <f t="shared" si="119"/>
        <v>D61121REC</v>
      </c>
      <c r="N1168" s="239">
        <f t="shared" si="120"/>
        <v>2295380.7969</v>
      </c>
      <c r="O1168" s="243"/>
      <c r="P1168" s="243">
        <f>MATCH(Q1168,Q1169:Q$1550,0)</f>
        <v>13</v>
      </c>
      <c r="Q1168" s="243" t="s">
        <v>697</v>
      </c>
      <c r="R1168" s="359" t="str">
        <f>IF(Q1168="ekrk",INDEX(indexy_SDcast!$A:$C,MATCH($M1168,indexy_SDcast!$A:$A,0),2),"")</f>
        <v/>
      </c>
      <c r="S1168" s="240"/>
      <c r="T1168" s="363" t="str">
        <f t="shared" ref="T1168:T1179" si="122">M1168</f>
        <v>D61121REC</v>
      </c>
      <c r="U1168" s="244">
        <f>SUM(U1169:U1180)</f>
        <v>2295380.7969</v>
      </c>
      <c r="V1168" s="244">
        <f>SUM(V1169:V1180)</f>
        <v>8061488.5013859216</v>
      </c>
      <c r="W1168" s="244">
        <f>SUM(W1169:W1180)</f>
        <v>8385848.9374113455</v>
      </c>
      <c r="X1168" s="244">
        <f>SUM(X1169:X1180)</f>
        <v>8771732.2092956305</v>
      </c>
      <c r="Y1168" s="359">
        <f>SUM(Y1169:Y1180)</f>
        <v>9234445.6951433923</v>
      </c>
      <c r="Z1168" s="58"/>
      <c r="AA1168" s="58"/>
      <c r="AB1168" s="58"/>
      <c r="AC1168" s="58"/>
      <c r="AD1168" s="58"/>
      <c r="AE1168" s="58"/>
      <c r="AF1168" s="58"/>
      <c r="AG1168" s="58"/>
      <c r="AH1168" s="58"/>
      <c r="AI1168" s="58"/>
      <c r="AJ1168" s="58"/>
      <c r="AK1168" s="58"/>
      <c r="AL1168" s="58"/>
      <c r="AM1168" s="58"/>
      <c r="AN1168" s="58"/>
      <c r="AO1168" s="58"/>
      <c r="AP1168" s="58"/>
      <c r="AQ1168" s="58"/>
      <c r="AR1168" s="58"/>
    </row>
    <row r="1169" spans="1:44" x14ac:dyDescent="0.25">
      <c r="A1169" s="330">
        <v>151001</v>
      </c>
      <c r="B1169" s="329">
        <v>217359.79148000001</v>
      </c>
      <c r="C1169" s="157"/>
      <c r="D1169" s="330">
        <v>151001</v>
      </c>
      <c r="E1169" s="329">
        <v>217359.79148000001</v>
      </c>
      <c r="F1169" s="157"/>
      <c r="G1169" s="330">
        <v>151001</v>
      </c>
      <c r="H1169" s="329">
        <v>217359.79148000001</v>
      </c>
      <c r="I1169" s="157"/>
      <c r="J1169" s="330">
        <v>151001</v>
      </c>
      <c r="K1169" s="329">
        <v>217359.79148000001</v>
      </c>
      <c r="L1169" s="157"/>
      <c r="M1169" s="360">
        <f t="shared" si="119"/>
        <v>151001</v>
      </c>
      <c r="N1169" s="237">
        <f t="shared" si="120"/>
        <v>217359.79148000001</v>
      </c>
      <c r="O1169" s="361"/>
      <c r="P1169" s="361"/>
      <c r="Q1169" s="361" t="s">
        <v>698</v>
      </c>
      <c r="R1169" s="362" t="str">
        <f>IF(Q1169="ekrk",INDEX(indexy_SDcast!$A:$C,MATCH($M1169,indexy_SDcast!$A:$A,0),2),"")</f>
        <v>data</v>
      </c>
      <c r="S1169" s="236"/>
      <c r="T1169" s="364">
        <f t="shared" si="122"/>
        <v>151001</v>
      </c>
      <c r="U1169" s="365">
        <f t="shared" ref="U1169:U1179" si="123">N1169</f>
        <v>217359.79148000001</v>
      </c>
      <c r="V1169" s="365">
        <f>IF($Q1169="ekrk",IF($R1169="data",IFERROR(INDEX(data!$A:$ALL,MATCH($M1169,data!$A:$A,0),MATCH(V$2,data!$1:$1,0)),"#data"),IFERROR(U1169*INDEX(indexy_SDcast!$A:$ALI,MATCH($R1169,indexy_SDcast!$K:$K,0),MATCH(V$2,indexy_SDcast!$2:$2,0)),"#ekrk")),"#popis")</f>
        <v>5398309</v>
      </c>
      <c r="W1169" s="365">
        <f>IF($Q1169="ekrk",IF($R1169="data",IFERROR(INDEX(data!$A:$ALL,MATCH($M1169,data!$A:$A,0),MATCH(W$2,data!$1:$1,0)),"#data"),IFERROR(V1169*INDEX(indexy_SDcast!$A:$ALI,MATCH($R1169,indexy_SDcast!$K:$K,0),MATCH(W$2,indexy_SDcast!$2:$2,0)),"#ekrk")),"#popis")</f>
        <v>5619464</v>
      </c>
      <c r="X1169" s="365">
        <f>IF($Q1169="ekrk",IF($R1169="data",IFERROR(INDEX(data!$A:$ALL,MATCH($M1169,data!$A:$A,0),MATCH(X$2,data!$1:$1,0)),"#data"),IFERROR(W1169*INDEX(indexy_SDcast!$A:$ALI,MATCH($R1169,indexy_SDcast!$K:$K,0),MATCH(X$2,indexy_SDcast!$2:$2,0)),"#ekrk")),"#popis")</f>
        <v>5875247</v>
      </c>
      <c r="Y1169" s="362">
        <f>IF($Q1169="ekrk",IF($R1169="data",IFERROR(INDEX(data!$A:$ALL,MATCH($M1169,data!$A:$A,0),MATCH(Y$2,data!$1:$1,0)),"#data"),IFERROR(X1169*INDEX(indexy_SDcast!$A:$ALI,MATCH($R1169,indexy_SDcast!$K:$K,0),MATCH(Y$2,indexy_SDcast!$2:$2,0)),"#ekrk")),"#popis")</f>
        <v>6182855</v>
      </c>
    </row>
    <row r="1170" spans="1:44" x14ac:dyDescent="0.25">
      <c r="A1170" s="330">
        <v>151007</v>
      </c>
      <c r="B1170" s="329">
        <v>8123.2319700000007</v>
      </c>
      <c r="C1170" s="157"/>
      <c r="D1170" s="330">
        <v>151007</v>
      </c>
      <c r="E1170" s="329">
        <v>8123.2319700000007</v>
      </c>
      <c r="F1170" s="157"/>
      <c r="G1170" s="330">
        <v>151007</v>
      </c>
      <c r="H1170" s="329">
        <v>8123.2319700000007</v>
      </c>
      <c r="I1170" s="157"/>
      <c r="J1170" s="330">
        <v>151007</v>
      </c>
      <c r="K1170" s="329">
        <v>8123.2319700000007</v>
      </c>
      <c r="L1170" s="157"/>
      <c r="M1170" s="360">
        <f t="shared" si="119"/>
        <v>151007</v>
      </c>
      <c r="N1170" s="237">
        <f t="shared" si="120"/>
        <v>8123.2319700000007</v>
      </c>
      <c r="O1170" s="361"/>
      <c r="P1170" s="361"/>
      <c r="Q1170" s="361" t="s">
        <v>698</v>
      </c>
      <c r="R1170" s="362">
        <v>2</v>
      </c>
      <c r="S1170" s="236"/>
      <c r="T1170" s="364">
        <f t="shared" si="122"/>
        <v>151007</v>
      </c>
      <c r="U1170" s="365">
        <f t="shared" si="123"/>
        <v>8123.2319700000007</v>
      </c>
      <c r="V1170" s="365">
        <f>IF($Q1170="ekrk",IF($R1170="data",IFERROR(INDEX(data!$A:$ALL,MATCH($M1170,data!$A:$A,0),MATCH(V$2,data!$1:$1,0)),"#data"),IFERROR(U1170*INDEX(indexy_SDcast!$A:$ALI,MATCH($R1170,indexy_SDcast!$K:$K,0),MATCH(V$2,indexy_SDcast!$2:$2,0)),"#ekrk")),"#popis")</f>
        <v>0</v>
      </c>
      <c r="W1170" s="365">
        <f>IF($Q1170="ekrk",IF($R1170="data",IFERROR(INDEX(data!$A:$ALL,MATCH($M1170,data!$A:$A,0),MATCH(W$2,data!$1:$1,0)),"#data"),IFERROR(V1170*INDEX(indexy_SDcast!$A:$ALI,MATCH($R1170,indexy_SDcast!$K:$K,0),MATCH(W$2,indexy_SDcast!$2:$2,0)),"#ekrk")),"#popis")</f>
        <v>0</v>
      </c>
      <c r="X1170" s="365">
        <f>IF($Q1170="ekrk",IF($R1170="data",IFERROR(INDEX(data!$A:$ALL,MATCH($M1170,data!$A:$A,0),MATCH(X$2,data!$1:$1,0)),"#data"),IFERROR(W1170*INDEX(indexy_SDcast!$A:$ALI,MATCH($R1170,indexy_SDcast!$K:$K,0),MATCH(X$2,indexy_SDcast!$2:$2,0)),"#ekrk")),"#popis")</f>
        <v>0</v>
      </c>
      <c r="Y1170" s="362">
        <f>IF($Q1170="ekrk",IF($R1170="data",IFERROR(INDEX(data!$A:$ALL,MATCH($M1170,data!$A:$A,0),MATCH(Y$2,data!$1:$1,0)),"#data"),IFERROR(X1170*INDEX(indexy_SDcast!$A:$ALI,MATCH($R1170,indexy_SDcast!$K:$K,0),MATCH(Y$2,indexy_SDcast!$2:$2,0)),"#ekrk")),"#popis")</f>
        <v>0</v>
      </c>
    </row>
    <row r="1171" spans="1:44" x14ac:dyDescent="0.25">
      <c r="A1171" s="330">
        <v>152001</v>
      </c>
      <c r="B1171" s="329">
        <v>649022.47990999988</v>
      </c>
      <c r="C1171" s="157"/>
      <c r="D1171" s="330">
        <v>152001</v>
      </c>
      <c r="E1171" s="329">
        <v>649022.47990999988</v>
      </c>
      <c r="F1171" s="157"/>
      <c r="G1171" s="330">
        <v>152001</v>
      </c>
      <c r="H1171" s="329">
        <v>649022.47990999988</v>
      </c>
      <c r="I1171" s="157"/>
      <c r="J1171" s="330">
        <v>152001</v>
      </c>
      <c r="K1171" s="329">
        <v>649022.47990999988</v>
      </c>
      <c r="L1171" s="157"/>
      <c r="M1171" s="360">
        <f t="shared" si="119"/>
        <v>152001</v>
      </c>
      <c r="N1171" s="237">
        <f t="shared" si="120"/>
        <v>649022.47990999988</v>
      </c>
      <c r="O1171" s="361"/>
      <c r="P1171" s="361"/>
      <c r="Q1171" s="361" t="s">
        <v>698</v>
      </c>
      <c r="R1171" s="362">
        <f>IF(Q1171="ekrk",INDEX(indexy_SDcast!$A:$C,MATCH($M1171,indexy_SDcast!$A:$A,0),2),"")</f>
        <v>2</v>
      </c>
      <c r="S1171" s="236"/>
      <c r="T1171" s="364">
        <f t="shared" si="122"/>
        <v>152001</v>
      </c>
      <c r="U1171" s="365">
        <f t="shared" si="123"/>
        <v>649022.47990999988</v>
      </c>
      <c r="V1171" s="365">
        <f>IF($Q1171="ekrk",IF($R1171="data",IFERROR(INDEX(data!$A:$ALL,MATCH($M1171,data!$A:$A,0),MATCH(V$2,data!$1:$1,0)),"#data"),IFERROR(U1171*INDEX(indexy_SDcast!$A:$ALI,MATCH($R1171,indexy_SDcast!$K:$K,0),MATCH(V$2,indexy_SDcast!$2:$2,0)),"#ekrk")),"#popis")</f>
        <v>0</v>
      </c>
      <c r="W1171" s="365">
        <f>IF($Q1171="ekrk",IF($R1171="data",IFERROR(INDEX(data!$A:$ALL,MATCH($M1171,data!$A:$A,0),MATCH(W$2,data!$1:$1,0)),"#data"),IFERROR(V1171*INDEX(indexy_SDcast!$A:$ALI,MATCH($R1171,indexy_SDcast!$K:$K,0),MATCH(W$2,indexy_SDcast!$2:$2,0)),"#ekrk")),"#popis")</f>
        <v>0</v>
      </c>
      <c r="X1171" s="365">
        <f>IF($Q1171="ekrk",IF($R1171="data",IFERROR(INDEX(data!$A:$ALL,MATCH($M1171,data!$A:$A,0),MATCH(X$2,data!$1:$1,0)),"#data"),IFERROR(W1171*INDEX(indexy_SDcast!$A:$ALI,MATCH($R1171,indexy_SDcast!$K:$K,0),MATCH(X$2,indexy_SDcast!$2:$2,0)),"#ekrk")),"#popis")</f>
        <v>0</v>
      </c>
      <c r="Y1171" s="362">
        <f>IF($Q1171="ekrk",IF($R1171="data",IFERROR(INDEX(data!$A:$ALL,MATCH($M1171,data!$A:$A,0),MATCH(Y$2,data!$1:$1,0)),"#data"),IFERROR(X1171*INDEX(indexy_SDcast!$A:$ALI,MATCH($R1171,indexy_SDcast!$K:$K,0),MATCH(Y$2,indexy_SDcast!$2:$2,0)),"#ekrk")),"#popis")</f>
        <v>0</v>
      </c>
    </row>
    <row r="1172" spans="1:44" x14ac:dyDescent="0.25">
      <c r="A1172" s="330">
        <v>152008</v>
      </c>
      <c r="B1172" s="329">
        <v>84248.797980000003</v>
      </c>
      <c r="C1172" s="157"/>
      <c r="D1172" s="330">
        <v>152008</v>
      </c>
      <c r="E1172" s="329">
        <v>84248.797980000003</v>
      </c>
      <c r="F1172" s="157"/>
      <c r="G1172" s="330">
        <v>152008</v>
      </c>
      <c r="H1172" s="329">
        <v>84248.797980000003</v>
      </c>
      <c r="I1172" s="157"/>
      <c r="J1172" s="330">
        <v>152008</v>
      </c>
      <c r="K1172" s="329">
        <v>84248.797980000003</v>
      </c>
      <c r="L1172" s="157"/>
      <c r="M1172" s="360">
        <f t="shared" si="119"/>
        <v>152008</v>
      </c>
      <c r="N1172" s="237">
        <f t="shared" si="120"/>
        <v>84248.797980000003</v>
      </c>
      <c r="O1172" s="361"/>
      <c r="P1172" s="361"/>
      <c r="Q1172" s="361" t="s">
        <v>698</v>
      </c>
      <c r="R1172" s="362">
        <f>IF(Q1172="ekrk",INDEX(indexy_SDcast!$A:$C,MATCH($M1172,indexy_SDcast!$A:$A,0),2),"")</f>
        <v>2</v>
      </c>
      <c r="S1172" s="236"/>
      <c r="T1172" s="364">
        <f t="shared" si="122"/>
        <v>152008</v>
      </c>
      <c r="U1172" s="365">
        <f t="shared" si="123"/>
        <v>84248.797980000003</v>
      </c>
      <c r="V1172" s="365">
        <f>IF($Q1172="ekrk",IF($R1172="data",IFERROR(INDEX(data!$A:$ALL,MATCH($M1172,data!$A:$A,0),MATCH(V$2,data!$1:$1,0)),"#data"),IFERROR(U1172*INDEX(indexy_SDcast!$A:$ALI,MATCH($R1172,indexy_SDcast!$K:$K,0),MATCH(V$2,indexy_SDcast!$2:$2,0)),"#ekrk")),"#popis")</f>
        <v>0</v>
      </c>
      <c r="W1172" s="365">
        <f>IF($Q1172="ekrk",IF($R1172="data",IFERROR(INDEX(data!$A:$ALL,MATCH($M1172,data!$A:$A,0),MATCH(W$2,data!$1:$1,0)),"#data"),IFERROR(V1172*INDEX(indexy_SDcast!$A:$ALI,MATCH($R1172,indexy_SDcast!$K:$K,0),MATCH(W$2,indexy_SDcast!$2:$2,0)),"#ekrk")),"#popis")</f>
        <v>0</v>
      </c>
      <c r="X1172" s="365">
        <f>IF($Q1172="ekrk",IF($R1172="data",IFERROR(INDEX(data!$A:$ALL,MATCH($M1172,data!$A:$A,0),MATCH(X$2,data!$1:$1,0)),"#data"),IFERROR(W1172*INDEX(indexy_SDcast!$A:$ALI,MATCH($R1172,indexy_SDcast!$K:$K,0),MATCH(X$2,indexy_SDcast!$2:$2,0)),"#ekrk")),"#popis")</f>
        <v>0</v>
      </c>
      <c r="Y1172" s="362">
        <f>IF($Q1172="ekrk",IF($R1172="data",IFERROR(INDEX(data!$A:$ALL,MATCH($M1172,data!$A:$A,0),MATCH(Y$2,data!$1:$1,0)),"#data"),IFERROR(X1172*INDEX(indexy_SDcast!$A:$ALI,MATCH($R1172,indexy_SDcast!$K:$K,0),MATCH(Y$2,indexy_SDcast!$2:$2,0)),"#ekrk")),"#popis")</f>
        <v>0</v>
      </c>
    </row>
    <row r="1173" spans="1:44" x14ac:dyDescent="0.25">
      <c r="A1173" s="330">
        <v>154000</v>
      </c>
      <c r="B1173" s="329">
        <v>250511.85401000001</v>
      </c>
      <c r="C1173" s="157"/>
      <c r="D1173" s="330">
        <v>154000</v>
      </c>
      <c r="E1173" s="329">
        <v>250511.85401000001</v>
      </c>
      <c r="F1173" s="157"/>
      <c r="G1173" s="330">
        <v>154000</v>
      </c>
      <c r="H1173" s="349">
        <f>E1173+E1180</f>
        <v>262845.85401000001</v>
      </c>
      <c r="I1173" s="157"/>
      <c r="J1173" s="330">
        <v>154000</v>
      </c>
      <c r="K1173" s="329">
        <f>H1173+H1180</f>
        <v>262845.85401000001</v>
      </c>
      <c r="L1173" s="157"/>
      <c r="M1173" s="360">
        <f t="shared" si="119"/>
        <v>154000</v>
      </c>
      <c r="N1173" s="237">
        <f t="shared" si="120"/>
        <v>262845.85401000001</v>
      </c>
      <c r="O1173" s="361"/>
      <c r="P1173" s="361"/>
      <c r="Q1173" s="361" t="s">
        <v>698</v>
      </c>
      <c r="R1173" s="362">
        <f>IF(Q1173="ekrk",INDEX(indexy_SDcast!$A:$C,MATCH($M1173,indexy_SDcast!$A:$A,0),2),"")</f>
        <v>2</v>
      </c>
      <c r="S1173" s="236"/>
      <c r="T1173" s="364">
        <f t="shared" si="122"/>
        <v>154000</v>
      </c>
      <c r="U1173" s="365">
        <f t="shared" si="123"/>
        <v>262845.85401000001</v>
      </c>
      <c r="V1173" s="365">
        <f>IF($Q1173="ekrk",IF($R1173="data",IFERROR(INDEX(data!$A:$ALL,MATCH($M1173,data!$A:$A,0),MATCH(V$2,data!$1:$1,0)),"#data"),IFERROR(U1173*INDEX(indexy_SDcast!$A:$ALI,MATCH($R1173,indexy_SDcast!$K:$K,0),MATCH(V$2,indexy_SDcast!$2:$2,0)),"#ekrk")),"#popis")</f>
        <v>0</v>
      </c>
      <c r="W1173" s="365">
        <f>IF($Q1173="ekrk",IF($R1173="data",IFERROR(INDEX(data!$A:$ALL,MATCH($M1173,data!$A:$A,0),MATCH(W$2,data!$1:$1,0)),"#data"),IFERROR(V1173*INDEX(indexy_SDcast!$A:$ALI,MATCH($R1173,indexy_SDcast!$K:$K,0),MATCH(W$2,indexy_SDcast!$2:$2,0)),"#ekrk")),"#popis")</f>
        <v>0</v>
      </c>
      <c r="X1173" s="365">
        <f>IF($Q1173="ekrk",IF($R1173="data",IFERROR(INDEX(data!$A:$ALL,MATCH($M1173,data!$A:$A,0),MATCH(X$2,data!$1:$1,0)),"#data"),IFERROR(W1173*INDEX(indexy_SDcast!$A:$ALI,MATCH($R1173,indexy_SDcast!$K:$K,0),MATCH(X$2,indexy_SDcast!$2:$2,0)),"#ekrk")),"#popis")</f>
        <v>0</v>
      </c>
      <c r="Y1173" s="362">
        <f>IF($Q1173="ekrk",IF($R1173="data",IFERROR(INDEX(data!$A:$ALL,MATCH($M1173,data!$A:$A,0),MATCH(Y$2,data!$1:$1,0)),"#data"),IFERROR(X1173*INDEX(indexy_SDcast!$A:$ALI,MATCH($R1173,indexy_SDcast!$K:$K,0),MATCH(Y$2,indexy_SDcast!$2:$2,0)),"#ekrk")),"#popis")</f>
        <v>0</v>
      </c>
    </row>
    <row r="1174" spans="1:44" x14ac:dyDescent="0.25">
      <c r="A1174" s="330">
        <v>154001</v>
      </c>
      <c r="B1174" s="329">
        <v>432587.04509000003</v>
      </c>
      <c r="C1174" s="157"/>
      <c r="D1174" s="330">
        <v>154001</v>
      </c>
      <c r="E1174" s="329">
        <v>432587.04509000003</v>
      </c>
      <c r="F1174" s="157"/>
      <c r="G1174" s="330">
        <v>154001</v>
      </c>
      <c r="H1174" s="329">
        <v>432587.04509000003</v>
      </c>
      <c r="I1174" s="157"/>
      <c r="J1174" s="330">
        <v>154001</v>
      </c>
      <c r="K1174" s="329">
        <v>432587.04509000003</v>
      </c>
      <c r="L1174" s="157"/>
      <c r="M1174" s="360">
        <f t="shared" si="119"/>
        <v>154001</v>
      </c>
      <c r="N1174" s="237">
        <f t="shared" si="120"/>
        <v>432587.04509000003</v>
      </c>
      <c r="O1174" s="361"/>
      <c r="P1174" s="361"/>
      <c r="Q1174" s="361" t="s">
        <v>698</v>
      </c>
      <c r="R1174" s="362" t="str">
        <f>IF(Q1174="ekrk",INDEX(indexy_SDcast!$A:$C,MATCH($M1174,indexy_SDcast!$A:$A,0),2),"")</f>
        <v>data</v>
      </c>
      <c r="S1174" s="236"/>
      <c r="T1174" s="364">
        <f t="shared" si="122"/>
        <v>154001</v>
      </c>
      <c r="U1174" s="365">
        <f t="shared" si="123"/>
        <v>432587.04509000003</v>
      </c>
      <c r="V1174" s="365">
        <f>IF($Q1174="ekrk",IF($R1174="data",IFERROR(INDEX(data!$A:$ALL,MATCH($M1174,data!$A:$A,0),MATCH(V$2,data!$1:$1,0)),"#data"),IFERROR(U1174*INDEX(indexy_SDcast!$A:$ALI,MATCH($R1174,indexy_SDcast!$K:$K,0),MATCH(V$2,indexy_SDcast!$2:$2,0)),"#ekrk")),"#popis")</f>
        <v>2663179.5013859211</v>
      </c>
      <c r="W1174" s="365">
        <f>IF($Q1174="ekrk",IF($R1174="data",IFERROR(INDEX(data!$A:$ALL,MATCH($M1174,data!$A:$A,0),MATCH(W$2,data!$1:$1,0)),"#data"),IFERROR(V1174*INDEX(indexy_SDcast!$A:$ALI,MATCH($R1174,indexy_SDcast!$K:$K,0),MATCH(W$2,indexy_SDcast!$2:$2,0)),"#ekrk")),"#popis")</f>
        <v>2766384.9374113451</v>
      </c>
      <c r="X1174" s="365">
        <f>IF($Q1174="ekrk",IF($R1174="data",IFERROR(INDEX(data!$A:$ALL,MATCH($M1174,data!$A:$A,0),MATCH(X$2,data!$1:$1,0)),"#data"),IFERROR(W1174*INDEX(indexy_SDcast!$A:$ALI,MATCH($R1174,indexy_SDcast!$K:$K,0),MATCH(X$2,indexy_SDcast!$2:$2,0)),"#ekrk")),"#popis")</f>
        <v>2896485.2092956305</v>
      </c>
      <c r="Y1174" s="362">
        <f>IF($Q1174="ekrk",IF($R1174="data",IFERROR(INDEX(data!$A:$ALL,MATCH($M1174,data!$A:$A,0),MATCH(Y$2,data!$1:$1,0)),"#data"),IFERROR(X1174*INDEX(indexy_SDcast!$A:$ALI,MATCH($R1174,indexy_SDcast!$K:$K,0),MATCH(Y$2,indexy_SDcast!$2:$2,0)),"#ekrk")),"#popis")</f>
        <v>3051590.6951433918</v>
      </c>
    </row>
    <row r="1175" spans="1:44" x14ac:dyDescent="0.25">
      <c r="A1175" s="330">
        <v>154011</v>
      </c>
      <c r="B1175" s="329">
        <v>9879.3305499999988</v>
      </c>
      <c r="C1175" s="157"/>
      <c r="D1175" s="330">
        <v>154011</v>
      </c>
      <c r="E1175" s="329">
        <v>9879.3305499999988</v>
      </c>
      <c r="F1175" s="157"/>
      <c r="G1175" s="330">
        <v>154011</v>
      </c>
      <c r="H1175" s="329">
        <v>9879.3305499999988</v>
      </c>
      <c r="I1175" s="157"/>
      <c r="J1175" s="330">
        <v>154011</v>
      </c>
      <c r="K1175" s="329">
        <v>9879.3305499999988</v>
      </c>
      <c r="L1175" s="157"/>
      <c r="M1175" s="360">
        <f t="shared" si="119"/>
        <v>154011</v>
      </c>
      <c r="N1175" s="237">
        <f t="shared" si="120"/>
        <v>9879.3305499999988</v>
      </c>
      <c r="O1175" s="361"/>
      <c r="P1175" s="361"/>
      <c r="Q1175" s="361" t="s">
        <v>698</v>
      </c>
      <c r="R1175" s="362">
        <v>2</v>
      </c>
      <c r="S1175" s="236"/>
      <c r="T1175" s="364">
        <f t="shared" si="122"/>
        <v>154011</v>
      </c>
      <c r="U1175" s="365">
        <f t="shared" si="123"/>
        <v>9879.3305499999988</v>
      </c>
      <c r="V1175" s="365">
        <f>IF($Q1175="ekrk",IF($R1175="data",IFERROR(INDEX(data!$A:$ALL,MATCH($M1175,data!$A:$A,0),MATCH(V$2,data!$1:$1,0)),"#data"),IFERROR(U1175*INDEX(indexy_SDcast!$A:$ALI,MATCH($R1175,indexy_SDcast!$K:$K,0),MATCH(V$2,indexy_SDcast!$2:$2,0)),"#ekrk")),"#popis")</f>
        <v>0</v>
      </c>
      <c r="W1175" s="365">
        <f>IF($Q1175="ekrk",IF($R1175="data",IFERROR(INDEX(data!$A:$ALL,MATCH($M1175,data!$A:$A,0),MATCH(W$2,data!$1:$1,0)),"#data"),IFERROR(V1175*INDEX(indexy_SDcast!$A:$ALI,MATCH($R1175,indexy_SDcast!$K:$K,0),MATCH(W$2,indexy_SDcast!$2:$2,0)),"#ekrk")),"#popis")</f>
        <v>0</v>
      </c>
      <c r="X1175" s="365">
        <f>IF($Q1175="ekrk",IF($R1175="data",IFERROR(INDEX(data!$A:$ALL,MATCH($M1175,data!$A:$A,0),MATCH(X$2,data!$1:$1,0)),"#data"),IFERROR(W1175*INDEX(indexy_SDcast!$A:$ALI,MATCH($R1175,indexy_SDcast!$K:$K,0),MATCH(X$2,indexy_SDcast!$2:$2,0)),"#ekrk")),"#popis")</f>
        <v>0</v>
      </c>
      <c r="Y1175" s="362">
        <f>IF($Q1175="ekrk",IF($R1175="data",IFERROR(INDEX(data!$A:$ALL,MATCH($M1175,data!$A:$A,0),MATCH(Y$2,data!$1:$1,0)),"#data"),IFERROR(X1175*INDEX(indexy_SDcast!$A:$ALI,MATCH($R1175,indexy_SDcast!$K:$K,0),MATCH(Y$2,indexy_SDcast!$2:$2,0)),"#ekrk")),"#popis")</f>
        <v>0</v>
      </c>
    </row>
    <row r="1176" spans="1:44" x14ac:dyDescent="0.25">
      <c r="A1176" s="330">
        <v>155001</v>
      </c>
      <c r="B1176" s="329">
        <v>147928.19193999999</v>
      </c>
      <c r="C1176" s="157"/>
      <c r="D1176" s="330">
        <v>155001</v>
      </c>
      <c r="E1176" s="329">
        <v>147928.19193999999</v>
      </c>
      <c r="F1176" s="157"/>
      <c r="G1176" s="330">
        <v>155001</v>
      </c>
      <c r="H1176" s="329">
        <v>147928.19193999999</v>
      </c>
      <c r="I1176" s="157"/>
      <c r="J1176" s="330">
        <v>155001</v>
      </c>
      <c r="K1176" s="329">
        <v>147928.19193999999</v>
      </c>
      <c r="L1176" s="157"/>
      <c r="M1176" s="360">
        <f t="shared" si="119"/>
        <v>155001</v>
      </c>
      <c r="N1176" s="237">
        <f t="shared" si="120"/>
        <v>147928.19193999999</v>
      </c>
      <c r="O1176" s="361"/>
      <c r="P1176" s="361"/>
      <c r="Q1176" s="361" t="s">
        <v>698</v>
      </c>
      <c r="R1176" s="362">
        <f>IF(Q1176="ekrk",INDEX(indexy_SDcast!$A:$C,MATCH($M1176,indexy_SDcast!$A:$A,0),2),"")</f>
        <v>2</v>
      </c>
      <c r="S1176" s="236"/>
      <c r="T1176" s="364">
        <f t="shared" si="122"/>
        <v>155001</v>
      </c>
      <c r="U1176" s="365">
        <f t="shared" si="123"/>
        <v>147928.19193999999</v>
      </c>
      <c r="V1176" s="365">
        <f>IF($Q1176="ekrk",IF($R1176="data",IFERROR(INDEX(data!$A:$ALL,MATCH($M1176,data!$A:$A,0),MATCH(V$2,data!$1:$1,0)),"#data"),IFERROR(U1176*INDEX(indexy_SDcast!$A:$ALI,MATCH($R1176,indexy_SDcast!$K:$K,0),MATCH(V$2,indexy_SDcast!$2:$2,0)),"#ekrk")),"#popis")</f>
        <v>0</v>
      </c>
      <c r="W1176" s="365">
        <f>IF($Q1176="ekrk",IF($R1176="data",IFERROR(INDEX(data!$A:$ALL,MATCH($M1176,data!$A:$A,0),MATCH(W$2,data!$1:$1,0)),"#data"),IFERROR(V1176*INDEX(indexy_SDcast!$A:$ALI,MATCH($R1176,indexy_SDcast!$K:$K,0),MATCH(W$2,indexy_SDcast!$2:$2,0)),"#ekrk")),"#popis")</f>
        <v>0</v>
      </c>
      <c r="X1176" s="365">
        <f>IF($Q1176="ekrk",IF($R1176="data",IFERROR(INDEX(data!$A:$ALL,MATCH($M1176,data!$A:$A,0),MATCH(X$2,data!$1:$1,0)),"#data"),IFERROR(W1176*INDEX(indexy_SDcast!$A:$ALI,MATCH($R1176,indexy_SDcast!$K:$K,0),MATCH(X$2,indexy_SDcast!$2:$2,0)),"#ekrk")),"#popis")</f>
        <v>0</v>
      </c>
      <c r="Y1176" s="362">
        <f>IF($Q1176="ekrk",IF($R1176="data",IFERROR(INDEX(data!$A:$ALL,MATCH($M1176,data!$A:$A,0),MATCH(Y$2,data!$1:$1,0)),"#data"),IFERROR(X1176*INDEX(indexy_SDcast!$A:$ALI,MATCH($R1176,indexy_SDcast!$K:$K,0),MATCH(Y$2,indexy_SDcast!$2:$2,0)),"#ekrk")),"#popis")</f>
        <v>0</v>
      </c>
    </row>
    <row r="1177" spans="1:44" x14ac:dyDescent="0.25">
      <c r="A1177" s="330">
        <v>155005</v>
      </c>
      <c r="B1177" s="329">
        <v>4760.4622099999997</v>
      </c>
      <c r="C1177" s="157"/>
      <c r="D1177" s="330">
        <v>155005</v>
      </c>
      <c r="E1177" s="329">
        <v>4760.4622099999997</v>
      </c>
      <c r="F1177" s="157"/>
      <c r="G1177" s="330">
        <v>155005</v>
      </c>
      <c r="H1177" s="329">
        <v>4760.4622099999997</v>
      </c>
      <c r="I1177" s="157"/>
      <c r="J1177" s="330">
        <v>155005</v>
      </c>
      <c r="K1177" s="329">
        <v>4760.4622099999997</v>
      </c>
      <c r="L1177" s="157"/>
      <c r="M1177" s="360">
        <f t="shared" si="119"/>
        <v>155005</v>
      </c>
      <c r="N1177" s="237">
        <f t="shared" si="120"/>
        <v>4760.4622099999997</v>
      </c>
      <c r="O1177" s="361"/>
      <c r="P1177" s="361"/>
      <c r="Q1177" s="361" t="s">
        <v>698</v>
      </c>
      <c r="R1177" s="362">
        <f>IF(Q1177="ekrk",INDEX(indexy_SDcast!$A:$C,MATCH($M1177,indexy_SDcast!$A:$A,0),2),"")</f>
        <v>2</v>
      </c>
      <c r="S1177" s="236"/>
      <c r="T1177" s="364">
        <f t="shared" si="122"/>
        <v>155005</v>
      </c>
      <c r="U1177" s="365">
        <f t="shared" si="123"/>
        <v>4760.4622099999997</v>
      </c>
      <c r="V1177" s="365">
        <f>IF($Q1177="ekrk",IF($R1177="data",IFERROR(INDEX(data!$A:$ALL,MATCH($M1177,data!$A:$A,0),MATCH(V$2,data!$1:$1,0)),"#data"),IFERROR(U1177*INDEX(indexy_SDcast!$A:$ALI,MATCH($R1177,indexy_SDcast!$K:$K,0),MATCH(V$2,indexy_SDcast!$2:$2,0)),"#ekrk")),"#popis")</f>
        <v>0</v>
      </c>
      <c r="W1177" s="365">
        <f>IF($Q1177="ekrk",IF($R1177="data",IFERROR(INDEX(data!$A:$ALL,MATCH($M1177,data!$A:$A,0),MATCH(W$2,data!$1:$1,0)),"#data"),IFERROR(V1177*INDEX(indexy_SDcast!$A:$ALI,MATCH($R1177,indexy_SDcast!$K:$K,0),MATCH(W$2,indexy_SDcast!$2:$2,0)),"#ekrk")),"#popis")</f>
        <v>0</v>
      </c>
      <c r="X1177" s="365">
        <f>IF($Q1177="ekrk",IF($R1177="data",IFERROR(INDEX(data!$A:$ALL,MATCH($M1177,data!$A:$A,0),MATCH(X$2,data!$1:$1,0)),"#data"),IFERROR(W1177*INDEX(indexy_SDcast!$A:$ALI,MATCH($R1177,indexy_SDcast!$K:$K,0),MATCH(X$2,indexy_SDcast!$2:$2,0)),"#ekrk")),"#popis")</f>
        <v>0</v>
      </c>
      <c r="Y1177" s="362">
        <f>IF($Q1177="ekrk",IF($R1177="data",IFERROR(INDEX(data!$A:$ALL,MATCH($M1177,data!$A:$A,0),MATCH(Y$2,data!$1:$1,0)),"#data"),IFERROR(X1177*INDEX(indexy_SDcast!$A:$ALI,MATCH($R1177,indexy_SDcast!$K:$K,0),MATCH(Y$2,indexy_SDcast!$2:$2,0)),"#ekrk")),"#popis")</f>
        <v>0</v>
      </c>
    </row>
    <row r="1178" spans="1:44" x14ac:dyDescent="0.25">
      <c r="A1178" s="330">
        <v>158001</v>
      </c>
      <c r="B1178" s="329">
        <v>462088.67358</v>
      </c>
      <c r="C1178" s="157"/>
      <c r="D1178" s="330">
        <v>158001</v>
      </c>
      <c r="E1178" s="329">
        <v>462088.67358</v>
      </c>
      <c r="F1178" s="157"/>
      <c r="G1178" s="330">
        <v>158001</v>
      </c>
      <c r="H1178" s="329">
        <v>462088.67358</v>
      </c>
      <c r="I1178" s="157"/>
      <c r="J1178" s="330">
        <v>158001</v>
      </c>
      <c r="K1178" s="329">
        <v>462088.67358</v>
      </c>
      <c r="L1178" s="157"/>
      <c r="M1178" s="360">
        <f t="shared" ref="M1178:M1209" si="124">J1178</f>
        <v>158001</v>
      </c>
      <c r="N1178" s="237">
        <f t="shared" ref="N1178:N1209" si="125">K1178</f>
        <v>462088.67358</v>
      </c>
      <c r="O1178" s="361"/>
      <c r="P1178" s="361"/>
      <c r="Q1178" s="361" t="s">
        <v>698</v>
      </c>
      <c r="R1178" s="362">
        <f>IF(Q1178="ekrk",INDEX(indexy_SDcast!$A:$C,MATCH($M1178,indexy_SDcast!$A:$A,0),2),"")</f>
        <v>2</v>
      </c>
      <c r="S1178" s="236"/>
      <c r="T1178" s="364">
        <f t="shared" si="122"/>
        <v>158001</v>
      </c>
      <c r="U1178" s="365">
        <f t="shared" si="123"/>
        <v>462088.67358</v>
      </c>
      <c r="V1178" s="365">
        <f>IF($Q1178="ekrk",IF($R1178="data",IFERROR(INDEX(data!$A:$ALL,MATCH($M1178,data!$A:$A,0),MATCH(V$2,data!$1:$1,0)),"#data"),IFERROR(U1178*INDEX(indexy_SDcast!$A:$ALI,MATCH($R1178,indexy_SDcast!$K:$K,0),MATCH(V$2,indexy_SDcast!$2:$2,0)),"#ekrk")),"#popis")</f>
        <v>0</v>
      </c>
      <c r="W1178" s="365">
        <f>IF($Q1178="ekrk",IF($R1178="data",IFERROR(INDEX(data!$A:$ALL,MATCH($M1178,data!$A:$A,0),MATCH(W$2,data!$1:$1,0)),"#data"),IFERROR(V1178*INDEX(indexy_SDcast!$A:$ALI,MATCH($R1178,indexy_SDcast!$K:$K,0),MATCH(W$2,indexy_SDcast!$2:$2,0)),"#ekrk")),"#popis")</f>
        <v>0</v>
      </c>
      <c r="X1178" s="365">
        <f>IF($Q1178="ekrk",IF($R1178="data",IFERROR(INDEX(data!$A:$ALL,MATCH($M1178,data!$A:$A,0),MATCH(X$2,data!$1:$1,0)),"#data"),IFERROR(W1178*INDEX(indexy_SDcast!$A:$ALI,MATCH($R1178,indexy_SDcast!$K:$K,0),MATCH(X$2,indexy_SDcast!$2:$2,0)),"#ekrk")),"#popis")</f>
        <v>0</v>
      </c>
      <c r="Y1178" s="362">
        <f>IF($Q1178="ekrk",IF($R1178="data",IFERROR(INDEX(data!$A:$ALL,MATCH($M1178,data!$A:$A,0),MATCH(Y$2,data!$1:$1,0)),"#data"),IFERROR(X1178*INDEX(indexy_SDcast!$A:$ALI,MATCH($R1178,indexy_SDcast!$K:$K,0),MATCH(Y$2,indexy_SDcast!$2:$2,0)),"#ekrk")),"#popis")</f>
        <v>0</v>
      </c>
    </row>
    <row r="1179" spans="1:44" x14ac:dyDescent="0.25">
      <c r="A1179" s="330">
        <v>158006</v>
      </c>
      <c r="B1179" s="329">
        <v>16536.938179999997</v>
      </c>
      <c r="C1179" s="157"/>
      <c r="D1179" s="330">
        <v>158006</v>
      </c>
      <c r="E1179" s="329">
        <v>16536.938179999997</v>
      </c>
      <c r="F1179" s="157"/>
      <c r="G1179" s="330">
        <v>158006</v>
      </c>
      <c r="H1179" s="329">
        <v>16536.938179999997</v>
      </c>
      <c r="I1179" s="157"/>
      <c r="J1179" s="330">
        <v>158006</v>
      </c>
      <c r="K1179" s="329">
        <v>16536.938179999997</v>
      </c>
      <c r="L1179" s="157"/>
      <c r="M1179" s="360">
        <f t="shared" si="124"/>
        <v>158006</v>
      </c>
      <c r="N1179" s="237">
        <f t="shared" si="125"/>
        <v>16536.938179999997</v>
      </c>
      <c r="O1179" s="361"/>
      <c r="P1179" s="361"/>
      <c r="Q1179" s="361" t="s">
        <v>698</v>
      </c>
      <c r="R1179" s="362">
        <f>IF(Q1179="ekrk",INDEX(indexy_SDcast!$A:$C,MATCH($M1179,indexy_SDcast!$A:$A,0),2),"")</f>
        <v>2</v>
      </c>
      <c r="S1179" s="236"/>
      <c r="T1179" s="364">
        <f t="shared" si="122"/>
        <v>158006</v>
      </c>
      <c r="U1179" s="365">
        <f t="shared" si="123"/>
        <v>16536.938179999997</v>
      </c>
      <c r="V1179" s="365">
        <f>IF($Q1179="ekrk",IF($R1179="data",IFERROR(INDEX(data!$A:$ALL,MATCH($M1179,data!$A:$A,0),MATCH(V$2,data!$1:$1,0)),"#data"),IFERROR(U1179*INDEX(indexy_SDcast!$A:$ALI,MATCH($R1179,indexy_SDcast!$K:$K,0),MATCH(V$2,indexy_SDcast!$2:$2,0)),"#ekrk")),"#popis")</f>
        <v>0</v>
      </c>
      <c r="W1179" s="365">
        <f>IF($Q1179="ekrk",IF($R1179="data",IFERROR(INDEX(data!$A:$ALL,MATCH($M1179,data!$A:$A,0),MATCH(W$2,data!$1:$1,0)),"#data"),IFERROR(V1179*INDEX(indexy_SDcast!$A:$ALI,MATCH($R1179,indexy_SDcast!$K:$K,0),MATCH(W$2,indexy_SDcast!$2:$2,0)),"#ekrk")),"#popis")</f>
        <v>0</v>
      </c>
      <c r="X1179" s="365">
        <f>IF($Q1179="ekrk",IF($R1179="data",IFERROR(INDEX(data!$A:$ALL,MATCH($M1179,data!$A:$A,0),MATCH(X$2,data!$1:$1,0)),"#data"),IFERROR(W1179*INDEX(indexy_SDcast!$A:$ALI,MATCH($R1179,indexy_SDcast!$K:$K,0),MATCH(X$2,indexy_SDcast!$2:$2,0)),"#ekrk")),"#popis")</f>
        <v>0</v>
      </c>
      <c r="Y1179" s="362">
        <f>IF($Q1179="ekrk",IF($R1179="data",IFERROR(INDEX(data!$A:$ALL,MATCH($M1179,data!$A:$A,0),MATCH(Y$2,data!$1:$1,0)),"#data"),IFERROR(X1179*INDEX(indexy_SDcast!$A:$ALI,MATCH($R1179,indexy_SDcast!$K:$K,0),MATCH(Y$2,indexy_SDcast!$2:$2,0)),"#ekrk")),"#popis")</f>
        <v>0</v>
      </c>
    </row>
    <row r="1180" spans="1:44" x14ac:dyDescent="0.25">
      <c r="A1180" s="330" t="s">
        <v>996</v>
      </c>
      <c r="B1180" s="329">
        <v>12334</v>
      </c>
      <c r="C1180" s="157"/>
      <c r="D1180" s="348">
        <v>154000</v>
      </c>
      <c r="E1180" s="329">
        <v>12334</v>
      </c>
      <c r="F1180" s="157"/>
      <c r="G1180" s="330"/>
      <c r="H1180" s="329"/>
      <c r="I1180" s="157"/>
      <c r="J1180" s="330"/>
      <c r="K1180" s="329"/>
      <c r="L1180" s="157"/>
      <c r="M1180" s="360">
        <f t="shared" si="124"/>
        <v>0</v>
      </c>
      <c r="N1180" s="237">
        <f t="shared" si="125"/>
        <v>0</v>
      </c>
      <c r="O1180" s="361"/>
      <c r="P1180" s="361"/>
      <c r="Q1180" s="361"/>
      <c r="R1180" s="362"/>
      <c r="S1180" s="236"/>
      <c r="T1180" s="364"/>
      <c r="U1180" s="365"/>
      <c r="V1180" s="365"/>
      <c r="W1180" s="365"/>
      <c r="X1180" s="365"/>
      <c r="Y1180" s="362"/>
    </row>
    <row r="1181" spans="1:44" s="18" customFormat="1" x14ac:dyDescent="0.25">
      <c r="A1181" s="333" t="s">
        <v>723</v>
      </c>
      <c r="B1181" s="334">
        <v>1509124.7510300002</v>
      </c>
      <c r="C1181" s="164"/>
      <c r="D1181" s="333" t="s">
        <v>723</v>
      </c>
      <c r="E1181" s="334">
        <v>1509124.7510300002</v>
      </c>
      <c r="F1181" s="164"/>
      <c r="G1181" s="333" t="s">
        <v>723</v>
      </c>
      <c r="H1181" s="334">
        <v>1509124.7510300002</v>
      </c>
      <c r="I1181" s="164"/>
      <c r="J1181" s="333" t="s">
        <v>723</v>
      </c>
      <c r="K1181" s="334">
        <v>1509124.7510300002</v>
      </c>
      <c r="L1181" s="164"/>
      <c r="M1181" s="358" t="str">
        <f t="shared" si="124"/>
        <v>D61131CGREC</v>
      </c>
      <c r="N1181" s="239">
        <f t="shared" si="125"/>
        <v>1509124.7510300002</v>
      </c>
      <c r="O1181" s="243"/>
      <c r="P1181" s="243">
        <f>MATCH(Q1181,Q1182:Q$1550,0)</f>
        <v>8</v>
      </c>
      <c r="Q1181" s="243" t="s">
        <v>697</v>
      </c>
      <c r="R1181" s="359" t="str">
        <f>IF(Q1181="ekrk",INDEX(indexy_SDcast!$A:$C,MATCH($M1181,indexy_SDcast!$A:$A,0),2),"")</f>
        <v/>
      </c>
      <c r="S1181" s="240"/>
      <c r="T1181" s="363" t="str">
        <f>M1181</f>
        <v>D61131CGREC</v>
      </c>
      <c r="U1181" s="244">
        <f>SUM(U1182:U1188)</f>
        <v>1509124.7510300002</v>
      </c>
      <c r="V1181" s="244">
        <f>SUM(V1182:V1188)</f>
        <v>1468417.7008391696</v>
      </c>
      <c r="W1181" s="244">
        <f>SUM(W1182:W1188)</f>
        <v>1507801.2851351898</v>
      </c>
      <c r="X1181" s="244">
        <f>SUM(X1182:X1188)</f>
        <v>1553844.8693034176</v>
      </c>
      <c r="Y1181" s="359">
        <f>SUM(Y1182:Y1188)</f>
        <v>1613183.7899812835</v>
      </c>
      <c r="Z1181" s="58"/>
      <c r="AA1181" s="58"/>
      <c r="AB1181" s="58"/>
      <c r="AC1181" s="58"/>
      <c r="AD1181" s="58"/>
      <c r="AE1181" s="58"/>
      <c r="AF1181" s="58"/>
      <c r="AG1181" s="58"/>
      <c r="AH1181" s="58"/>
      <c r="AI1181" s="58"/>
      <c r="AJ1181" s="58"/>
      <c r="AK1181" s="58"/>
      <c r="AL1181" s="58"/>
      <c r="AM1181" s="58"/>
      <c r="AN1181" s="58"/>
      <c r="AO1181" s="58"/>
      <c r="AP1181" s="58"/>
      <c r="AQ1181" s="58"/>
      <c r="AR1181" s="58"/>
    </row>
    <row r="1182" spans="1:44" x14ac:dyDescent="0.25">
      <c r="A1182" s="330">
        <v>152005</v>
      </c>
      <c r="B1182" s="329">
        <v>155216.75630000001</v>
      </c>
      <c r="C1182" s="157"/>
      <c r="D1182" s="330">
        <v>152005</v>
      </c>
      <c r="E1182" s="329">
        <v>155216.75630000001</v>
      </c>
      <c r="F1182" s="157"/>
      <c r="G1182" s="330">
        <v>152005</v>
      </c>
      <c r="H1182" s="329">
        <v>155216.75630000001</v>
      </c>
      <c r="I1182" s="157"/>
      <c r="J1182" s="330">
        <v>152005</v>
      </c>
      <c r="K1182" s="329">
        <v>155216.75630000001</v>
      </c>
      <c r="L1182" s="157"/>
      <c r="M1182" s="360">
        <f t="shared" si="124"/>
        <v>152005</v>
      </c>
      <c r="N1182" s="237">
        <f t="shared" si="125"/>
        <v>155216.75630000001</v>
      </c>
      <c r="O1182" s="361"/>
      <c r="P1182" s="361"/>
      <c r="Q1182" s="361" t="s">
        <v>698</v>
      </c>
      <c r="R1182" s="362">
        <f>IF(Q1182="ekrk",INDEX(indexy_SDcast!$A:$C,MATCH($M1182,indexy_SDcast!$A:$A,0),2),"")</f>
        <v>7</v>
      </c>
      <c r="S1182" s="236"/>
      <c r="T1182" s="364">
        <f>M1182</f>
        <v>152005</v>
      </c>
      <c r="U1182" s="365">
        <f>N1182</f>
        <v>155216.75630000001</v>
      </c>
      <c r="V1182" s="365">
        <f>IF($Q1182="ekrk",IF($R1182="data",IFERROR(INDEX(data!$A:$ALL,MATCH($M1182,data!$A:$A,0),MATCH(V$2,data!$1:$1,0)),"#data"),IFERROR(U1182*INDEX(indexy_SDcast!$A:$ALI,MATCH($R1182,indexy_SDcast!$K:$K,0),MATCH(V$2,indexy_SDcast!$2:$2,0)),"#ekrk")),"#popis")</f>
        <v>158245.11259885575</v>
      </c>
      <c r="W1182" s="365">
        <f>IF($Q1182="ekrk",IF($R1182="data",IFERROR(INDEX(data!$A:$ALL,MATCH($M1182,data!$A:$A,0),MATCH(W$2,data!$1:$1,0)),"#data"),IFERROR(V1182*INDEX(indexy_SDcast!$A:$ALI,MATCH($R1182,indexy_SDcast!$K:$K,0),MATCH(W$2,indexy_SDcast!$2:$2,0)),"#ekrk")),"#popis")</f>
        <v>161765.54923537228</v>
      </c>
      <c r="X1182" s="365">
        <f>IF($Q1182="ekrk",IF($R1182="data",IFERROR(INDEX(data!$A:$ALL,MATCH($M1182,data!$A:$A,0),MATCH(X$2,data!$1:$1,0)),"#data"),IFERROR(W1182*INDEX(indexy_SDcast!$A:$ALI,MATCH($R1182,indexy_SDcast!$K:$K,0),MATCH(X$2,indexy_SDcast!$2:$2,0)),"#ekrk")),"#popis")</f>
        <v>165765.03636532201</v>
      </c>
      <c r="Y1182" s="362">
        <f>IF($Q1182="ekrk",IF($R1182="data",IFERROR(INDEX(data!$A:$ALL,MATCH($M1182,data!$A:$A,0),MATCH(Y$2,data!$1:$1,0)),"#data"),IFERROR(X1182*INDEX(indexy_SDcast!$A:$ALI,MATCH($R1182,indexy_SDcast!$K:$K,0),MATCH(Y$2,indexy_SDcast!$2:$2,0)),"#ekrk")),"#popis")</f>
        <v>170899.61919389776</v>
      </c>
    </row>
    <row r="1183" spans="1:44" x14ac:dyDescent="0.25">
      <c r="A1183" s="330">
        <v>152006</v>
      </c>
      <c r="B1183" s="329">
        <v>2551.2241100000001</v>
      </c>
      <c r="C1183" s="157"/>
      <c r="D1183" s="330">
        <v>152006</v>
      </c>
      <c r="E1183" s="329">
        <v>2551.2241100000001</v>
      </c>
      <c r="F1183" s="157"/>
      <c r="G1183" s="330">
        <v>152006</v>
      </c>
      <c r="H1183" s="329">
        <v>2551.2241100000001</v>
      </c>
      <c r="I1183" s="157"/>
      <c r="J1183" s="330">
        <v>152006</v>
      </c>
      <c r="K1183" s="329">
        <v>2551.2241100000001</v>
      </c>
      <c r="L1183" s="157"/>
      <c r="M1183" s="360">
        <f t="shared" si="124"/>
        <v>152006</v>
      </c>
      <c r="N1183" s="237">
        <f t="shared" si="125"/>
        <v>2551.2241100000001</v>
      </c>
      <c r="O1183" s="361"/>
      <c r="P1183" s="361"/>
      <c r="Q1183" s="361" t="s">
        <v>698</v>
      </c>
      <c r="R1183" s="362">
        <f>IF(Q1183="ekrk",INDEX(indexy_SDcast!$A:$C,MATCH($M1183,indexy_SDcast!$A:$A,0),2),"")</f>
        <v>6</v>
      </c>
      <c r="S1183" s="236"/>
      <c r="T1183" s="364">
        <f>M1183</f>
        <v>152006</v>
      </c>
      <c r="U1183" s="365">
        <f>N1183</f>
        <v>2551.2241100000001</v>
      </c>
      <c r="V1183" s="365">
        <f>IF($Q1183="ekrk",IF($R1183="data",IFERROR(INDEX(data!$A:$ALL,MATCH($M1183,data!$A:$A,0),MATCH(V$2,data!$1:$1,0)),"#data"),IFERROR(U1183*INDEX(indexy_SDcast!$A:$ALI,MATCH($R1183,indexy_SDcast!$K:$K,0),MATCH(V$2,indexy_SDcast!$2:$2,0)),"#ekrk")),"#popis")</f>
        <v>2597.8271869362006</v>
      </c>
      <c r="W1183" s="365">
        <f>IF($Q1183="ekrk",IF($R1183="data",IFERROR(INDEX(data!$A:$ALL,MATCH($M1183,data!$A:$A,0),MATCH(W$2,data!$1:$1,0)),"#data"),IFERROR(V1183*INDEX(indexy_SDcast!$A:$ALI,MATCH($R1183,indexy_SDcast!$K:$K,0),MATCH(W$2,indexy_SDcast!$2:$2,0)),"#ekrk")),"#popis")</f>
        <v>2672.8091685680629</v>
      </c>
      <c r="X1183" s="365">
        <f>IF($Q1183="ekrk",IF($R1183="data",IFERROR(INDEX(data!$A:$ALL,MATCH($M1183,data!$A:$A,0),MATCH(X$2,data!$1:$1,0)),"#data"),IFERROR(W1183*INDEX(indexy_SDcast!$A:$ALI,MATCH($R1183,indexy_SDcast!$K:$K,0),MATCH(X$2,indexy_SDcast!$2:$2,0)),"#ekrk")),"#popis")</f>
        <v>2760.3181893561514</v>
      </c>
      <c r="Y1183" s="362">
        <f>IF($Q1183="ekrk",IF($R1183="data",IFERROR(INDEX(data!$A:$ALL,MATCH($M1183,data!$A:$A,0),MATCH(Y$2,data!$1:$1,0)),"#data"),IFERROR(X1183*INDEX(indexy_SDcast!$A:$ALI,MATCH($R1183,indexy_SDcast!$K:$K,0),MATCH(Y$2,indexy_SDcast!$2:$2,0)),"#ekrk")),"#popis")</f>
        <v>2856.4431836386029</v>
      </c>
    </row>
    <row r="1184" spans="1:44" x14ac:dyDescent="0.25">
      <c r="A1184" s="330">
        <v>154000</v>
      </c>
      <c r="B1184" s="329">
        <v>472346.13645999995</v>
      </c>
      <c r="C1184" s="157"/>
      <c r="D1184" s="348">
        <v>154005</v>
      </c>
      <c r="E1184" s="329">
        <v>472346.13645999995</v>
      </c>
      <c r="F1184" s="157"/>
      <c r="G1184" s="330">
        <v>154005</v>
      </c>
      <c r="H1184" s="349">
        <f>E1184+E1185+E1188</f>
        <v>1270058.5983899999</v>
      </c>
      <c r="I1184" s="157"/>
      <c r="J1184" s="330">
        <v>154005</v>
      </c>
      <c r="K1184" s="329">
        <f>H1184+H1185+H1188</f>
        <v>1270058.5983899999</v>
      </c>
      <c r="L1184" s="157"/>
      <c r="M1184" s="360">
        <f t="shared" si="124"/>
        <v>154005</v>
      </c>
      <c r="N1184" s="237">
        <f t="shared" si="125"/>
        <v>1270058.5983899999</v>
      </c>
      <c r="O1184" s="361"/>
      <c r="P1184" s="361"/>
      <c r="Q1184" s="361" t="s">
        <v>698</v>
      </c>
      <c r="R1184" s="362">
        <f>IF(Q1184="ekrk",INDEX(indexy_SDcast!$A:$C,MATCH($M1184,indexy_SDcast!$A:$A,0),2),"")</f>
        <v>8</v>
      </c>
      <c r="S1184" s="236"/>
      <c r="T1184" s="364">
        <f>M1184</f>
        <v>154005</v>
      </c>
      <c r="U1184" s="365">
        <f>N1184</f>
        <v>1270058.5983899999</v>
      </c>
      <c r="V1184" s="365">
        <f>IF($Q1184="ekrk",IF($R1184="data",IFERROR(INDEX(data!$A:$ALL,MATCH($M1184,data!$A:$A,0),MATCH(V$2,data!$1:$1,0)),"#data"),IFERROR(U1184*INDEX(indexy_SDcast!$A:$ALI,MATCH($R1184,indexy_SDcast!$K:$K,0),MATCH(V$2,indexy_SDcast!$2:$2,0)),"#ekrk")),"#popis")</f>
        <v>1224690.4209518989</v>
      </c>
      <c r="W1184" s="365">
        <f>IF($Q1184="ekrk",IF($R1184="data",IFERROR(INDEX(data!$A:$ALL,MATCH($M1184,data!$A:$A,0),MATCH(W$2,data!$1:$1,0)),"#data"),IFERROR(V1184*INDEX(indexy_SDcast!$A:$ALI,MATCH($R1184,indexy_SDcast!$K:$K,0),MATCH(W$2,indexy_SDcast!$2:$2,0)),"#ekrk")),"#popis")</f>
        <v>1258634.6809148034</v>
      </c>
      <c r="X1184" s="365">
        <f>IF($Q1184="ekrk",IF($R1184="data",IFERROR(INDEX(data!$A:$ALL,MATCH($M1184,data!$A:$A,0),MATCH(X$2,data!$1:$1,0)),"#data"),IFERROR(W1184*INDEX(indexy_SDcast!$A:$ALI,MATCH($R1184,indexy_SDcast!$K:$K,0),MATCH(X$2,indexy_SDcast!$2:$2,0)),"#ekrk")),"#popis")</f>
        <v>1298496.4500398417</v>
      </c>
      <c r="Y1184" s="362">
        <f>IF($Q1184="ekrk",IF($R1184="data",IFERROR(INDEX(data!$A:$ALL,MATCH($M1184,data!$A:$A,0),MATCH(Y$2,data!$1:$1,0)),"#data"),IFERROR(X1184*INDEX(indexy_SDcast!$A:$ALI,MATCH($R1184,indexy_SDcast!$K:$K,0),MATCH(Y$2,indexy_SDcast!$2:$2,0)),"#ekrk")),"#popis")</f>
        <v>1349915.3127945289</v>
      </c>
    </row>
    <row r="1185" spans="1:44" x14ac:dyDescent="0.25">
      <c r="A1185" s="330">
        <v>154005</v>
      </c>
      <c r="B1185" s="329">
        <v>795950.46192999999</v>
      </c>
      <c r="C1185" s="157"/>
      <c r="D1185" s="330">
        <v>154005</v>
      </c>
      <c r="E1185" s="329">
        <v>795950.46192999999</v>
      </c>
      <c r="F1185" s="157"/>
      <c r="G1185" s="330"/>
      <c r="H1185" s="329"/>
      <c r="I1185" s="157"/>
      <c r="J1185" s="330"/>
      <c r="K1185" s="329"/>
      <c r="L1185" s="157"/>
      <c r="M1185" s="360">
        <f t="shared" si="124"/>
        <v>0</v>
      </c>
      <c r="N1185" s="237">
        <f t="shared" si="125"/>
        <v>0</v>
      </c>
      <c r="O1185" s="361"/>
      <c r="P1185" s="361"/>
      <c r="Q1185" s="361"/>
      <c r="R1185" s="362"/>
      <c r="S1185" s="236"/>
      <c r="T1185" s="364"/>
      <c r="U1185" s="365"/>
      <c r="V1185" s="365"/>
      <c r="W1185" s="365"/>
      <c r="X1185" s="365"/>
      <c r="Y1185" s="362"/>
    </row>
    <row r="1186" spans="1:44" x14ac:dyDescent="0.25">
      <c r="A1186" s="330">
        <v>157005</v>
      </c>
      <c r="B1186" s="329">
        <v>20877.712549999997</v>
      </c>
      <c r="C1186" s="157"/>
      <c r="D1186" s="330">
        <v>157005</v>
      </c>
      <c r="E1186" s="329">
        <v>20877.712549999997</v>
      </c>
      <c r="F1186" s="157"/>
      <c r="G1186" s="330">
        <v>157005</v>
      </c>
      <c r="H1186" s="329">
        <v>20877.712549999997</v>
      </c>
      <c r="I1186" s="157"/>
      <c r="J1186" s="330">
        <v>157005</v>
      </c>
      <c r="K1186" s="329">
        <v>20877.712549999997</v>
      </c>
      <c r="L1186" s="157"/>
      <c r="M1186" s="360">
        <f t="shared" si="124"/>
        <v>157005</v>
      </c>
      <c r="N1186" s="237">
        <f t="shared" si="125"/>
        <v>20877.712549999997</v>
      </c>
      <c r="O1186" s="361"/>
      <c r="P1186" s="361"/>
      <c r="Q1186" s="361" t="s">
        <v>698</v>
      </c>
      <c r="R1186" s="362">
        <f>IF(Q1186="ekrk",INDEX(indexy_SDcast!$A:$C,MATCH($M1186,indexy_SDcast!$A:$A,0),2),"")</f>
        <v>7</v>
      </c>
      <c r="S1186" s="236"/>
      <c r="T1186" s="364">
        <f>M1186</f>
        <v>157005</v>
      </c>
      <c r="U1186" s="365">
        <f>N1186</f>
        <v>20877.712549999997</v>
      </c>
      <c r="V1186" s="365">
        <f>IF($Q1186="ekrk",IF($R1186="data",IFERROR(INDEX(data!$A:$ALL,MATCH($M1186,data!$A:$A,0),MATCH(V$2,data!$1:$1,0)),"#data"),IFERROR(U1186*INDEX(indexy_SDcast!$A:$ALI,MATCH($R1186,indexy_SDcast!$K:$K,0),MATCH(V$2,indexy_SDcast!$2:$2,0)),"#ekrk")),"#popis")</f>
        <v>21285.047130451425</v>
      </c>
      <c r="W1186" s="365">
        <f>IF($Q1186="ekrk",IF($R1186="data",IFERROR(INDEX(data!$A:$ALL,MATCH($M1186,data!$A:$A,0),MATCH(W$2,data!$1:$1,0)),"#data"),IFERROR(V1186*INDEX(indexy_SDcast!$A:$ALI,MATCH($R1186,indexy_SDcast!$K:$K,0),MATCH(W$2,indexy_SDcast!$2:$2,0)),"#ekrk")),"#popis")</f>
        <v>21758.569873096709</v>
      </c>
      <c r="X1186" s="365">
        <f>IF($Q1186="ekrk",IF($R1186="data",IFERROR(INDEX(data!$A:$ALL,MATCH($M1186,data!$A:$A,0),MATCH(X$2,data!$1:$1,0)),"#data"),IFERROR(W1186*INDEX(indexy_SDcast!$A:$ALI,MATCH($R1186,indexy_SDcast!$K:$K,0),MATCH(X$2,indexy_SDcast!$2:$2,0)),"#ekrk")),"#popis")</f>
        <v>22296.528175002768</v>
      </c>
      <c r="Y1186" s="362">
        <f>IF($Q1186="ekrk",IF($R1186="data",IFERROR(INDEX(data!$A:$ALL,MATCH($M1186,data!$A:$A,0),MATCH(Y$2,data!$1:$1,0)),"#data"),IFERROR(X1186*INDEX(indexy_SDcast!$A:$ALI,MATCH($R1186,indexy_SDcast!$K:$K,0),MATCH(Y$2,indexy_SDcast!$2:$2,0)),"#ekrk")),"#popis")</f>
        <v>22987.164591550343</v>
      </c>
    </row>
    <row r="1187" spans="1:44" x14ac:dyDescent="0.25">
      <c r="A1187" s="330">
        <v>158005</v>
      </c>
      <c r="B1187" s="329">
        <v>60420.45968</v>
      </c>
      <c r="C1187" s="157"/>
      <c r="D1187" s="330">
        <v>158005</v>
      </c>
      <c r="E1187" s="329">
        <v>60420.45968</v>
      </c>
      <c r="F1187" s="157"/>
      <c r="G1187" s="330">
        <v>158005</v>
      </c>
      <c r="H1187" s="329">
        <v>60420.45968</v>
      </c>
      <c r="I1187" s="157"/>
      <c r="J1187" s="330">
        <v>158005</v>
      </c>
      <c r="K1187" s="329">
        <v>60420.45968</v>
      </c>
      <c r="L1187" s="157"/>
      <c r="M1187" s="360">
        <f t="shared" si="124"/>
        <v>158005</v>
      </c>
      <c r="N1187" s="237">
        <f t="shared" si="125"/>
        <v>60420.45968</v>
      </c>
      <c r="O1187" s="361"/>
      <c r="P1187" s="361"/>
      <c r="Q1187" s="361" t="s">
        <v>698</v>
      </c>
      <c r="R1187" s="362">
        <f>IF(Q1187="ekrk",INDEX(indexy_SDcast!$A:$C,MATCH($M1187,indexy_SDcast!$A:$A,0),2),"")</f>
        <v>7</v>
      </c>
      <c r="S1187" s="236"/>
      <c r="T1187" s="364">
        <f>M1187</f>
        <v>158005</v>
      </c>
      <c r="U1187" s="365">
        <f>N1187</f>
        <v>60420.45968</v>
      </c>
      <c r="V1187" s="365">
        <f>IF($Q1187="ekrk",IF($R1187="data",IFERROR(INDEX(data!$A:$ALL,MATCH($M1187,data!$A:$A,0),MATCH(V$2,data!$1:$1,0)),"#data"),IFERROR(U1187*INDEX(indexy_SDcast!$A:$ALI,MATCH($R1187,indexy_SDcast!$K:$K,0),MATCH(V$2,indexy_SDcast!$2:$2,0)),"#ekrk")),"#popis")</f>
        <v>61599.292971027142</v>
      </c>
      <c r="W1187" s="365">
        <f>IF($Q1187="ekrk",IF($R1187="data",IFERROR(INDEX(data!$A:$ALL,MATCH($M1187,data!$A:$A,0),MATCH(W$2,data!$1:$1,0)),"#data"),IFERROR(V1187*INDEX(indexy_SDcast!$A:$ALI,MATCH($R1187,indexy_SDcast!$K:$K,0),MATCH(W$2,indexy_SDcast!$2:$2,0)),"#ekrk")),"#popis")</f>
        <v>62969.675943349583</v>
      </c>
      <c r="X1187" s="365">
        <f>IF($Q1187="ekrk",IF($R1187="data",IFERROR(INDEX(data!$A:$ALL,MATCH($M1187,data!$A:$A,0),MATCH(X$2,data!$1:$1,0)),"#data"),IFERROR(W1187*INDEX(indexy_SDcast!$A:$ALI,MATCH($R1187,indexy_SDcast!$K:$K,0),MATCH(X$2,indexy_SDcast!$2:$2,0)),"#ekrk")),"#popis")</f>
        <v>64526.536533895283</v>
      </c>
      <c r="Y1187" s="362">
        <f>IF($Q1187="ekrk",IF($R1187="data",IFERROR(INDEX(data!$A:$ALL,MATCH($M1187,data!$A:$A,0),MATCH(Y$2,data!$1:$1,0)),"#data"),IFERROR(X1187*INDEX(indexy_SDcast!$A:$ALI,MATCH($R1187,indexy_SDcast!$K:$K,0),MATCH(Y$2,indexy_SDcast!$2:$2,0)),"#ekrk")),"#popis")</f>
        <v>66525.250217667723</v>
      </c>
    </row>
    <row r="1188" spans="1:44" x14ac:dyDescent="0.25">
      <c r="A1188" s="330" t="s">
        <v>996</v>
      </c>
      <c r="B1188" s="329">
        <v>1762</v>
      </c>
      <c r="C1188" s="157"/>
      <c r="D1188" s="348">
        <v>154005</v>
      </c>
      <c r="E1188" s="329">
        <v>1762</v>
      </c>
      <c r="F1188" s="157"/>
      <c r="G1188" s="330"/>
      <c r="H1188" s="329"/>
      <c r="I1188" s="157"/>
      <c r="J1188" s="330"/>
      <c r="K1188" s="329"/>
      <c r="L1188" s="157"/>
      <c r="M1188" s="360">
        <f t="shared" si="124"/>
        <v>0</v>
      </c>
      <c r="N1188" s="237">
        <f t="shared" si="125"/>
        <v>0</v>
      </c>
      <c r="O1188" s="361"/>
      <c r="P1188" s="361"/>
      <c r="Q1188" s="361"/>
      <c r="R1188" s="362"/>
      <c r="S1188" s="236"/>
      <c r="T1188" s="364"/>
      <c r="U1188" s="365"/>
      <c r="V1188" s="365"/>
      <c r="W1188" s="365"/>
      <c r="X1188" s="365"/>
      <c r="Y1188" s="362"/>
    </row>
    <row r="1189" spans="1:44" s="18" customFormat="1" x14ac:dyDescent="0.25">
      <c r="A1189" s="333" t="s">
        <v>724</v>
      </c>
      <c r="B1189" s="334">
        <v>559164.46111999999</v>
      </c>
      <c r="C1189" s="164"/>
      <c r="D1189" s="333" t="s">
        <v>724</v>
      </c>
      <c r="E1189" s="334">
        <v>559164.46111999999</v>
      </c>
      <c r="F1189" s="164"/>
      <c r="G1189" s="333" t="s">
        <v>724</v>
      </c>
      <c r="H1189" s="334">
        <v>559164.46111999999</v>
      </c>
      <c r="I1189" s="164"/>
      <c r="J1189" s="333" t="s">
        <v>724</v>
      </c>
      <c r="K1189" s="334">
        <v>559164.46111999999</v>
      </c>
      <c r="L1189" s="164"/>
      <c r="M1189" s="358" t="str">
        <f t="shared" si="124"/>
        <v>D61131REC</v>
      </c>
      <c r="N1189" s="239">
        <f t="shared" si="125"/>
        <v>559164.46111999999</v>
      </c>
      <c r="O1189" s="243"/>
      <c r="P1189" s="243">
        <f>MATCH(Q1189,Q1190:Q$1550,0)</f>
        <v>13</v>
      </c>
      <c r="Q1189" s="243" t="s">
        <v>697</v>
      </c>
      <c r="R1189" s="359" t="str">
        <f>IF(Q1189="ekrk",INDEX(indexy_SDcast!$A:$C,MATCH($M1189,indexy_SDcast!$A:$A,0),2),"")</f>
        <v/>
      </c>
      <c r="S1189" s="240"/>
      <c r="T1189" s="363" t="str">
        <f t="shared" ref="T1189:T1220" si="126">M1189</f>
        <v>D61131REC</v>
      </c>
      <c r="U1189" s="244">
        <f>SUM(U1190:U1201)</f>
        <v>559164.46111999999</v>
      </c>
      <c r="V1189" s="244">
        <f>SUM(V1190:V1201)</f>
        <v>196517.17798757978</v>
      </c>
      <c r="W1189" s="244">
        <f>SUM(W1190:W1201)</f>
        <v>206060.87109704275</v>
      </c>
      <c r="X1189" s="244">
        <f>SUM(X1190:X1201)</f>
        <v>216820.37943233794</v>
      </c>
      <c r="Y1189" s="359">
        <f>SUM(Y1190:Y1201)</f>
        <v>229021.17463312083</v>
      </c>
      <c r="Z1189" s="58"/>
      <c r="AA1189" s="58"/>
      <c r="AB1189" s="58"/>
      <c r="AC1189" s="58"/>
      <c r="AD1189" s="58"/>
      <c r="AE1189" s="58"/>
      <c r="AF1189" s="58"/>
      <c r="AG1189" s="58"/>
      <c r="AH1189" s="58"/>
      <c r="AI1189" s="58"/>
      <c r="AJ1189" s="58"/>
      <c r="AK1189" s="58"/>
      <c r="AL1189" s="58"/>
      <c r="AM1189" s="58"/>
      <c r="AN1189" s="58"/>
      <c r="AO1189" s="58"/>
      <c r="AP1189" s="58"/>
      <c r="AQ1189" s="58"/>
      <c r="AR1189" s="58"/>
    </row>
    <row r="1190" spans="1:44" x14ac:dyDescent="0.25">
      <c r="A1190" s="330">
        <v>151002</v>
      </c>
      <c r="B1190" s="329">
        <v>41617.479879999999</v>
      </c>
      <c r="C1190" s="157"/>
      <c r="D1190" s="330">
        <v>151002</v>
      </c>
      <c r="E1190" s="329">
        <v>41617.479879999999</v>
      </c>
      <c r="F1190" s="157"/>
      <c r="G1190" s="330">
        <v>151002</v>
      </c>
      <c r="H1190" s="329">
        <v>41617.479879999999</v>
      </c>
      <c r="I1190" s="157"/>
      <c r="J1190" s="330">
        <v>151002</v>
      </c>
      <c r="K1190" s="329">
        <v>41617.479879999999</v>
      </c>
      <c r="L1190" s="157"/>
      <c r="M1190" s="360">
        <f t="shared" si="124"/>
        <v>151002</v>
      </c>
      <c r="N1190" s="237">
        <f t="shared" si="125"/>
        <v>41617.479879999999</v>
      </c>
      <c r="O1190" s="361"/>
      <c r="P1190" s="361"/>
      <c r="Q1190" s="361" t="s">
        <v>698</v>
      </c>
      <c r="R1190" s="362" t="str">
        <f>IF(Q1190="ekrk",INDEX(indexy_SDcast!$A:$C,MATCH($M1190,indexy_SDcast!$A:$A,0),2),"")</f>
        <v>data</v>
      </c>
      <c r="S1190" s="236"/>
      <c r="T1190" s="364">
        <f t="shared" si="126"/>
        <v>151002</v>
      </c>
      <c r="U1190" s="365">
        <f t="shared" ref="U1190:U1201" si="127">N1190</f>
        <v>41617.479879999999</v>
      </c>
      <c r="V1190" s="365">
        <f>IF($Q1190="ekrk",IF($R1190="data",IFERROR(INDEX(data!$A:$ALL,MATCH($M1190,data!$A:$A,0),MATCH(V$2,data!$1:$1,0)),"#data"),IFERROR(U1190*INDEX(indexy_SDcast!$A:$ALI,MATCH($R1190,indexy_SDcast!$K:$K,0),MATCH(V$2,indexy_SDcast!$2:$2,0)),"#ekrk")),"#popis")</f>
        <v>196517.17798757978</v>
      </c>
      <c r="W1190" s="365">
        <f>IF($Q1190="ekrk",IF($R1190="data",IFERROR(INDEX(data!$A:$ALL,MATCH($M1190,data!$A:$A,0),MATCH(W$2,data!$1:$1,0)),"#data"),IFERROR(V1190*INDEX(indexy_SDcast!$A:$ALI,MATCH($R1190,indexy_SDcast!$K:$K,0),MATCH(W$2,indexy_SDcast!$2:$2,0)),"#ekrk")),"#popis")</f>
        <v>206060.87109704275</v>
      </c>
      <c r="X1190" s="365">
        <f>IF($Q1190="ekrk",IF($R1190="data",IFERROR(INDEX(data!$A:$ALL,MATCH($M1190,data!$A:$A,0),MATCH(X$2,data!$1:$1,0)),"#data"),IFERROR(W1190*INDEX(indexy_SDcast!$A:$ALI,MATCH($R1190,indexy_SDcast!$K:$K,0),MATCH(X$2,indexy_SDcast!$2:$2,0)),"#ekrk")),"#popis")</f>
        <v>216820.37943233794</v>
      </c>
      <c r="Y1190" s="362">
        <f>IF($Q1190="ekrk",IF($R1190="data",IFERROR(INDEX(data!$A:$ALL,MATCH($M1190,data!$A:$A,0),MATCH(Y$2,data!$1:$1,0)),"#data"),IFERROR(X1190*INDEX(indexy_SDcast!$A:$ALI,MATCH($R1190,indexy_SDcast!$K:$K,0),MATCH(Y$2,indexy_SDcast!$2:$2,0)),"#ekrk")),"#popis")</f>
        <v>229021.17463312083</v>
      </c>
    </row>
    <row r="1191" spans="1:44" x14ac:dyDescent="0.25">
      <c r="A1191" s="330">
        <v>151007</v>
      </c>
      <c r="B1191" s="329">
        <v>1605.3005700000001</v>
      </c>
      <c r="C1191" s="157"/>
      <c r="D1191" s="330">
        <v>151007</v>
      </c>
      <c r="E1191" s="329">
        <v>1605.3005700000001</v>
      </c>
      <c r="F1191" s="157"/>
      <c r="G1191" s="330">
        <v>151007</v>
      </c>
      <c r="H1191" s="329">
        <v>1605.3005700000001</v>
      </c>
      <c r="I1191" s="157"/>
      <c r="J1191" s="330">
        <v>151007</v>
      </c>
      <c r="K1191" s="329">
        <v>1605.3005700000001</v>
      </c>
      <c r="L1191" s="157"/>
      <c r="M1191" s="360">
        <f t="shared" si="124"/>
        <v>151007</v>
      </c>
      <c r="N1191" s="237">
        <f t="shared" si="125"/>
        <v>1605.3005700000001</v>
      </c>
      <c r="O1191" s="361"/>
      <c r="P1191" s="361"/>
      <c r="Q1191" s="361" t="s">
        <v>698</v>
      </c>
      <c r="R1191" s="362">
        <v>2</v>
      </c>
      <c r="S1191" s="236"/>
      <c r="T1191" s="364">
        <f t="shared" si="126"/>
        <v>151007</v>
      </c>
      <c r="U1191" s="365">
        <f t="shared" si="127"/>
        <v>1605.3005700000001</v>
      </c>
      <c r="V1191" s="365">
        <f>IF($Q1191="ekrk",IF($R1191="data",IFERROR(INDEX(data!$A:$ALL,MATCH($M1191,data!$A:$A,0),MATCH(V$2,data!$1:$1,0)),"#data"),IFERROR(U1191*INDEX(indexy_SDcast!$A:$ALI,MATCH($R1191,indexy_SDcast!$K:$K,0),MATCH(V$2,indexy_SDcast!$2:$2,0)),"#ekrk")),"#popis")</f>
        <v>0</v>
      </c>
      <c r="W1191" s="365">
        <f>IF($Q1191="ekrk",IF($R1191="data",IFERROR(INDEX(data!$A:$ALL,MATCH($M1191,data!$A:$A,0),MATCH(W$2,data!$1:$1,0)),"#data"),IFERROR(V1191*INDEX(indexy_SDcast!$A:$ALI,MATCH($R1191,indexy_SDcast!$K:$K,0),MATCH(W$2,indexy_SDcast!$2:$2,0)),"#ekrk")),"#popis")</f>
        <v>0</v>
      </c>
      <c r="X1191" s="365">
        <f>IF($Q1191="ekrk",IF($R1191="data",IFERROR(INDEX(data!$A:$ALL,MATCH($M1191,data!$A:$A,0),MATCH(X$2,data!$1:$1,0)),"#data"),IFERROR(W1191*INDEX(indexy_SDcast!$A:$ALI,MATCH($R1191,indexy_SDcast!$K:$K,0),MATCH(X$2,indexy_SDcast!$2:$2,0)),"#ekrk")),"#popis")</f>
        <v>0</v>
      </c>
      <c r="Y1191" s="362">
        <f>IF($Q1191="ekrk",IF($R1191="data",IFERROR(INDEX(data!$A:$ALL,MATCH($M1191,data!$A:$A,0),MATCH(Y$2,data!$1:$1,0)),"#data"),IFERROR(X1191*INDEX(indexy_SDcast!$A:$ALI,MATCH($R1191,indexy_SDcast!$K:$K,0),MATCH(Y$2,indexy_SDcast!$2:$2,0)),"#ekrk")),"#popis")</f>
        <v>0</v>
      </c>
    </row>
    <row r="1192" spans="1:44" x14ac:dyDescent="0.25">
      <c r="A1192" s="330">
        <v>152002</v>
      </c>
      <c r="B1192" s="329">
        <v>147741.34127</v>
      </c>
      <c r="C1192" s="157"/>
      <c r="D1192" s="330">
        <v>152002</v>
      </c>
      <c r="E1192" s="329">
        <v>147741.34127</v>
      </c>
      <c r="F1192" s="157"/>
      <c r="G1192" s="330">
        <v>152002</v>
      </c>
      <c r="H1192" s="329">
        <v>147741.34127</v>
      </c>
      <c r="I1192" s="157"/>
      <c r="J1192" s="330">
        <v>152002</v>
      </c>
      <c r="K1192" s="329">
        <v>147741.34127</v>
      </c>
      <c r="L1192" s="157"/>
      <c r="M1192" s="360">
        <f t="shared" si="124"/>
        <v>152002</v>
      </c>
      <c r="N1192" s="237">
        <f t="shared" si="125"/>
        <v>147741.34127</v>
      </c>
      <c r="O1192" s="361"/>
      <c r="P1192" s="361"/>
      <c r="Q1192" s="361" t="s">
        <v>698</v>
      </c>
      <c r="R1192" s="362">
        <f>IF(Q1192="ekrk",INDEX(indexy_SDcast!$A:$C,MATCH($M1192,indexy_SDcast!$A:$A,0),2),"")</f>
        <v>2</v>
      </c>
      <c r="S1192" s="236"/>
      <c r="T1192" s="364">
        <f t="shared" si="126"/>
        <v>152002</v>
      </c>
      <c r="U1192" s="365">
        <f t="shared" si="127"/>
        <v>147741.34127</v>
      </c>
      <c r="V1192" s="365">
        <f>IF($Q1192="ekrk",IF($R1192="data",IFERROR(INDEX(data!$A:$ALL,MATCH($M1192,data!$A:$A,0),MATCH(V$2,data!$1:$1,0)),"#data"),IFERROR(U1192*INDEX(indexy_SDcast!$A:$ALI,MATCH($R1192,indexy_SDcast!$K:$K,0),MATCH(V$2,indexy_SDcast!$2:$2,0)),"#ekrk")),"#popis")</f>
        <v>0</v>
      </c>
      <c r="W1192" s="365">
        <f>IF($Q1192="ekrk",IF($R1192="data",IFERROR(INDEX(data!$A:$ALL,MATCH($M1192,data!$A:$A,0),MATCH(W$2,data!$1:$1,0)),"#data"),IFERROR(V1192*INDEX(indexy_SDcast!$A:$ALI,MATCH($R1192,indexy_SDcast!$K:$K,0),MATCH(W$2,indexy_SDcast!$2:$2,0)),"#ekrk")),"#popis")</f>
        <v>0</v>
      </c>
      <c r="X1192" s="365">
        <f>IF($Q1192="ekrk",IF($R1192="data",IFERROR(INDEX(data!$A:$ALL,MATCH($M1192,data!$A:$A,0),MATCH(X$2,data!$1:$1,0)),"#data"),IFERROR(W1192*INDEX(indexy_SDcast!$A:$ALI,MATCH($R1192,indexy_SDcast!$K:$K,0),MATCH(X$2,indexy_SDcast!$2:$2,0)),"#ekrk")),"#popis")</f>
        <v>0</v>
      </c>
      <c r="Y1192" s="362">
        <f>IF($Q1192="ekrk",IF($R1192="data",IFERROR(INDEX(data!$A:$ALL,MATCH($M1192,data!$A:$A,0),MATCH(Y$2,data!$1:$1,0)),"#data"),IFERROR(X1192*INDEX(indexy_SDcast!$A:$ALI,MATCH($R1192,indexy_SDcast!$K:$K,0),MATCH(Y$2,indexy_SDcast!$2:$2,0)),"#ekrk")),"#popis")</f>
        <v>0</v>
      </c>
    </row>
    <row r="1193" spans="1:44" x14ac:dyDescent="0.25">
      <c r="A1193" s="330">
        <v>152008</v>
      </c>
      <c r="B1193" s="329">
        <v>19549.14071</v>
      </c>
      <c r="C1193" s="157"/>
      <c r="D1193" s="330">
        <v>152008</v>
      </c>
      <c r="E1193" s="329">
        <v>19549.14071</v>
      </c>
      <c r="F1193" s="157"/>
      <c r="G1193" s="330">
        <v>152008</v>
      </c>
      <c r="H1193" s="329">
        <v>19549.14071</v>
      </c>
      <c r="I1193" s="157"/>
      <c r="J1193" s="330">
        <v>152008</v>
      </c>
      <c r="K1193" s="329">
        <v>19549.14071</v>
      </c>
      <c r="L1193" s="157"/>
      <c r="M1193" s="360">
        <f t="shared" si="124"/>
        <v>152008</v>
      </c>
      <c r="N1193" s="237">
        <f t="shared" si="125"/>
        <v>19549.14071</v>
      </c>
      <c r="O1193" s="361"/>
      <c r="P1193" s="361"/>
      <c r="Q1193" s="361" t="s">
        <v>698</v>
      </c>
      <c r="R1193" s="362">
        <f>IF(Q1193="ekrk",INDEX(indexy_SDcast!$A:$C,MATCH($M1193,indexy_SDcast!$A:$A,0),2),"")</f>
        <v>2</v>
      </c>
      <c r="S1193" s="236"/>
      <c r="T1193" s="364">
        <f t="shared" si="126"/>
        <v>152008</v>
      </c>
      <c r="U1193" s="365">
        <f t="shared" si="127"/>
        <v>19549.14071</v>
      </c>
      <c r="V1193" s="365">
        <f>IF($Q1193="ekrk",IF($R1193="data",IFERROR(INDEX(data!$A:$ALL,MATCH($M1193,data!$A:$A,0),MATCH(V$2,data!$1:$1,0)),"#data"),IFERROR(U1193*INDEX(indexy_SDcast!$A:$ALI,MATCH($R1193,indexy_SDcast!$K:$K,0),MATCH(V$2,indexy_SDcast!$2:$2,0)),"#ekrk")),"#popis")</f>
        <v>0</v>
      </c>
      <c r="W1193" s="365">
        <f>IF($Q1193="ekrk",IF($R1193="data",IFERROR(INDEX(data!$A:$ALL,MATCH($M1193,data!$A:$A,0),MATCH(W$2,data!$1:$1,0)),"#data"),IFERROR(V1193*INDEX(indexy_SDcast!$A:$ALI,MATCH($R1193,indexy_SDcast!$K:$K,0),MATCH(W$2,indexy_SDcast!$2:$2,0)),"#ekrk")),"#popis")</f>
        <v>0</v>
      </c>
      <c r="X1193" s="365">
        <f>IF($Q1193="ekrk",IF($R1193="data",IFERROR(INDEX(data!$A:$ALL,MATCH($M1193,data!$A:$A,0),MATCH(X$2,data!$1:$1,0)),"#data"),IFERROR(W1193*INDEX(indexy_SDcast!$A:$ALI,MATCH($R1193,indexy_SDcast!$K:$K,0),MATCH(X$2,indexy_SDcast!$2:$2,0)),"#ekrk")),"#popis")</f>
        <v>0</v>
      </c>
      <c r="Y1193" s="362">
        <f>IF($Q1193="ekrk",IF($R1193="data",IFERROR(INDEX(data!$A:$ALL,MATCH($M1193,data!$A:$A,0),MATCH(Y$2,data!$1:$1,0)),"#data"),IFERROR(X1193*INDEX(indexy_SDcast!$A:$ALI,MATCH($R1193,indexy_SDcast!$K:$K,0),MATCH(Y$2,indexy_SDcast!$2:$2,0)),"#ekrk")),"#popis")</f>
        <v>0</v>
      </c>
    </row>
    <row r="1194" spans="1:44" x14ac:dyDescent="0.25">
      <c r="A1194" s="330">
        <v>154000</v>
      </c>
      <c r="B1194" s="329">
        <v>85387.648260000002</v>
      </c>
      <c r="C1194" s="157"/>
      <c r="D1194" s="330">
        <v>154000</v>
      </c>
      <c r="E1194" s="329">
        <v>85387.648260000002</v>
      </c>
      <c r="F1194" s="157"/>
      <c r="G1194" s="330">
        <v>154000</v>
      </c>
      <c r="H1194" s="329">
        <v>85387.648260000002</v>
      </c>
      <c r="I1194" s="157"/>
      <c r="J1194" s="330">
        <v>154000</v>
      </c>
      <c r="K1194" s="329">
        <v>85387.648260000002</v>
      </c>
      <c r="L1194" s="157"/>
      <c r="M1194" s="360">
        <f t="shared" si="124"/>
        <v>154000</v>
      </c>
      <c r="N1194" s="237">
        <f t="shared" si="125"/>
        <v>85387.648260000002</v>
      </c>
      <c r="O1194" s="361"/>
      <c r="P1194" s="361"/>
      <c r="Q1194" s="361" t="s">
        <v>698</v>
      </c>
      <c r="R1194" s="362">
        <f>IF(Q1194="ekrk",INDEX(indexy_SDcast!$A:$C,MATCH($M1194,indexy_SDcast!$A:$A,0),2),"")</f>
        <v>2</v>
      </c>
      <c r="S1194" s="236"/>
      <c r="T1194" s="364">
        <f t="shared" si="126"/>
        <v>154000</v>
      </c>
      <c r="U1194" s="365">
        <f t="shared" si="127"/>
        <v>85387.648260000002</v>
      </c>
      <c r="V1194" s="365">
        <f>IF($Q1194="ekrk",IF($R1194="data",IFERROR(INDEX(data!$A:$ALL,MATCH($M1194,data!$A:$A,0),MATCH(V$2,data!$1:$1,0)),"#data"),IFERROR(U1194*INDEX(indexy_SDcast!$A:$ALI,MATCH($R1194,indexy_SDcast!$K:$K,0),MATCH(V$2,indexy_SDcast!$2:$2,0)),"#ekrk")),"#popis")</f>
        <v>0</v>
      </c>
      <c r="W1194" s="365">
        <f>IF($Q1194="ekrk",IF($R1194="data",IFERROR(INDEX(data!$A:$ALL,MATCH($M1194,data!$A:$A,0),MATCH(W$2,data!$1:$1,0)),"#data"),IFERROR(V1194*INDEX(indexy_SDcast!$A:$ALI,MATCH($R1194,indexy_SDcast!$K:$K,0),MATCH(W$2,indexy_SDcast!$2:$2,0)),"#ekrk")),"#popis")</f>
        <v>0</v>
      </c>
      <c r="X1194" s="365">
        <f>IF($Q1194="ekrk",IF($R1194="data",IFERROR(INDEX(data!$A:$ALL,MATCH($M1194,data!$A:$A,0),MATCH(X$2,data!$1:$1,0)),"#data"),IFERROR(W1194*INDEX(indexy_SDcast!$A:$ALI,MATCH($R1194,indexy_SDcast!$K:$K,0),MATCH(X$2,indexy_SDcast!$2:$2,0)),"#ekrk")),"#popis")</f>
        <v>0</v>
      </c>
      <c r="Y1194" s="362">
        <f>IF($Q1194="ekrk",IF($R1194="data",IFERROR(INDEX(data!$A:$ALL,MATCH($M1194,data!$A:$A,0),MATCH(Y$2,data!$1:$1,0)),"#data"),IFERROR(X1194*INDEX(indexy_SDcast!$A:$ALI,MATCH($R1194,indexy_SDcast!$K:$K,0),MATCH(Y$2,indexy_SDcast!$2:$2,0)),"#ekrk")),"#popis")</f>
        <v>0</v>
      </c>
    </row>
    <row r="1195" spans="1:44" x14ac:dyDescent="0.25">
      <c r="A1195" s="330">
        <v>154002</v>
      </c>
      <c r="B1195" s="329">
        <v>110702.46577</v>
      </c>
      <c r="C1195" s="157"/>
      <c r="D1195" s="330">
        <v>154002</v>
      </c>
      <c r="E1195" s="329">
        <v>110702.46577</v>
      </c>
      <c r="F1195" s="157"/>
      <c r="G1195" s="330">
        <v>154002</v>
      </c>
      <c r="H1195" s="329">
        <v>110702.46577</v>
      </c>
      <c r="I1195" s="157"/>
      <c r="J1195" s="330">
        <v>154002</v>
      </c>
      <c r="K1195" s="329">
        <v>110702.46577</v>
      </c>
      <c r="L1195" s="157"/>
      <c r="M1195" s="360">
        <f t="shared" si="124"/>
        <v>154002</v>
      </c>
      <c r="N1195" s="237">
        <f t="shared" si="125"/>
        <v>110702.46577</v>
      </c>
      <c r="O1195" s="361"/>
      <c r="P1195" s="361"/>
      <c r="Q1195" s="361" t="s">
        <v>698</v>
      </c>
      <c r="R1195" s="362">
        <f>IF(Q1195="ekrk",INDEX(indexy_SDcast!$A:$C,MATCH($M1195,indexy_SDcast!$A:$A,0),2),"")</f>
        <v>2</v>
      </c>
      <c r="S1195" s="236"/>
      <c r="T1195" s="364">
        <f t="shared" si="126"/>
        <v>154002</v>
      </c>
      <c r="U1195" s="365">
        <f t="shared" si="127"/>
        <v>110702.46577</v>
      </c>
      <c r="V1195" s="365">
        <f>IF($Q1195="ekrk",IF($R1195="data",IFERROR(INDEX(data!$A:$ALL,MATCH($M1195,data!$A:$A,0),MATCH(V$2,data!$1:$1,0)),"#data"),IFERROR(U1195*INDEX(indexy_SDcast!$A:$ALI,MATCH($R1195,indexy_SDcast!$K:$K,0),MATCH(V$2,indexy_SDcast!$2:$2,0)),"#ekrk")),"#popis")</f>
        <v>0</v>
      </c>
      <c r="W1195" s="365">
        <f>IF($Q1195="ekrk",IF($R1195="data",IFERROR(INDEX(data!$A:$ALL,MATCH($M1195,data!$A:$A,0),MATCH(W$2,data!$1:$1,0)),"#data"),IFERROR(V1195*INDEX(indexy_SDcast!$A:$ALI,MATCH($R1195,indexy_SDcast!$K:$K,0),MATCH(W$2,indexy_SDcast!$2:$2,0)),"#ekrk")),"#popis")</f>
        <v>0</v>
      </c>
      <c r="X1195" s="365">
        <f>IF($Q1195="ekrk",IF($R1195="data",IFERROR(INDEX(data!$A:$ALL,MATCH($M1195,data!$A:$A,0),MATCH(X$2,data!$1:$1,0)),"#data"),IFERROR(W1195*INDEX(indexy_SDcast!$A:$ALI,MATCH($R1195,indexy_SDcast!$K:$K,0),MATCH(X$2,indexy_SDcast!$2:$2,0)),"#ekrk")),"#popis")</f>
        <v>0</v>
      </c>
      <c r="Y1195" s="362">
        <f>IF($Q1195="ekrk",IF($R1195="data",IFERROR(INDEX(data!$A:$ALL,MATCH($M1195,data!$A:$A,0),MATCH(Y$2,data!$1:$1,0)),"#data"),IFERROR(X1195*INDEX(indexy_SDcast!$A:$ALI,MATCH($R1195,indexy_SDcast!$K:$K,0),MATCH(Y$2,indexy_SDcast!$2:$2,0)),"#ekrk")),"#popis")</f>
        <v>0</v>
      </c>
    </row>
    <row r="1196" spans="1:44" x14ac:dyDescent="0.25">
      <c r="A1196" s="330">
        <v>154009</v>
      </c>
      <c r="B1196" s="329">
        <v>47123.699390000002</v>
      </c>
      <c r="C1196" s="157"/>
      <c r="D1196" s="330">
        <v>154009</v>
      </c>
      <c r="E1196" s="329">
        <v>47123.699390000002</v>
      </c>
      <c r="F1196" s="157"/>
      <c r="G1196" s="330">
        <v>154009</v>
      </c>
      <c r="H1196" s="329">
        <v>47123.699390000002</v>
      </c>
      <c r="I1196" s="157"/>
      <c r="J1196" s="330">
        <v>154009</v>
      </c>
      <c r="K1196" s="329">
        <v>47123.699390000002</v>
      </c>
      <c r="L1196" s="157"/>
      <c r="M1196" s="360">
        <f t="shared" si="124"/>
        <v>154009</v>
      </c>
      <c r="N1196" s="237">
        <f t="shared" si="125"/>
        <v>47123.699390000002</v>
      </c>
      <c r="O1196" s="361"/>
      <c r="P1196" s="361"/>
      <c r="Q1196" s="361" t="s">
        <v>698</v>
      </c>
      <c r="R1196" s="362">
        <f>IF(Q1196="ekrk",INDEX(indexy_SDcast!$A:$C,MATCH($M1196,indexy_SDcast!$A:$A,0),2),"")</f>
        <v>2</v>
      </c>
      <c r="S1196" s="236"/>
      <c r="T1196" s="364">
        <f t="shared" si="126"/>
        <v>154009</v>
      </c>
      <c r="U1196" s="365">
        <f t="shared" si="127"/>
        <v>47123.699390000002</v>
      </c>
      <c r="V1196" s="365">
        <f>IF($Q1196="ekrk",IF($R1196="data",IFERROR(INDEX(data!$A:$ALL,MATCH($M1196,data!$A:$A,0),MATCH(V$2,data!$1:$1,0)),"#data"),IFERROR(U1196*INDEX(indexy_SDcast!$A:$ALI,MATCH($R1196,indexy_SDcast!$K:$K,0),MATCH(V$2,indexy_SDcast!$2:$2,0)),"#ekrk")),"#popis")</f>
        <v>0</v>
      </c>
      <c r="W1196" s="365">
        <f>IF($Q1196="ekrk",IF($R1196="data",IFERROR(INDEX(data!$A:$ALL,MATCH($M1196,data!$A:$A,0),MATCH(W$2,data!$1:$1,0)),"#data"),IFERROR(V1196*INDEX(indexy_SDcast!$A:$ALI,MATCH($R1196,indexy_SDcast!$K:$K,0),MATCH(W$2,indexy_SDcast!$2:$2,0)),"#ekrk")),"#popis")</f>
        <v>0</v>
      </c>
      <c r="X1196" s="365">
        <f>IF($Q1196="ekrk",IF($R1196="data",IFERROR(INDEX(data!$A:$ALL,MATCH($M1196,data!$A:$A,0),MATCH(X$2,data!$1:$1,0)),"#data"),IFERROR(W1196*INDEX(indexy_SDcast!$A:$ALI,MATCH($R1196,indexy_SDcast!$K:$K,0),MATCH(X$2,indexy_SDcast!$2:$2,0)),"#ekrk")),"#popis")</f>
        <v>0</v>
      </c>
      <c r="Y1196" s="362">
        <f>IF($Q1196="ekrk",IF($R1196="data",IFERROR(INDEX(data!$A:$ALL,MATCH($M1196,data!$A:$A,0),MATCH(Y$2,data!$1:$1,0)),"#data"),IFERROR(X1196*INDEX(indexy_SDcast!$A:$ALI,MATCH($R1196,indexy_SDcast!$K:$K,0),MATCH(Y$2,indexy_SDcast!$2:$2,0)),"#ekrk")),"#popis")</f>
        <v>0</v>
      </c>
    </row>
    <row r="1197" spans="1:44" x14ac:dyDescent="0.25">
      <c r="A1197" s="330">
        <v>154011</v>
      </c>
      <c r="B1197" s="329">
        <v>3492.4168799999998</v>
      </c>
      <c r="C1197" s="157"/>
      <c r="D1197" s="330">
        <v>154011</v>
      </c>
      <c r="E1197" s="329">
        <v>3492.4168799999998</v>
      </c>
      <c r="F1197" s="157"/>
      <c r="G1197" s="330">
        <v>154011</v>
      </c>
      <c r="H1197" s="329">
        <v>3492.4168799999998</v>
      </c>
      <c r="I1197" s="157"/>
      <c r="J1197" s="330">
        <v>154011</v>
      </c>
      <c r="K1197" s="329">
        <v>3492.4168799999998</v>
      </c>
      <c r="L1197" s="157"/>
      <c r="M1197" s="360">
        <f t="shared" si="124"/>
        <v>154011</v>
      </c>
      <c r="N1197" s="237">
        <f t="shared" si="125"/>
        <v>3492.4168799999998</v>
      </c>
      <c r="O1197" s="361"/>
      <c r="P1197" s="361"/>
      <c r="Q1197" s="361" t="s">
        <v>698</v>
      </c>
      <c r="R1197" s="362">
        <v>2</v>
      </c>
      <c r="S1197" s="236"/>
      <c r="T1197" s="364">
        <f t="shared" si="126"/>
        <v>154011</v>
      </c>
      <c r="U1197" s="365">
        <f t="shared" si="127"/>
        <v>3492.4168799999998</v>
      </c>
      <c r="V1197" s="365">
        <f>IF($Q1197="ekrk",IF($R1197="data",IFERROR(INDEX(data!$A:$ALL,MATCH($M1197,data!$A:$A,0),MATCH(V$2,data!$1:$1,0)),"#data"),IFERROR(U1197*INDEX(indexy_SDcast!$A:$ALI,MATCH($R1197,indexy_SDcast!$K:$K,0),MATCH(V$2,indexy_SDcast!$2:$2,0)),"#ekrk")),"#popis")</f>
        <v>0</v>
      </c>
      <c r="W1197" s="365">
        <f>IF($Q1197="ekrk",IF($R1197="data",IFERROR(INDEX(data!$A:$ALL,MATCH($M1197,data!$A:$A,0),MATCH(W$2,data!$1:$1,0)),"#data"),IFERROR(V1197*INDEX(indexy_SDcast!$A:$ALI,MATCH($R1197,indexy_SDcast!$K:$K,0),MATCH(W$2,indexy_SDcast!$2:$2,0)),"#ekrk")),"#popis")</f>
        <v>0</v>
      </c>
      <c r="X1197" s="365">
        <f>IF($Q1197="ekrk",IF($R1197="data",IFERROR(INDEX(data!$A:$ALL,MATCH($M1197,data!$A:$A,0),MATCH(X$2,data!$1:$1,0)),"#data"),IFERROR(W1197*INDEX(indexy_SDcast!$A:$ALI,MATCH($R1197,indexy_SDcast!$K:$K,0),MATCH(X$2,indexy_SDcast!$2:$2,0)),"#ekrk")),"#popis")</f>
        <v>0</v>
      </c>
      <c r="Y1197" s="362">
        <f>IF($Q1197="ekrk",IF($R1197="data",IFERROR(INDEX(data!$A:$ALL,MATCH($M1197,data!$A:$A,0),MATCH(Y$2,data!$1:$1,0)),"#data"),IFERROR(X1197*INDEX(indexy_SDcast!$A:$ALI,MATCH($R1197,indexy_SDcast!$K:$K,0),MATCH(Y$2,indexy_SDcast!$2:$2,0)),"#ekrk")),"#popis")</f>
        <v>0</v>
      </c>
    </row>
    <row r="1198" spans="1:44" x14ac:dyDescent="0.25">
      <c r="A1198" s="330">
        <v>157002</v>
      </c>
      <c r="B1198" s="329">
        <v>45157.767940000005</v>
      </c>
      <c r="C1198" s="157"/>
      <c r="D1198" s="330">
        <v>157002</v>
      </c>
      <c r="E1198" s="329">
        <v>45157.767940000005</v>
      </c>
      <c r="F1198" s="157"/>
      <c r="G1198" s="330">
        <v>157002</v>
      </c>
      <c r="H1198" s="329">
        <v>45157.767940000005</v>
      </c>
      <c r="I1198" s="157"/>
      <c r="J1198" s="330">
        <v>157002</v>
      </c>
      <c r="K1198" s="329">
        <v>45157.767940000005</v>
      </c>
      <c r="L1198" s="157"/>
      <c r="M1198" s="360">
        <f t="shared" si="124"/>
        <v>157002</v>
      </c>
      <c r="N1198" s="237">
        <f t="shared" si="125"/>
        <v>45157.767940000005</v>
      </c>
      <c r="O1198" s="361"/>
      <c r="P1198" s="361"/>
      <c r="Q1198" s="361" t="s">
        <v>698</v>
      </c>
      <c r="R1198" s="362">
        <f>IF(Q1198="ekrk",INDEX(indexy_SDcast!$A:$C,MATCH($M1198,indexy_SDcast!$A:$A,0),2),"")</f>
        <v>2</v>
      </c>
      <c r="S1198" s="236"/>
      <c r="T1198" s="364">
        <f t="shared" si="126"/>
        <v>157002</v>
      </c>
      <c r="U1198" s="365">
        <f t="shared" si="127"/>
        <v>45157.767940000005</v>
      </c>
      <c r="V1198" s="365">
        <f>IF($Q1198="ekrk",IF($R1198="data",IFERROR(INDEX(data!$A:$ALL,MATCH($M1198,data!$A:$A,0),MATCH(V$2,data!$1:$1,0)),"#data"),IFERROR(U1198*INDEX(indexy_SDcast!$A:$ALI,MATCH($R1198,indexy_SDcast!$K:$K,0),MATCH(V$2,indexy_SDcast!$2:$2,0)),"#ekrk")),"#popis")</f>
        <v>0</v>
      </c>
      <c r="W1198" s="365">
        <f>IF($Q1198="ekrk",IF($R1198="data",IFERROR(INDEX(data!$A:$ALL,MATCH($M1198,data!$A:$A,0),MATCH(W$2,data!$1:$1,0)),"#data"),IFERROR(V1198*INDEX(indexy_SDcast!$A:$ALI,MATCH($R1198,indexy_SDcast!$K:$K,0),MATCH(W$2,indexy_SDcast!$2:$2,0)),"#ekrk")),"#popis")</f>
        <v>0</v>
      </c>
      <c r="X1198" s="365">
        <f>IF($Q1198="ekrk",IF($R1198="data",IFERROR(INDEX(data!$A:$ALL,MATCH($M1198,data!$A:$A,0),MATCH(X$2,data!$1:$1,0)),"#data"),IFERROR(W1198*INDEX(indexy_SDcast!$A:$ALI,MATCH($R1198,indexy_SDcast!$K:$K,0),MATCH(X$2,indexy_SDcast!$2:$2,0)),"#ekrk")),"#popis")</f>
        <v>0</v>
      </c>
      <c r="Y1198" s="362">
        <f>IF($Q1198="ekrk",IF($R1198="data",IFERROR(INDEX(data!$A:$ALL,MATCH($M1198,data!$A:$A,0),MATCH(Y$2,data!$1:$1,0)),"#data"),IFERROR(X1198*INDEX(indexy_SDcast!$A:$ALI,MATCH($R1198,indexy_SDcast!$K:$K,0),MATCH(Y$2,indexy_SDcast!$2:$2,0)),"#ekrk")),"#popis")</f>
        <v>0</v>
      </c>
    </row>
    <row r="1199" spans="1:44" x14ac:dyDescent="0.25">
      <c r="A1199" s="330">
        <v>157004</v>
      </c>
      <c r="B1199" s="329">
        <v>1674.3124000000003</v>
      </c>
      <c r="C1199" s="157"/>
      <c r="D1199" s="330">
        <v>157004</v>
      </c>
      <c r="E1199" s="329">
        <v>1674.3124000000003</v>
      </c>
      <c r="F1199" s="157"/>
      <c r="G1199" s="330">
        <v>157004</v>
      </c>
      <c r="H1199" s="329">
        <v>1674.3124000000003</v>
      </c>
      <c r="I1199" s="157"/>
      <c r="J1199" s="330">
        <v>157004</v>
      </c>
      <c r="K1199" s="329">
        <v>1674.3124000000003</v>
      </c>
      <c r="L1199" s="157"/>
      <c r="M1199" s="360">
        <f t="shared" si="124"/>
        <v>157004</v>
      </c>
      <c r="N1199" s="237">
        <f t="shared" si="125"/>
        <v>1674.3124000000003</v>
      </c>
      <c r="O1199" s="361"/>
      <c r="P1199" s="361"/>
      <c r="Q1199" s="361" t="s">
        <v>698</v>
      </c>
      <c r="R1199" s="362">
        <f>IF(Q1199="ekrk",INDEX(indexy_SDcast!$A:$C,MATCH($M1199,indexy_SDcast!$A:$A,0),2),"")</f>
        <v>2</v>
      </c>
      <c r="S1199" s="236"/>
      <c r="T1199" s="364">
        <f t="shared" si="126"/>
        <v>157004</v>
      </c>
      <c r="U1199" s="365">
        <f t="shared" si="127"/>
        <v>1674.3124000000003</v>
      </c>
      <c r="V1199" s="365">
        <f>IF($Q1199="ekrk",IF($R1199="data",IFERROR(INDEX(data!$A:$ALL,MATCH($M1199,data!$A:$A,0),MATCH(V$2,data!$1:$1,0)),"#data"),IFERROR(U1199*INDEX(indexy_SDcast!$A:$ALI,MATCH($R1199,indexy_SDcast!$K:$K,0),MATCH(V$2,indexy_SDcast!$2:$2,0)),"#ekrk")),"#popis")</f>
        <v>0</v>
      </c>
      <c r="W1199" s="365">
        <f>IF($Q1199="ekrk",IF($R1199="data",IFERROR(INDEX(data!$A:$ALL,MATCH($M1199,data!$A:$A,0),MATCH(W$2,data!$1:$1,0)),"#data"),IFERROR(V1199*INDEX(indexy_SDcast!$A:$ALI,MATCH($R1199,indexy_SDcast!$K:$K,0),MATCH(W$2,indexy_SDcast!$2:$2,0)),"#ekrk")),"#popis")</f>
        <v>0</v>
      </c>
      <c r="X1199" s="365">
        <f>IF($Q1199="ekrk",IF($R1199="data",IFERROR(INDEX(data!$A:$ALL,MATCH($M1199,data!$A:$A,0),MATCH(X$2,data!$1:$1,0)),"#data"),IFERROR(W1199*INDEX(indexy_SDcast!$A:$ALI,MATCH($R1199,indexy_SDcast!$K:$K,0),MATCH(X$2,indexy_SDcast!$2:$2,0)),"#ekrk")),"#popis")</f>
        <v>0</v>
      </c>
      <c r="Y1199" s="362">
        <f>IF($Q1199="ekrk",IF($R1199="data",IFERROR(INDEX(data!$A:$ALL,MATCH($M1199,data!$A:$A,0),MATCH(Y$2,data!$1:$1,0)),"#data"),IFERROR(X1199*INDEX(indexy_SDcast!$A:$ALI,MATCH($R1199,indexy_SDcast!$K:$K,0),MATCH(Y$2,indexy_SDcast!$2:$2,0)),"#ekrk")),"#popis")</f>
        <v>0</v>
      </c>
    </row>
    <row r="1200" spans="1:44" x14ac:dyDescent="0.25">
      <c r="A1200" s="330">
        <v>158003</v>
      </c>
      <c r="B1200" s="329">
        <v>53152.025419999998</v>
      </c>
      <c r="C1200" s="157"/>
      <c r="D1200" s="330">
        <v>158003</v>
      </c>
      <c r="E1200" s="329">
        <v>53152.025419999998</v>
      </c>
      <c r="F1200" s="157"/>
      <c r="G1200" s="330">
        <v>158003</v>
      </c>
      <c r="H1200" s="329">
        <v>53152.025419999998</v>
      </c>
      <c r="I1200" s="157"/>
      <c r="J1200" s="330">
        <v>158003</v>
      </c>
      <c r="K1200" s="329">
        <v>53152.025419999998</v>
      </c>
      <c r="L1200" s="157"/>
      <c r="M1200" s="360">
        <f t="shared" si="124"/>
        <v>158003</v>
      </c>
      <c r="N1200" s="237">
        <f t="shared" si="125"/>
        <v>53152.025419999998</v>
      </c>
      <c r="O1200" s="361"/>
      <c r="P1200" s="361"/>
      <c r="Q1200" s="361" t="s">
        <v>698</v>
      </c>
      <c r="R1200" s="362">
        <f>IF(Q1200="ekrk",INDEX(indexy_SDcast!$A:$C,MATCH($M1200,indexy_SDcast!$A:$A,0),2),"")</f>
        <v>2</v>
      </c>
      <c r="S1200" s="236"/>
      <c r="T1200" s="364">
        <f t="shared" si="126"/>
        <v>158003</v>
      </c>
      <c r="U1200" s="365">
        <f t="shared" si="127"/>
        <v>53152.025419999998</v>
      </c>
      <c r="V1200" s="365">
        <f>IF($Q1200="ekrk",IF($R1200="data",IFERROR(INDEX(data!$A:$ALL,MATCH($M1200,data!$A:$A,0),MATCH(V$2,data!$1:$1,0)),"#data"),IFERROR(U1200*INDEX(indexy_SDcast!$A:$ALI,MATCH($R1200,indexy_SDcast!$K:$K,0),MATCH(V$2,indexy_SDcast!$2:$2,0)),"#ekrk")),"#popis")</f>
        <v>0</v>
      </c>
      <c r="W1200" s="365">
        <f>IF($Q1200="ekrk",IF($R1200="data",IFERROR(INDEX(data!$A:$ALL,MATCH($M1200,data!$A:$A,0),MATCH(W$2,data!$1:$1,0)),"#data"),IFERROR(V1200*INDEX(indexy_SDcast!$A:$ALI,MATCH($R1200,indexy_SDcast!$K:$K,0),MATCH(W$2,indexy_SDcast!$2:$2,0)),"#ekrk")),"#popis")</f>
        <v>0</v>
      </c>
      <c r="X1200" s="365">
        <f>IF($Q1200="ekrk",IF($R1200="data",IFERROR(INDEX(data!$A:$ALL,MATCH($M1200,data!$A:$A,0),MATCH(X$2,data!$1:$1,0)),"#data"),IFERROR(W1200*INDEX(indexy_SDcast!$A:$ALI,MATCH($R1200,indexy_SDcast!$K:$K,0),MATCH(X$2,indexy_SDcast!$2:$2,0)),"#ekrk")),"#popis")</f>
        <v>0</v>
      </c>
      <c r="Y1200" s="362">
        <f>IF($Q1200="ekrk",IF($R1200="data",IFERROR(INDEX(data!$A:$ALL,MATCH($M1200,data!$A:$A,0),MATCH(Y$2,data!$1:$1,0)),"#data"),IFERROR(X1200*INDEX(indexy_SDcast!$A:$ALI,MATCH($R1200,indexy_SDcast!$K:$K,0),MATCH(Y$2,indexy_SDcast!$2:$2,0)),"#ekrk")),"#popis")</f>
        <v>0</v>
      </c>
    </row>
    <row r="1201" spans="1:44" x14ac:dyDescent="0.25">
      <c r="A1201" s="330">
        <v>158006</v>
      </c>
      <c r="B1201" s="329">
        <v>1960.8626299999999</v>
      </c>
      <c r="C1201" s="157"/>
      <c r="D1201" s="330">
        <v>158006</v>
      </c>
      <c r="E1201" s="329">
        <v>1960.8626299999999</v>
      </c>
      <c r="F1201" s="157"/>
      <c r="G1201" s="330">
        <v>158006</v>
      </c>
      <c r="H1201" s="329">
        <v>1960.8626299999999</v>
      </c>
      <c r="I1201" s="157"/>
      <c r="J1201" s="330">
        <v>158006</v>
      </c>
      <c r="K1201" s="329">
        <v>1960.8626299999999</v>
      </c>
      <c r="L1201" s="157"/>
      <c r="M1201" s="360">
        <f t="shared" si="124"/>
        <v>158006</v>
      </c>
      <c r="N1201" s="237">
        <f t="shared" si="125"/>
        <v>1960.8626299999999</v>
      </c>
      <c r="O1201" s="361"/>
      <c r="P1201" s="361"/>
      <c r="Q1201" s="361" t="s">
        <v>698</v>
      </c>
      <c r="R1201" s="362">
        <f>IF(Q1201="ekrk",INDEX(indexy_SDcast!$A:$C,MATCH($M1201,indexy_SDcast!$A:$A,0),2),"")</f>
        <v>2</v>
      </c>
      <c r="S1201" s="236"/>
      <c r="T1201" s="364">
        <f t="shared" si="126"/>
        <v>158006</v>
      </c>
      <c r="U1201" s="365">
        <f t="shared" si="127"/>
        <v>1960.8626299999999</v>
      </c>
      <c r="V1201" s="365">
        <f>IF($Q1201="ekrk",IF($R1201="data",IFERROR(INDEX(data!$A:$ALL,MATCH($M1201,data!$A:$A,0),MATCH(V$2,data!$1:$1,0)),"#data"),IFERROR(U1201*INDEX(indexy_SDcast!$A:$ALI,MATCH($R1201,indexy_SDcast!$K:$K,0),MATCH(V$2,indexy_SDcast!$2:$2,0)),"#ekrk")),"#popis")</f>
        <v>0</v>
      </c>
      <c r="W1201" s="365">
        <f>IF($Q1201="ekrk",IF($R1201="data",IFERROR(INDEX(data!$A:$ALL,MATCH($M1201,data!$A:$A,0),MATCH(W$2,data!$1:$1,0)),"#data"),IFERROR(V1201*INDEX(indexy_SDcast!$A:$ALI,MATCH($R1201,indexy_SDcast!$K:$K,0),MATCH(W$2,indexy_SDcast!$2:$2,0)),"#ekrk")),"#popis")</f>
        <v>0</v>
      </c>
      <c r="X1201" s="365">
        <f>IF($Q1201="ekrk",IF($R1201="data",IFERROR(INDEX(data!$A:$ALL,MATCH($M1201,data!$A:$A,0),MATCH(X$2,data!$1:$1,0)),"#data"),IFERROR(W1201*INDEX(indexy_SDcast!$A:$ALI,MATCH($R1201,indexy_SDcast!$K:$K,0),MATCH(X$2,indexy_SDcast!$2:$2,0)),"#ekrk")),"#popis")</f>
        <v>0</v>
      </c>
      <c r="Y1201" s="362">
        <f>IF($Q1201="ekrk",IF($R1201="data",IFERROR(INDEX(data!$A:$ALL,MATCH($M1201,data!$A:$A,0),MATCH(Y$2,data!$1:$1,0)),"#data"),IFERROR(X1201*INDEX(indexy_SDcast!$A:$ALI,MATCH($R1201,indexy_SDcast!$K:$K,0),MATCH(Y$2,indexy_SDcast!$2:$2,0)),"#ekrk")),"#popis")</f>
        <v>0</v>
      </c>
    </row>
    <row r="1202" spans="1:44" s="18" customFormat="1" x14ac:dyDescent="0.25">
      <c r="A1202" s="333" t="s">
        <v>725</v>
      </c>
      <c r="B1202" s="334">
        <v>17215.931280000001</v>
      </c>
      <c r="C1202" s="164"/>
      <c r="D1202" s="333" t="s">
        <v>725</v>
      </c>
      <c r="E1202" s="334">
        <v>17215.931280000001</v>
      </c>
      <c r="F1202" s="164"/>
      <c r="G1202" s="333" t="s">
        <v>725</v>
      </c>
      <c r="H1202" s="334">
        <v>17215.931280000001</v>
      </c>
      <c r="I1202" s="164"/>
      <c r="J1202" s="333" t="s">
        <v>725</v>
      </c>
      <c r="K1202" s="334">
        <v>17215.931280000001</v>
      </c>
      <c r="L1202" s="164"/>
      <c r="M1202" s="358" t="str">
        <f t="shared" si="124"/>
        <v>D61132REC</v>
      </c>
      <c r="N1202" s="239">
        <f t="shared" si="125"/>
        <v>17215.931280000001</v>
      </c>
      <c r="O1202" s="243"/>
      <c r="P1202" s="243">
        <f>MATCH(Q1202,Q1203:Q$1550,0)</f>
        <v>12</v>
      </c>
      <c r="Q1202" s="243" t="s">
        <v>697</v>
      </c>
      <c r="R1202" s="359" t="str">
        <f>IF(Q1202="ekrk",INDEX(indexy_SDcast!$A:$C,MATCH($M1202,indexy_SDcast!$A:$A,0),2),"")</f>
        <v/>
      </c>
      <c r="S1202" s="240"/>
      <c r="T1202" s="363" t="str">
        <f t="shared" si="126"/>
        <v>D61132REC</v>
      </c>
      <c r="U1202" s="244">
        <f>SUM(U1203:U1213)</f>
        <v>17215.931280000001</v>
      </c>
      <c r="V1202" s="244">
        <f>SUM(V1203:V1213)</f>
        <v>0</v>
      </c>
      <c r="W1202" s="244">
        <f>SUM(W1203:W1213)</f>
        <v>0</v>
      </c>
      <c r="X1202" s="244">
        <f>SUM(X1203:X1213)</f>
        <v>0</v>
      </c>
      <c r="Y1202" s="359">
        <f>SUM(Y1203:Y1213)</f>
        <v>0</v>
      </c>
      <c r="Z1202" s="58"/>
      <c r="AA1202" s="58"/>
      <c r="AB1202" s="58"/>
      <c r="AC1202" s="58"/>
      <c r="AD1202" s="58"/>
      <c r="AE1202" s="58"/>
      <c r="AF1202" s="58"/>
      <c r="AG1202" s="58"/>
      <c r="AH1202" s="58"/>
      <c r="AI1202" s="58"/>
      <c r="AJ1202" s="58"/>
      <c r="AK1202" s="58"/>
      <c r="AL1202" s="58"/>
      <c r="AM1202" s="58"/>
      <c r="AN1202" s="58"/>
      <c r="AO1202" s="58"/>
      <c r="AP1202" s="58"/>
      <c r="AQ1202" s="58"/>
      <c r="AR1202" s="58"/>
    </row>
    <row r="1203" spans="1:44" x14ac:dyDescent="0.25">
      <c r="A1203" s="330">
        <v>151007</v>
      </c>
      <c r="B1203" s="329">
        <v>36.673379999999995</v>
      </c>
      <c r="C1203" s="157"/>
      <c r="D1203" s="330">
        <v>151007</v>
      </c>
      <c r="E1203" s="329">
        <v>36.673379999999995</v>
      </c>
      <c r="F1203" s="157"/>
      <c r="G1203" s="330">
        <v>151007</v>
      </c>
      <c r="H1203" s="329">
        <v>36.673379999999995</v>
      </c>
      <c r="I1203" s="157"/>
      <c r="J1203" s="330">
        <v>151007</v>
      </c>
      <c r="K1203" s="329">
        <v>36.673379999999995</v>
      </c>
      <c r="L1203" s="157"/>
      <c r="M1203" s="360">
        <f t="shared" si="124"/>
        <v>151007</v>
      </c>
      <c r="N1203" s="237">
        <f t="shared" si="125"/>
        <v>36.673379999999995</v>
      </c>
      <c r="O1203" s="361"/>
      <c r="P1203" s="361"/>
      <c r="Q1203" s="361" t="s">
        <v>698</v>
      </c>
      <c r="R1203" s="362">
        <v>2</v>
      </c>
      <c r="S1203" s="236"/>
      <c r="T1203" s="364">
        <f t="shared" si="126"/>
        <v>151007</v>
      </c>
      <c r="U1203" s="365">
        <f t="shared" ref="U1203:U1213" si="128">N1203</f>
        <v>36.673379999999995</v>
      </c>
      <c r="V1203" s="365">
        <f>IF($Q1203="ekrk",IF($R1203="data",IFERROR(INDEX(data!$A:$ALL,MATCH($M1203,data!$A:$A,0),MATCH(V$2,data!$1:$1,0)),"#data"),IFERROR(U1203*INDEX(indexy_SDcast!$A:$ALI,MATCH($R1203,indexy_SDcast!$K:$K,0),MATCH(V$2,indexy_SDcast!$2:$2,0)),"#ekrk")),"#popis")</f>
        <v>0</v>
      </c>
      <c r="W1203" s="365">
        <f>IF($Q1203="ekrk",IF($R1203="data",IFERROR(INDEX(data!$A:$ALL,MATCH($M1203,data!$A:$A,0),MATCH(W$2,data!$1:$1,0)),"#data"),IFERROR(V1203*INDEX(indexy_SDcast!$A:$ALI,MATCH($R1203,indexy_SDcast!$K:$K,0),MATCH(W$2,indexy_SDcast!$2:$2,0)),"#ekrk")),"#popis")</f>
        <v>0</v>
      </c>
      <c r="X1203" s="365">
        <f>IF($Q1203="ekrk",IF($R1203="data",IFERROR(INDEX(data!$A:$ALL,MATCH($M1203,data!$A:$A,0),MATCH(X$2,data!$1:$1,0)),"#data"),IFERROR(W1203*INDEX(indexy_SDcast!$A:$ALI,MATCH($R1203,indexy_SDcast!$K:$K,0),MATCH(X$2,indexy_SDcast!$2:$2,0)),"#ekrk")),"#popis")</f>
        <v>0</v>
      </c>
      <c r="Y1203" s="362">
        <f>IF($Q1203="ekrk",IF($R1203="data",IFERROR(INDEX(data!$A:$ALL,MATCH($M1203,data!$A:$A,0),MATCH(Y$2,data!$1:$1,0)),"#data"),IFERROR(X1203*INDEX(indexy_SDcast!$A:$ALI,MATCH($R1203,indexy_SDcast!$K:$K,0),MATCH(Y$2,indexy_SDcast!$2:$2,0)),"#ekrk")),"#popis")</f>
        <v>0</v>
      </c>
    </row>
    <row r="1204" spans="1:44" x14ac:dyDescent="0.25">
      <c r="A1204" s="330">
        <v>151008</v>
      </c>
      <c r="B1204" s="329">
        <v>963.34347000000014</v>
      </c>
      <c r="C1204" s="157"/>
      <c r="D1204" s="330">
        <v>151008</v>
      </c>
      <c r="E1204" s="329">
        <v>963.34347000000014</v>
      </c>
      <c r="F1204" s="157"/>
      <c r="G1204" s="330">
        <v>151008</v>
      </c>
      <c r="H1204" s="329">
        <v>963.34347000000014</v>
      </c>
      <c r="I1204" s="157"/>
      <c r="J1204" s="330">
        <v>151008</v>
      </c>
      <c r="K1204" s="329">
        <v>963.34347000000014</v>
      </c>
      <c r="L1204" s="157"/>
      <c r="M1204" s="360">
        <f t="shared" si="124"/>
        <v>151008</v>
      </c>
      <c r="N1204" s="237">
        <f t="shared" si="125"/>
        <v>963.34347000000014</v>
      </c>
      <c r="O1204" s="361"/>
      <c r="P1204" s="361"/>
      <c r="Q1204" s="361" t="s">
        <v>698</v>
      </c>
      <c r="R1204" s="362">
        <f>IF(Q1204="ekrk",INDEX(indexy_SDcast!$A:$C,MATCH($M1204,indexy_SDcast!$A:$A,0),2),"")</f>
        <v>2</v>
      </c>
      <c r="S1204" s="236"/>
      <c r="T1204" s="364">
        <f t="shared" si="126"/>
        <v>151008</v>
      </c>
      <c r="U1204" s="365">
        <f t="shared" si="128"/>
        <v>963.34347000000014</v>
      </c>
      <c r="V1204" s="365">
        <f>IF($Q1204="ekrk",IF($R1204="data",IFERROR(INDEX(data!$A:$ALL,MATCH($M1204,data!$A:$A,0),MATCH(V$2,data!$1:$1,0)),"#data"),IFERROR(U1204*INDEX(indexy_SDcast!$A:$ALI,MATCH($R1204,indexy_SDcast!$K:$K,0),MATCH(V$2,indexy_SDcast!$2:$2,0)),"#ekrk")),"#popis")</f>
        <v>0</v>
      </c>
      <c r="W1204" s="365">
        <f>IF($Q1204="ekrk",IF($R1204="data",IFERROR(INDEX(data!$A:$ALL,MATCH($M1204,data!$A:$A,0),MATCH(W$2,data!$1:$1,0)),"#data"),IFERROR(V1204*INDEX(indexy_SDcast!$A:$ALI,MATCH($R1204,indexy_SDcast!$K:$K,0),MATCH(W$2,indexy_SDcast!$2:$2,0)),"#ekrk")),"#popis")</f>
        <v>0</v>
      </c>
      <c r="X1204" s="365">
        <f>IF($Q1204="ekrk",IF($R1204="data",IFERROR(INDEX(data!$A:$ALL,MATCH($M1204,data!$A:$A,0),MATCH(X$2,data!$1:$1,0)),"#data"),IFERROR(W1204*INDEX(indexy_SDcast!$A:$ALI,MATCH($R1204,indexy_SDcast!$K:$K,0),MATCH(X$2,indexy_SDcast!$2:$2,0)),"#ekrk")),"#popis")</f>
        <v>0</v>
      </c>
      <c r="Y1204" s="362">
        <f>IF($Q1204="ekrk",IF($R1204="data",IFERROR(INDEX(data!$A:$ALL,MATCH($M1204,data!$A:$A,0),MATCH(Y$2,data!$1:$1,0)),"#data"),IFERROR(X1204*INDEX(indexy_SDcast!$A:$ALI,MATCH($R1204,indexy_SDcast!$K:$K,0),MATCH(Y$2,indexy_SDcast!$2:$2,0)),"#ekrk")),"#popis")</f>
        <v>0</v>
      </c>
    </row>
    <row r="1205" spans="1:44" x14ac:dyDescent="0.25">
      <c r="A1205" s="330">
        <v>152008</v>
      </c>
      <c r="B1205" s="329">
        <v>1121.70147</v>
      </c>
      <c r="C1205" s="157"/>
      <c r="D1205" s="330">
        <v>152008</v>
      </c>
      <c r="E1205" s="329">
        <v>1121.70147</v>
      </c>
      <c r="F1205" s="157"/>
      <c r="G1205" s="330">
        <v>152008</v>
      </c>
      <c r="H1205" s="329">
        <v>1121.70147</v>
      </c>
      <c r="I1205" s="157"/>
      <c r="J1205" s="330">
        <v>152008</v>
      </c>
      <c r="K1205" s="329">
        <v>1121.70147</v>
      </c>
      <c r="L1205" s="157"/>
      <c r="M1205" s="360">
        <f t="shared" si="124"/>
        <v>152008</v>
      </c>
      <c r="N1205" s="237">
        <f t="shared" si="125"/>
        <v>1121.70147</v>
      </c>
      <c r="O1205" s="361"/>
      <c r="P1205" s="361"/>
      <c r="Q1205" s="361" t="s">
        <v>698</v>
      </c>
      <c r="R1205" s="362">
        <f>IF(Q1205="ekrk",INDEX(indexy_SDcast!$A:$C,MATCH($M1205,indexy_SDcast!$A:$A,0),2),"")</f>
        <v>2</v>
      </c>
      <c r="S1205" s="236"/>
      <c r="T1205" s="364">
        <f t="shared" si="126"/>
        <v>152008</v>
      </c>
      <c r="U1205" s="365">
        <f t="shared" si="128"/>
        <v>1121.70147</v>
      </c>
      <c r="V1205" s="365">
        <f>IF($Q1205="ekrk",IF($R1205="data",IFERROR(INDEX(data!$A:$ALL,MATCH($M1205,data!$A:$A,0),MATCH(V$2,data!$1:$1,0)),"#data"),IFERROR(U1205*INDEX(indexy_SDcast!$A:$ALI,MATCH($R1205,indexy_SDcast!$K:$K,0),MATCH(V$2,indexy_SDcast!$2:$2,0)),"#ekrk")),"#popis")</f>
        <v>0</v>
      </c>
      <c r="W1205" s="365">
        <f>IF($Q1205="ekrk",IF($R1205="data",IFERROR(INDEX(data!$A:$ALL,MATCH($M1205,data!$A:$A,0),MATCH(W$2,data!$1:$1,0)),"#data"),IFERROR(V1205*INDEX(indexy_SDcast!$A:$ALI,MATCH($R1205,indexy_SDcast!$K:$K,0),MATCH(W$2,indexy_SDcast!$2:$2,0)),"#ekrk")),"#popis")</f>
        <v>0</v>
      </c>
      <c r="X1205" s="365">
        <f>IF($Q1205="ekrk",IF($R1205="data",IFERROR(INDEX(data!$A:$ALL,MATCH($M1205,data!$A:$A,0),MATCH(X$2,data!$1:$1,0)),"#data"),IFERROR(W1205*INDEX(indexy_SDcast!$A:$ALI,MATCH($R1205,indexy_SDcast!$K:$K,0),MATCH(X$2,indexy_SDcast!$2:$2,0)),"#ekrk")),"#popis")</f>
        <v>0</v>
      </c>
      <c r="Y1205" s="362">
        <f>IF($Q1205="ekrk",IF($R1205="data",IFERROR(INDEX(data!$A:$ALL,MATCH($M1205,data!$A:$A,0),MATCH(Y$2,data!$1:$1,0)),"#data"),IFERROR(X1205*INDEX(indexy_SDcast!$A:$ALI,MATCH($R1205,indexy_SDcast!$K:$K,0),MATCH(Y$2,indexy_SDcast!$2:$2,0)),"#ekrk")),"#popis")</f>
        <v>0</v>
      </c>
    </row>
    <row r="1206" spans="1:44" x14ac:dyDescent="0.25">
      <c r="A1206" s="330">
        <v>152009</v>
      </c>
      <c r="B1206" s="329">
        <v>7928.9259600000005</v>
      </c>
      <c r="C1206" s="157"/>
      <c r="D1206" s="330">
        <v>152009</v>
      </c>
      <c r="E1206" s="329">
        <v>7928.9259600000005</v>
      </c>
      <c r="F1206" s="157"/>
      <c r="G1206" s="330">
        <v>152009</v>
      </c>
      <c r="H1206" s="329">
        <v>7928.9259600000005</v>
      </c>
      <c r="I1206" s="157"/>
      <c r="J1206" s="330">
        <v>152009</v>
      </c>
      <c r="K1206" s="329">
        <v>7928.9259600000005</v>
      </c>
      <c r="L1206" s="157"/>
      <c r="M1206" s="360">
        <f t="shared" si="124"/>
        <v>152009</v>
      </c>
      <c r="N1206" s="237">
        <f t="shared" si="125"/>
        <v>7928.9259600000005</v>
      </c>
      <c r="O1206" s="361"/>
      <c r="P1206" s="361"/>
      <c r="Q1206" s="361" t="s">
        <v>698</v>
      </c>
      <c r="R1206" s="362">
        <f>IF(Q1206="ekrk",INDEX(indexy_SDcast!$A:$C,MATCH($M1206,indexy_SDcast!$A:$A,0),2),"")</f>
        <v>2</v>
      </c>
      <c r="S1206" s="236"/>
      <c r="T1206" s="364">
        <f t="shared" si="126"/>
        <v>152009</v>
      </c>
      <c r="U1206" s="365">
        <f t="shared" si="128"/>
        <v>7928.9259600000005</v>
      </c>
      <c r="V1206" s="365">
        <f>IF($Q1206="ekrk",IF($R1206="data",IFERROR(INDEX(data!$A:$ALL,MATCH($M1206,data!$A:$A,0),MATCH(V$2,data!$1:$1,0)),"#data"),IFERROR(U1206*INDEX(indexy_SDcast!$A:$ALI,MATCH($R1206,indexy_SDcast!$K:$K,0),MATCH(V$2,indexy_SDcast!$2:$2,0)),"#ekrk")),"#popis")</f>
        <v>0</v>
      </c>
      <c r="W1206" s="365">
        <f>IF($Q1206="ekrk",IF($R1206="data",IFERROR(INDEX(data!$A:$ALL,MATCH($M1206,data!$A:$A,0),MATCH(W$2,data!$1:$1,0)),"#data"),IFERROR(V1206*INDEX(indexy_SDcast!$A:$ALI,MATCH($R1206,indexy_SDcast!$K:$K,0),MATCH(W$2,indexy_SDcast!$2:$2,0)),"#ekrk")),"#popis")</f>
        <v>0</v>
      </c>
      <c r="X1206" s="365">
        <f>IF($Q1206="ekrk",IF($R1206="data",IFERROR(INDEX(data!$A:$ALL,MATCH($M1206,data!$A:$A,0),MATCH(X$2,data!$1:$1,0)),"#data"),IFERROR(W1206*INDEX(indexy_SDcast!$A:$ALI,MATCH($R1206,indexy_SDcast!$K:$K,0),MATCH(X$2,indexy_SDcast!$2:$2,0)),"#ekrk")),"#popis")</f>
        <v>0</v>
      </c>
      <c r="Y1206" s="362">
        <f>IF($Q1206="ekrk",IF($R1206="data",IFERROR(INDEX(data!$A:$ALL,MATCH($M1206,data!$A:$A,0),MATCH(Y$2,data!$1:$1,0)),"#data"),IFERROR(X1206*INDEX(indexy_SDcast!$A:$ALI,MATCH($R1206,indexy_SDcast!$K:$K,0),MATCH(Y$2,indexy_SDcast!$2:$2,0)),"#ekrk")),"#popis")</f>
        <v>0</v>
      </c>
    </row>
    <row r="1207" spans="1:44" x14ac:dyDescent="0.25">
      <c r="A1207" s="330">
        <v>155004</v>
      </c>
      <c r="B1207" s="329">
        <v>1598.19479</v>
      </c>
      <c r="C1207" s="157"/>
      <c r="D1207" s="330">
        <v>155004</v>
      </c>
      <c r="E1207" s="329">
        <v>1598.19479</v>
      </c>
      <c r="F1207" s="157"/>
      <c r="G1207" s="330">
        <v>155004</v>
      </c>
      <c r="H1207" s="329">
        <v>1598.19479</v>
      </c>
      <c r="I1207" s="157"/>
      <c r="J1207" s="330">
        <v>155004</v>
      </c>
      <c r="K1207" s="329">
        <v>1598.19479</v>
      </c>
      <c r="L1207" s="157"/>
      <c r="M1207" s="360">
        <f t="shared" si="124"/>
        <v>155004</v>
      </c>
      <c r="N1207" s="237">
        <f t="shared" si="125"/>
        <v>1598.19479</v>
      </c>
      <c r="O1207" s="361"/>
      <c r="P1207" s="361"/>
      <c r="Q1207" s="361" t="s">
        <v>698</v>
      </c>
      <c r="R1207" s="362">
        <f>IF(Q1207="ekrk",INDEX(indexy_SDcast!$A:$C,MATCH($M1207,indexy_SDcast!$A:$A,0),2),"")</f>
        <v>2</v>
      </c>
      <c r="S1207" s="236"/>
      <c r="T1207" s="364">
        <f t="shared" si="126"/>
        <v>155004</v>
      </c>
      <c r="U1207" s="365">
        <f t="shared" si="128"/>
        <v>1598.19479</v>
      </c>
      <c r="V1207" s="365">
        <f>IF($Q1207="ekrk",IF($R1207="data",IFERROR(INDEX(data!$A:$ALL,MATCH($M1207,data!$A:$A,0),MATCH(V$2,data!$1:$1,0)),"#data"),IFERROR(U1207*INDEX(indexy_SDcast!$A:$ALI,MATCH($R1207,indexy_SDcast!$K:$K,0),MATCH(V$2,indexy_SDcast!$2:$2,0)),"#ekrk")),"#popis")</f>
        <v>0</v>
      </c>
      <c r="W1207" s="365">
        <f>IF($Q1207="ekrk",IF($R1207="data",IFERROR(INDEX(data!$A:$ALL,MATCH($M1207,data!$A:$A,0),MATCH(W$2,data!$1:$1,0)),"#data"),IFERROR(V1207*INDEX(indexy_SDcast!$A:$ALI,MATCH($R1207,indexy_SDcast!$K:$K,0),MATCH(W$2,indexy_SDcast!$2:$2,0)),"#ekrk")),"#popis")</f>
        <v>0</v>
      </c>
      <c r="X1207" s="365">
        <f>IF($Q1207="ekrk",IF($R1207="data",IFERROR(INDEX(data!$A:$ALL,MATCH($M1207,data!$A:$A,0),MATCH(X$2,data!$1:$1,0)),"#data"),IFERROR(W1207*INDEX(indexy_SDcast!$A:$ALI,MATCH($R1207,indexy_SDcast!$K:$K,0),MATCH(X$2,indexy_SDcast!$2:$2,0)),"#ekrk")),"#popis")</f>
        <v>0</v>
      </c>
      <c r="Y1207" s="362">
        <f>IF($Q1207="ekrk",IF($R1207="data",IFERROR(INDEX(data!$A:$ALL,MATCH($M1207,data!$A:$A,0),MATCH(Y$2,data!$1:$1,0)),"#data"),IFERROR(X1207*INDEX(indexy_SDcast!$A:$ALI,MATCH($R1207,indexy_SDcast!$K:$K,0),MATCH(Y$2,indexy_SDcast!$2:$2,0)),"#ekrk")),"#popis")</f>
        <v>0</v>
      </c>
    </row>
    <row r="1208" spans="1:44" x14ac:dyDescent="0.25">
      <c r="A1208" s="330">
        <v>155005</v>
      </c>
      <c r="B1208" s="329">
        <v>51.581090000000003</v>
      </c>
      <c r="C1208" s="157"/>
      <c r="D1208" s="330">
        <v>155005</v>
      </c>
      <c r="E1208" s="329">
        <v>51.581090000000003</v>
      </c>
      <c r="F1208" s="157"/>
      <c r="G1208" s="330">
        <v>155005</v>
      </c>
      <c r="H1208" s="329">
        <v>51.581090000000003</v>
      </c>
      <c r="I1208" s="157"/>
      <c r="J1208" s="330">
        <v>155005</v>
      </c>
      <c r="K1208" s="329">
        <v>51.581090000000003</v>
      </c>
      <c r="L1208" s="157"/>
      <c r="M1208" s="360">
        <f t="shared" si="124"/>
        <v>155005</v>
      </c>
      <c r="N1208" s="237">
        <f t="shared" si="125"/>
        <v>51.581090000000003</v>
      </c>
      <c r="O1208" s="361"/>
      <c r="P1208" s="361"/>
      <c r="Q1208" s="361" t="s">
        <v>698</v>
      </c>
      <c r="R1208" s="362">
        <f>IF(Q1208="ekrk",INDEX(indexy_SDcast!$A:$C,MATCH($M1208,indexy_SDcast!$A:$A,0),2),"")</f>
        <v>2</v>
      </c>
      <c r="S1208" s="236"/>
      <c r="T1208" s="364">
        <f t="shared" si="126"/>
        <v>155005</v>
      </c>
      <c r="U1208" s="365">
        <f t="shared" si="128"/>
        <v>51.581090000000003</v>
      </c>
      <c r="V1208" s="365">
        <f>IF($Q1208="ekrk",IF($R1208="data",IFERROR(INDEX(data!$A:$ALL,MATCH($M1208,data!$A:$A,0),MATCH(V$2,data!$1:$1,0)),"#data"),IFERROR(U1208*INDEX(indexy_SDcast!$A:$ALI,MATCH($R1208,indexy_SDcast!$K:$K,0),MATCH(V$2,indexy_SDcast!$2:$2,0)),"#ekrk")),"#popis")</f>
        <v>0</v>
      </c>
      <c r="W1208" s="365">
        <f>IF($Q1208="ekrk",IF($R1208="data",IFERROR(INDEX(data!$A:$ALL,MATCH($M1208,data!$A:$A,0),MATCH(W$2,data!$1:$1,0)),"#data"),IFERROR(V1208*INDEX(indexy_SDcast!$A:$ALI,MATCH($R1208,indexy_SDcast!$K:$K,0),MATCH(W$2,indexy_SDcast!$2:$2,0)),"#ekrk")),"#popis")</f>
        <v>0</v>
      </c>
      <c r="X1208" s="365">
        <f>IF($Q1208="ekrk",IF($R1208="data",IFERROR(INDEX(data!$A:$ALL,MATCH($M1208,data!$A:$A,0),MATCH(X$2,data!$1:$1,0)),"#data"),IFERROR(W1208*INDEX(indexy_SDcast!$A:$ALI,MATCH($R1208,indexy_SDcast!$K:$K,0),MATCH(X$2,indexy_SDcast!$2:$2,0)),"#ekrk")),"#popis")</f>
        <v>0</v>
      </c>
      <c r="Y1208" s="362">
        <f>IF($Q1208="ekrk",IF($R1208="data",IFERROR(INDEX(data!$A:$ALL,MATCH($M1208,data!$A:$A,0),MATCH(Y$2,data!$1:$1,0)),"#data"),IFERROR(X1208*INDEX(indexy_SDcast!$A:$ALI,MATCH($R1208,indexy_SDcast!$K:$K,0),MATCH(Y$2,indexy_SDcast!$2:$2,0)),"#ekrk")),"#popis")</f>
        <v>0</v>
      </c>
    </row>
    <row r="1209" spans="1:44" x14ac:dyDescent="0.25">
      <c r="A1209" s="330">
        <v>157003</v>
      </c>
      <c r="B1209" s="329">
        <v>2364.7943400000004</v>
      </c>
      <c r="C1209" s="157"/>
      <c r="D1209" s="330">
        <v>157003</v>
      </c>
      <c r="E1209" s="329">
        <v>2364.7943400000004</v>
      </c>
      <c r="F1209" s="157"/>
      <c r="G1209" s="330">
        <v>157003</v>
      </c>
      <c r="H1209" s="329">
        <v>2364.7943400000004</v>
      </c>
      <c r="I1209" s="157"/>
      <c r="J1209" s="330">
        <v>157003</v>
      </c>
      <c r="K1209" s="329">
        <v>2364.7943400000004</v>
      </c>
      <c r="L1209" s="157"/>
      <c r="M1209" s="360">
        <f t="shared" si="124"/>
        <v>157003</v>
      </c>
      <c r="N1209" s="237">
        <f t="shared" si="125"/>
        <v>2364.7943400000004</v>
      </c>
      <c r="O1209" s="361"/>
      <c r="P1209" s="361"/>
      <c r="Q1209" s="361" t="s">
        <v>698</v>
      </c>
      <c r="R1209" s="362">
        <f>IF(Q1209="ekrk",INDEX(indexy_SDcast!$A:$C,MATCH($M1209,indexy_SDcast!$A:$A,0),2),"")</f>
        <v>2</v>
      </c>
      <c r="S1209" s="236"/>
      <c r="T1209" s="364">
        <f t="shared" si="126"/>
        <v>157003</v>
      </c>
      <c r="U1209" s="365">
        <f t="shared" si="128"/>
        <v>2364.7943400000004</v>
      </c>
      <c r="V1209" s="365">
        <f>IF($Q1209="ekrk",IF($R1209="data",IFERROR(INDEX(data!$A:$ALL,MATCH($M1209,data!$A:$A,0),MATCH(V$2,data!$1:$1,0)),"#data"),IFERROR(U1209*INDEX(indexy_SDcast!$A:$ALI,MATCH($R1209,indexy_SDcast!$K:$K,0),MATCH(V$2,indexy_SDcast!$2:$2,0)),"#ekrk")),"#popis")</f>
        <v>0</v>
      </c>
      <c r="W1209" s="365">
        <f>IF($Q1209="ekrk",IF($R1209="data",IFERROR(INDEX(data!$A:$ALL,MATCH($M1209,data!$A:$A,0),MATCH(W$2,data!$1:$1,0)),"#data"),IFERROR(V1209*INDEX(indexy_SDcast!$A:$ALI,MATCH($R1209,indexy_SDcast!$K:$K,0),MATCH(W$2,indexy_SDcast!$2:$2,0)),"#ekrk")),"#popis")</f>
        <v>0</v>
      </c>
      <c r="X1209" s="365">
        <f>IF($Q1209="ekrk",IF($R1209="data",IFERROR(INDEX(data!$A:$ALL,MATCH($M1209,data!$A:$A,0),MATCH(X$2,data!$1:$1,0)),"#data"),IFERROR(W1209*INDEX(indexy_SDcast!$A:$ALI,MATCH($R1209,indexy_SDcast!$K:$K,0),MATCH(X$2,indexy_SDcast!$2:$2,0)),"#ekrk")),"#popis")</f>
        <v>0</v>
      </c>
      <c r="Y1209" s="362">
        <f>IF($Q1209="ekrk",IF($R1209="data",IFERROR(INDEX(data!$A:$ALL,MATCH($M1209,data!$A:$A,0),MATCH(Y$2,data!$1:$1,0)),"#data"),IFERROR(X1209*INDEX(indexy_SDcast!$A:$ALI,MATCH($R1209,indexy_SDcast!$K:$K,0),MATCH(Y$2,indexy_SDcast!$2:$2,0)),"#ekrk")),"#popis")</f>
        <v>0</v>
      </c>
    </row>
    <row r="1210" spans="1:44" x14ac:dyDescent="0.25">
      <c r="A1210" s="330">
        <v>157004</v>
      </c>
      <c r="B1210" s="329">
        <v>87.658109999999994</v>
      </c>
      <c r="C1210" s="157"/>
      <c r="D1210" s="330">
        <v>157004</v>
      </c>
      <c r="E1210" s="329">
        <v>87.658109999999994</v>
      </c>
      <c r="F1210" s="157"/>
      <c r="G1210" s="330">
        <v>157004</v>
      </c>
      <c r="H1210" s="329">
        <v>87.658109999999994</v>
      </c>
      <c r="I1210" s="157"/>
      <c r="J1210" s="330">
        <v>157004</v>
      </c>
      <c r="K1210" s="329">
        <v>87.658109999999994</v>
      </c>
      <c r="L1210" s="157"/>
      <c r="M1210" s="360">
        <f t="shared" ref="M1210:M1241" si="129">J1210</f>
        <v>157004</v>
      </c>
      <c r="N1210" s="237">
        <f t="shared" ref="N1210:N1241" si="130">K1210</f>
        <v>87.658109999999994</v>
      </c>
      <c r="O1210" s="361"/>
      <c r="P1210" s="361"/>
      <c r="Q1210" s="361" t="s">
        <v>698</v>
      </c>
      <c r="R1210" s="362">
        <f>IF(Q1210="ekrk",INDEX(indexy_SDcast!$A:$C,MATCH($M1210,indexy_SDcast!$A:$A,0),2),"")</f>
        <v>2</v>
      </c>
      <c r="S1210" s="236"/>
      <c r="T1210" s="364">
        <f t="shared" si="126"/>
        <v>157004</v>
      </c>
      <c r="U1210" s="365">
        <f t="shared" si="128"/>
        <v>87.658109999999994</v>
      </c>
      <c r="V1210" s="365">
        <f>IF($Q1210="ekrk",IF($R1210="data",IFERROR(INDEX(data!$A:$ALL,MATCH($M1210,data!$A:$A,0),MATCH(V$2,data!$1:$1,0)),"#data"),IFERROR(U1210*INDEX(indexy_SDcast!$A:$ALI,MATCH($R1210,indexy_SDcast!$K:$K,0),MATCH(V$2,indexy_SDcast!$2:$2,0)),"#ekrk")),"#popis")</f>
        <v>0</v>
      </c>
      <c r="W1210" s="365">
        <f>IF($Q1210="ekrk",IF($R1210="data",IFERROR(INDEX(data!$A:$ALL,MATCH($M1210,data!$A:$A,0),MATCH(W$2,data!$1:$1,0)),"#data"),IFERROR(V1210*INDEX(indexy_SDcast!$A:$ALI,MATCH($R1210,indexy_SDcast!$K:$K,0),MATCH(W$2,indexy_SDcast!$2:$2,0)),"#ekrk")),"#popis")</f>
        <v>0</v>
      </c>
      <c r="X1210" s="365">
        <f>IF($Q1210="ekrk",IF($R1210="data",IFERROR(INDEX(data!$A:$ALL,MATCH($M1210,data!$A:$A,0),MATCH(X$2,data!$1:$1,0)),"#data"),IFERROR(W1210*INDEX(indexy_SDcast!$A:$ALI,MATCH($R1210,indexy_SDcast!$K:$K,0),MATCH(X$2,indexy_SDcast!$2:$2,0)),"#ekrk")),"#popis")</f>
        <v>0</v>
      </c>
      <c r="Y1210" s="362">
        <f>IF($Q1210="ekrk",IF($R1210="data",IFERROR(INDEX(data!$A:$ALL,MATCH($M1210,data!$A:$A,0),MATCH(Y$2,data!$1:$1,0)),"#data"),IFERROR(X1210*INDEX(indexy_SDcast!$A:$ALI,MATCH($R1210,indexy_SDcast!$K:$K,0),MATCH(Y$2,indexy_SDcast!$2:$2,0)),"#ekrk")),"#popis")</f>
        <v>0</v>
      </c>
    </row>
    <row r="1211" spans="1:44" x14ac:dyDescent="0.25">
      <c r="A1211" s="330">
        <v>158004</v>
      </c>
      <c r="B1211" s="329">
        <v>2987.8419699999999</v>
      </c>
      <c r="C1211" s="157"/>
      <c r="D1211" s="330">
        <v>158004</v>
      </c>
      <c r="E1211" s="329">
        <v>2987.8419699999999</v>
      </c>
      <c r="F1211" s="157"/>
      <c r="G1211" s="330">
        <v>158004</v>
      </c>
      <c r="H1211" s="329">
        <v>2987.8419699999999</v>
      </c>
      <c r="I1211" s="157"/>
      <c r="J1211" s="330">
        <v>158004</v>
      </c>
      <c r="K1211" s="329">
        <v>2987.8419699999999</v>
      </c>
      <c r="L1211" s="157"/>
      <c r="M1211" s="360">
        <f t="shared" si="129"/>
        <v>158004</v>
      </c>
      <c r="N1211" s="237">
        <f t="shared" si="130"/>
        <v>2987.8419699999999</v>
      </c>
      <c r="O1211" s="361"/>
      <c r="P1211" s="361"/>
      <c r="Q1211" s="361" t="s">
        <v>698</v>
      </c>
      <c r="R1211" s="362">
        <f>IF(Q1211="ekrk",INDEX(indexy_SDcast!$A:$C,MATCH($M1211,indexy_SDcast!$A:$A,0),2),"")</f>
        <v>2</v>
      </c>
      <c r="S1211" s="236"/>
      <c r="T1211" s="364">
        <f t="shared" si="126"/>
        <v>158004</v>
      </c>
      <c r="U1211" s="365">
        <f t="shared" si="128"/>
        <v>2987.8419699999999</v>
      </c>
      <c r="V1211" s="365">
        <f>IF($Q1211="ekrk",IF($R1211="data",IFERROR(INDEX(data!$A:$ALL,MATCH($M1211,data!$A:$A,0),MATCH(V$2,data!$1:$1,0)),"#data"),IFERROR(U1211*INDEX(indexy_SDcast!$A:$ALI,MATCH($R1211,indexy_SDcast!$K:$K,0),MATCH(V$2,indexy_SDcast!$2:$2,0)),"#ekrk")),"#popis")</f>
        <v>0</v>
      </c>
      <c r="W1211" s="365">
        <f>IF($Q1211="ekrk",IF($R1211="data",IFERROR(INDEX(data!$A:$ALL,MATCH($M1211,data!$A:$A,0),MATCH(W$2,data!$1:$1,0)),"#data"),IFERROR(V1211*INDEX(indexy_SDcast!$A:$ALI,MATCH($R1211,indexy_SDcast!$K:$K,0),MATCH(W$2,indexy_SDcast!$2:$2,0)),"#ekrk")),"#popis")</f>
        <v>0</v>
      </c>
      <c r="X1211" s="365">
        <f>IF($Q1211="ekrk",IF($R1211="data",IFERROR(INDEX(data!$A:$ALL,MATCH($M1211,data!$A:$A,0),MATCH(X$2,data!$1:$1,0)),"#data"),IFERROR(W1211*INDEX(indexy_SDcast!$A:$ALI,MATCH($R1211,indexy_SDcast!$K:$K,0),MATCH(X$2,indexy_SDcast!$2:$2,0)),"#ekrk")),"#popis")</f>
        <v>0</v>
      </c>
      <c r="Y1211" s="362">
        <f>IF($Q1211="ekrk",IF($R1211="data",IFERROR(INDEX(data!$A:$ALL,MATCH($M1211,data!$A:$A,0),MATCH(Y$2,data!$1:$1,0)),"#data"),IFERROR(X1211*INDEX(indexy_SDcast!$A:$ALI,MATCH($R1211,indexy_SDcast!$K:$K,0),MATCH(Y$2,indexy_SDcast!$2:$2,0)),"#ekrk")),"#popis")</f>
        <v>0</v>
      </c>
    </row>
    <row r="1212" spans="1:44" x14ac:dyDescent="0.25">
      <c r="A1212" s="330">
        <v>158006</v>
      </c>
      <c r="B1212" s="329">
        <v>110.2167</v>
      </c>
      <c r="C1212" s="157"/>
      <c r="D1212" s="330">
        <v>158006</v>
      </c>
      <c r="E1212" s="329">
        <v>110.2167</v>
      </c>
      <c r="F1212" s="157"/>
      <c r="G1212" s="330">
        <v>158006</v>
      </c>
      <c r="H1212" s="329">
        <v>110.2167</v>
      </c>
      <c r="I1212" s="157"/>
      <c r="J1212" s="330">
        <v>158006</v>
      </c>
      <c r="K1212" s="329">
        <v>110.2167</v>
      </c>
      <c r="L1212" s="157"/>
      <c r="M1212" s="360">
        <f t="shared" si="129"/>
        <v>158006</v>
      </c>
      <c r="N1212" s="237">
        <f t="shared" si="130"/>
        <v>110.2167</v>
      </c>
      <c r="O1212" s="361"/>
      <c r="P1212" s="361"/>
      <c r="Q1212" s="361" t="s">
        <v>698</v>
      </c>
      <c r="R1212" s="362">
        <f>IF(Q1212="ekrk",INDEX(indexy_SDcast!$A:$C,MATCH($M1212,indexy_SDcast!$A:$A,0),2),"")</f>
        <v>2</v>
      </c>
      <c r="S1212" s="236"/>
      <c r="T1212" s="364">
        <f t="shared" si="126"/>
        <v>158006</v>
      </c>
      <c r="U1212" s="365">
        <f t="shared" si="128"/>
        <v>110.2167</v>
      </c>
      <c r="V1212" s="365">
        <f>IF($Q1212="ekrk",IF($R1212="data",IFERROR(INDEX(data!$A:$ALL,MATCH($M1212,data!$A:$A,0),MATCH(V$2,data!$1:$1,0)),"#data"),IFERROR(U1212*INDEX(indexy_SDcast!$A:$ALI,MATCH($R1212,indexy_SDcast!$K:$K,0),MATCH(V$2,indexy_SDcast!$2:$2,0)),"#ekrk")),"#popis")</f>
        <v>0</v>
      </c>
      <c r="W1212" s="365">
        <f>IF($Q1212="ekrk",IF($R1212="data",IFERROR(INDEX(data!$A:$ALL,MATCH($M1212,data!$A:$A,0),MATCH(W$2,data!$1:$1,0)),"#data"),IFERROR(V1212*INDEX(indexy_SDcast!$A:$ALI,MATCH($R1212,indexy_SDcast!$K:$K,0),MATCH(W$2,indexy_SDcast!$2:$2,0)),"#ekrk")),"#popis")</f>
        <v>0</v>
      </c>
      <c r="X1212" s="365">
        <f>IF($Q1212="ekrk",IF($R1212="data",IFERROR(INDEX(data!$A:$ALL,MATCH($M1212,data!$A:$A,0),MATCH(X$2,data!$1:$1,0)),"#data"),IFERROR(W1212*INDEX(indexy_SDcast!$A:$ALI,MATCH($R1212,indexy_SDcast!$K:$K,0),MATCH(X$2,indexy_SDcast!$2:$2,0)),"#ekrk")),"#popis")</f>
        <v>0</v>
      </c>
      <c r="Y1212" s="362">
        <f>IF($Q1212="ekrk",IF($R1212="data",IFERROR(INDEX(data!$A:$ALL,MATCH($M1212,data!$A:$A,0),MATCH(Y$2,data!$1:$1,0)),"#data"),IFERROR(X1212*INDEX(indexy_SDcast!$A:$ALI,MATCH($R1212,indexy_SDcast!$K:$K,0),MATCH(Y$2,indexy_SDcast!$2:$2,0)),"#ekrk")),"#popis")</f>
        <v>0</v>
      </c>
    </row>
    <row r="1213" spans="1:44" x14ac:dyDescent="0.25">
      <c r="A1213" s="330" t="s">
        <v>996</v>
      </c>
      <c r="B1213" s="329">
        <v>-35</v>
      </c>
      <c r="C1213" s="157"/>
      <c r="D1213" s="348">
        <v>154000</v>
      </c>
      <c r="E1213" s="329">
        <v>-35</v>
      </c>
      <c r="F1213" s="157"/>
      <c r="G1213" s="330">
        <v>154000</v>
      </c>
      <c r="H1213" s="329">
        <v>-35</v>
      </c>
      <c r="I1213" s="157"/>
      <c r="J1213" s="330">
        <v>154000</v>
      </c>
      <c r="K1213" s="329">
        <v>-35</v>
      </c>
      <c r="L1213" s="157"/>
      <c r="M1213" s="360">
        <f t="shared" si="129"/>
        <v>154000</v>
      </c>
      <c r="N1213" s="237">
        <f t="shared" si="130"/>
        <v>-35</v>
      </c>
      <c r="O1213" s="361"/>
      <c r="P1213" s="361"/>
      <c r="Q1213" s="361" t="s">
        <v>698</v>
      </c>
      <c r="R1213" s="362">
        <f>IF(Q1213="ekrk",INDEX(indexy_SDcast!$A:$C,MATCH($M1213,indexy_SDcast!$A:$A,0),2),"")</f>
        <v>2</v>
      </c>
      <c r="S1213" s="236"/>
      <c r="T1213" s="364">
        <f t="shared" si="126"/>
        <v>154000</v>
      </c>
      <c r="U1213" s="365">
        <f t="shared" si="128"/>
        <v>-35</v>
      </c>
      <c r="V1213" s="365">
        <f>IF($Q1213="ekrk",IF($R1213="data",IFERROR(INDEX(data!$A:$ALL,MATCH($M1213,data!$A:$A,0),MATCH(V$2,data!$1:$1,0)),"#data"),IFERROR(U1213*INDEX(indexy_SDcast!$A:$ALI,MATCH($R1213,indexy_SDcast!$K:$K,0),MATCH(V$2,indexy_SDcast!$2:$2,0)),"#ekrk")),"#popis")</f>
        <v>0</v>
      </c>
      <c r="W1213" s="365">
        <f>IF($Q1213="ekrk",IF($R1213="data",IFERROR(INDEX(data!$A:$ALL,MATCH($M1213,data!$A:$A,0),MATCH(W$2,data!$1:$1,0)),"#data"),IFERROR(V1213*INDEX(indexy_SDcast!$A:$ALI,MATCH($R1213,indexy_SDcast!$K:$K,0),MATCH(W$2,indexy_SDcast!$2:$2,0)),"#ekrk")),"#popis")</f>
        <v>0</v>
      </c>
      <c r="X1213" s="365">
        <f>IF($Q1213="ekrk",IF($R1213="data",IFERROR(INDEX(data!$A:$ALL,MATCH($M1213,data!$A:$A,0),MATCH(X$2,data!$1:$1,0)),"#data"),IFERROR(W1213*INDEX(indexy_SDcast!$A:$ALI,MATCH($R1213,indexy_SDcast!$K:$K,0),MATCH(X$2,indexy_SDcast!$2:$2,0)),"#ekrk")),"#popis")</f>
        <v>0</v>
      </c>
      <c r="Y1213" s="362">
        <f>IF($Q1213="ekrk",IF($R1213="data",IFERROR(INDEX(data!$A:$ALL,MATCH($M1213,data!$A:$A,0),MATCH(Y$2,data!$1:$1,0)),"#data"),IFERROR(X1213*INDEX(indexy_SDcast!$A:$ALI,MATCH($R1213,indexy_SDcast!$K:$K,0),MATCH(Y$2,indexy_SDcast!$2:$2,0)),"#ekrk")),"#popis")</f>
        <v>0</v>
      </c>
    </row>
    <row r="1214" spans="1:44" s="18" customFormat="1" x14ac:dyDescent="0.25">
      <c r="A1214" s="333" t="s">
        <v>726</v>
      </c>
      <c r="B1214" s="334">
        <v>130902.46080999986</v>
      </c>
      <c r="C1214" s="164"/>
      <c r="D1214" s="333" t="s">
        <v>726</v>
      </c>
      <c r="E1214" s="334">
        <v>130902.46080999986</v>
      </c>
      <c r="F1214" s="164"/>
      <c r="G1214" s="333" t="s">
        <v>726</v>
      </c>
      <c r="H1214" s="334">
        <v>130902.46080999986</v>
      </c>
      <c r="I1214" s="164"/>
      <c r="J1214" s="333" t="s">
        <v>726</v>
      </c>
      <c r="K1214" s="334">
        <v>130902.46080999986</v>
      </c>
      <c r="L1214" s="164"/>
      <c r="M1214" s="358" t="str">
        <f t="shared" si="129"/>
        <v>D612REC</v>
      </c>
      <c r="N1214" s="239">
        <f t="shared" si="130"/>
        <v>130902.46080999986</v>
      </c>
      <c r="O1214" s="243"/>
      <c r="P1214" s="243">
        <f>MATCH(Q1214,Q1215:Q$1550,0)</f>
        <v>8</v>
      </c>
      <c r="Q1214" s="243" t="s">
        <v>697</v>
      </c>
      <c r="R1214" s="359" t="str">
        <f>IF(Q1214="ekrk",INDEX(indexy_SDcast!$A:$C,MATCH($M1214,indexy_SDcast!$A:$A,0),2),"")</f>
        <v/>
      </c>
      <c r="S1214" s="240"/>
      <c r="T1214" s="363" t="str">
        <f t="shared" si="126"/>
        <v>D612REC</v>
      </c>
      <c r="U1214" s="244">
        <f>SUM(U1215:U1221)</f>
        <v>130902.46080999986</v>
      </c>
      <c r="V1214" s="244">
        <f>SUM(V1215:V1221)</f>
        <v>134137.52758584867</v>
      </c>
      <c r="W1214" s="244">
        <f>SUM(W1215:W1221)</f>
        <v>138513.60259406079</v>
      </c>
      <c r="X1214" s="244">
        <f>SUM(X1215:X1221)</f>
        <v>143821.90811734711</v>
      </c>
      <c r="Y1214" s="359">
        <f>SUM(Y1215:Y1221)</f>
        <v>149841.56403316697</v>
      </c>
      <c r="Z1214" s="58"/>
      <c r="AA1214" s="58"/>
      <c r="AB1214" s="58"/>
      <c r="AC1214" s="58"/>
      <c r="AD1214" s="58"/>
      <c r="AE1214" s="58"/>
      <c r="AF1214" s="58"/>
      <c r="AG1214" s="58"/>
      <c r="AH1214" s="58"/>
      <c r="AI1214" s="58"/>
      <c r="AJ1214" s="58"/>
      <c r="AK1214" s="58"/>
      <c r="AL1214" s="58"/>
      <c r="AM1214" s="58"/>
      <c r="AN1214" s="58"/>
      <c r="AO1214" s="58"/>
      <c r="AP1214" s="58"/>
      <c r="AQ1214" s="58"/>
      <c r="AR1214" s="58"/>
    </row>
    <row r="1215" spans="1:44" x14ac:dyDescent="0.25">
      <c r="A1215" s="330">
        <v>637016</v>
      </c>
      <c r="B1215" s="329">
        <v>38160.207319999885</v>
      </c>
      <c r="C1215" s="157"/>
      <c r="D1215" s="330">
        <v>637016</v>
      </c>
      <c r="E1215" s="329">
        <v>38160.207319999885</v>
      </c>
      <c r="F1215" s="157"/>
      <c r="G1215" s="330">
        <v>637016</v>
      </c>
      <c r="H1215" s="349">
        <f>E1215+E1221</f>
        <v>39779.207319999885</v>
      </c>
      <c r="I1215" s="157"/>
      <c r="J1215" s="330">
        <v>637016</v>
      </c>
      <c r="K1215" s="329">
        <f>H1215+H1221</f>
        <v>39779.207319999885</v>
      </c>
      <c r="L1215" s="157"/>
      <c r="M1215" s="360">
        <f t="shared" si="129"/>
        <v>637016</v>
      </c>
      <c r="N1215" s="237">
        <f t="shared" si="130"/>
        <v>39779.207319999885</v>
      </c>
      <c r="O1215" s="361"/>
      <c r="P1215" s="361"/>
      <c r="Q1215" s="361" t="s">
        <v>698</v>
      </c>
      <c r="R1215" s="362">
        <f>IF(Q1215="ekrk",INDEX(indexy_SDcast!$A:$C,MATCH($M1215,indexy_SDcast!$A:$A,0),2),"")</f>
        <v>39</v>
      </c>
      <c r="S1215" s="236"/>
      <c r="T1215" s="364">
        <f t="shared" si="126"/>
        <v>637016</v>
      </c>
      <c r="U1215" s="365">
        <f t="shared" ref="U1215:U1220" si="131">N1215</f>
        <v>39779.207319999885</v>
      </c>
      <c r="V1215" s="365">
        <f>IF($Q1215="ekrk",IF($R1215="data",IFERROR(INDEX(data!$A:$ALL,MATCH($M1215,data!$A:$A,0),MATCH(V$2,data!$1:$1,0)),"#data"),IFERROR(U1215*INDEX(indexy_SDcast!$A:$ALI,MATCH($R1215,indexy_SDcast!$K:$K,0),MATCH(V$2,indexy_SDcast!$2:$2,0)),"#ekrk")),"#popis")</f>
        <v>40932.263356667099</v>
      </c>
      <c r="W1215" s="365">
        <f>IF($Q1215="ekrk",IF($R1215="data",IFERROR(INDEX(data!$A:$ALL,MATCH($M1215,data!$A:$A,0),MATCH(W$2,data!$1:$1,0)),"#data"),IFERROR(V1215*INDEX(indexy_SDcast!$A:$ALI,MATCH($R1215,indexy_SDcast!$K:$K,0),MATCH(W$2,indexy_SDcast!$2:$2,0)),"#ekrk")),"#popis")</f>
        <v>42445.818076074633</v>
      </c>
      <c r="X1215" s="365">
        <f>IF($Q1215="ekrk",IF($R1215="data",IFERROR(INDEX(data!$A:$ALL,MATCH($M1215,data!$A:$A,0),MATCH(X$2,data!$1:$1,0)),"#data"),IFERROR(W1215*INDEX(indexy_SDcast!$A:$ALI,MATCH($R1215,indexy_SDcast!$K:$K,0),MATCH(X$2,indexy_SDcast!$2:$2,0)),"#ekrk")),"#popis")</f>
        <v>44259.66893013964</v>
      </c>
      <c r="Y1215" s="362">
        <f>IF($Q1215="ekrk",IF($R1215="data",IFERROR(INDEX(data!$A:$ALL,MATCH($M1215,data!$A:$A,0),MATCH(Y$2,data!$1:$1,0)),"#data"),IFERROR(X1215*INDEX(indexy_SDcast!$A:$ALI,MATCH($R1215,indexy_SDcast!$K:$K,0),MATCH(Y$2,indexy_SDcast!$2:$2,0)),"#ekrk")),"#popis")</f>
        <v>46299.792322885354</v>
      </c>
    </row>
    <row r="1216" spans="1:44" x14ac:dyDescent="0.25">
      <c r="A1216" s="330">
        <v>642012</v>
      </c>
      <c r="B1216" s="329">
        <v>12121.590589999987</v>
      </c>
      <c r="C1216" s="157"/>
      <c r="D1216" s="330">
        <v>642012</v>
      </c>
      <c r="E1216" s="329">
        <v>12121.590589999987</v>
      </c>
      <c r="F1216" s="157"/>
      <c r="G1216" s="330">
        <v>642012</v>
      </c>
      <c r="H1216" s="329">
        <v>12121.590589999987</v>
      </c>
      <c r="I1216" s="157"/>
      <c r="J1216" s="330">
        <v>642012</v>
      </c>
      <c r="K1216" s="329">
        <v>12121.590589999987</v>
      </c>
      <c r="L1216" s="157"/>
      <c r="M1216" s="360">
        <f t="shared" si="129"/>
        <v>642012</v>
      </c>
      <c r="N1216" s="237">
        <f t="shared" si="130"/>
        <v>12121.590589999987</v>
      </c>
      <c r="O1216" s="361"/>
      <c r="P1216" s="361"/>
      <c r="Q1216" s="361" t="s">
        <v>698</v>
      </c>
      <c r="R1216" s="362">
        <f>IF(Q1216="ekrk",INDEX(indexy_SDcast!$A:$C,MATCH($M1216,indexy_SDcast!$A:$A,0),2),"")</f>
        <v>43</v>
      </c>
      <c r="S1216" s="236"/>
      <c r="T1216" s="364">
        <f t="shared" si="126"/>
        <v>642012</v>
      </c>
      <c r="U1216" s="365">
        <f t="shared" si="131"/>
        <v>12121.590589999987</v>
      </c>
      <c r="V1216" s="365">
        <f>IF($Q1216="ekrk",IF($R1216="data",IFERROR(INDEX(data!$A:$ALL,MATCH($M1216,data!$A:$A,0),MATCH(V$2,data!$1:$1,0)),"#data"),IFERROR(U1216*INDEX(indexy_SDcast!$A:$ALI,MATCH($R1216,indexy_SDcast!$K:$K,0),MATCH(V$2,indexy_SDcast!$2:$2,0)),"#ekrk")),"#popis")</f>
        <v>12424.344334548592</v>
      </c>
      <c r="W1216" s="365">
        <f>IF($Q1216="ekrk",IF($R1216="data",IFERROR(INDEX(data!$A:$ALL,MATCH($M1216,data!$A:$A,0),MATCH(W$2,data!$1:$1,0)),"#data"),IFERROR(V1216*INDEX(indexy_SDcast!$A:$ALI,MATCH($R1216,indexy_SDcast!$K:$K,0),MATCH(W$2,indexy_SDcast!$2:$2,0)),"#ekrk")),"#popis")</f>
        <v>12784.481355916052</v>
      </c>
      <c r="X1216" s="365">
        <f>IF($Q1216="ekrk",IF($R1216="data",IFERROR(INDEX(data!$A:$ALL,MATCH($M1216,data!$A:$A,0),MATCH(X$2,data!$1:$1,0)),"#data"),IFERROR(W1216*INDEX(indexy_SDcast!$A:$ALI,MATCH($R1216,indexy_SDcast!$K:$K,0),MATCH(X$2,indexy_SDcast!$2:$2,0)),"#ekrk")),"#popis")</f>
        <v>13257.213878005443</v>
      </c>
      <c r="Y1216" s="362">
        <f>IF($Q1216="ekrk",IF($R1216="data",IFERROR(INDEX(data!$A:$ALL,MATCH($M1216,data!$A:$A,0),MATCH(Y$2,data!$1:$1,0)),"#data"),IFERROR(X1216*INDEX(indexy_SDcast!$A:$ALI,MATCH($R1216,indexy_SDcast!$K:$K,0),MATCH(Y$2,indexy_SDcast!$2:$2,0)),"#ekrk")),"#popis")</f>
        <v>13823.738680803317</v>
      </c>
    </row>
    <row r="1217" spans="1:44" x14ac:dyDescent="0.25">
      <c r="A1217" s="330">
        <v>642013</v>
      </c>
      <c r="B1217" s="329">
        <v>17849.934519999959</v>
      </c>
      <c r="C1217" s="157"/>
      <c r="D1217" s="330">
        <v>642013</v>
      </c>
      <c r="E1217" s="329">
        <v>17849.934519999959</v>
      </c>
      <c r="F1217" s="157"/>
      <c r="G1217" s="330">
        <v>642013</v>
      </c>
      <c r="H1217" s="329">
        <v>17849.934519999959</v>
      </c>
      <c r="I1217" s="157"/>
      <c r="J1217" s="330">
        <v>642013</v>
      </c>
      <c r="K1217" s="329">
        <v>17849.934519999959</v>
      </c>
      <c r="L1217" s="157"/>
      <c r="M1217" s="360">
        <f t="shared" si="129"/>
        <v>642013</v>
      </c>
      <c r="N1217" s="237">
        <f t="shared" si="130"/>
        <v>17849.934519999959</v>
      </c>
      <c r="O1217" s="361"/>
      <c r="P1217" s="361"/>
      <c r="Q1217" s="361" t="s">
        <v>698</v>
      </c>
      <c r="R1217" s="362">
        <f>IF(Q1217="ekrk",INDEX(indexy_SDcast!$A:$C,MATCH($M1217,indexy_SDcast!$A:$A,0),2),"")</f>
        <v>43</v>
      </c>
      <c r="S1217" s="236"/>
      <c r="T1217" s="364">
        <f t="shared" si="126"/>
        <v>642013</v>
      </c>
      <c r="U1217" s="365">
        <f t="shared" si="131"/>
        <v>17849.934519999959</v>
      </c>
      <c r="V1217" s="365">
        <f>IF($Q1217="ekrk",IF($R1217="data",IFERROR(INDEX(data!$A:$ALL,MATCH($M1217,data!$A:$A,0),MATCH(V$2,data!$1:$1,0)),"#data"),IFERROR(U1217*INDEX(indexy_SDcast!$A:$ALI,MATCH($R1217,indexy_SDcast!$K:$K,0),MATCH(V$2,indexy_SDcast!$2:$2,0)),"#ekrk")),"#popis")</f>
        <v>18295.761697196958</v>
      </c>
      <c r="W1217" s="365">
        <f>IF($Q1217="ekrk",IF($R1217="data",IFERROR(INDEX(data!$A:$ALL,MATCH($M1217,data!$A:$A,0),MATCH(W$2,data!$1:$1,0)),"#data"),IFERROR(V1217*INDEX(indexy_SDcast!$A:$ALI,MATCH($R1217,indexy_SDcast!$K:$K,0),MATCH(W$2,indexy_SDcast!$2:$2,0)),"#ekrk")),"#popis")</f>
        <v>18826.089973994251</v>
      </c>
      <c r="X1217" s="365">
        <f>IF($Q1217="ekrk",IF($R1217="data",IFERROR(INDEX(data!$A:$ALL,MATCH($M1217,data!$A:$A,0),MATCH(X$2,data!$1:$1,0)),"#data"),IFERROR(W1217*INDEX(indexy_SDcast!$A:$ALI,MATCH($R1217,indexy_SDcast!$K:$K,0),MATCH(X$2,indexy_SDcast!$2:$2,0)),"#ekrk")),"#popis")</f>
        <v>19522.223414743472</v>
      </c>
      <c r="Y1217" s="362">
        <f>IF($Q1217="ekrk",IF($R1217="data",IFERROR(INDEX(data!$A:$ALL,MATCH($M1217,data!$A:$A,0),MATCH(Y$2,data!$1:$1,0)),"#data"),IFERROR(X1217*INDEX(indexy_SDcast!$A:$ALI,MATCH($R1217,indexy_SDcast!$K:$K,0),MATCH(Y$2,indexy_SDcast!$2:$2,0)),"#ekrk")),"#popis")</f>
        <v>20356.472893705453</v>
      </c>
    </row>
    <row r="1218" spans="1:44" x14ac:dyDescent="0.25">
      <c r="A1218" s="330">
        <v>642015</v>
      </c>
      <c r="B1218" s="329">
        <v>20185.209430000032</v>
      </c>
      <c r="C1218" s="157"/>
      <c r="D1218" s="330">
        <v>642015</v>
      </c>
      <c r="E1218" s="329">
        <v>20185.209430000032</v>
      </c>
      <c r="F1218" s="157"/>
      <c r="G1218" s="330">
        <v>642015</v>
      </c>
      <c r="H1218" s="329">
        <v>20185.209430000032</v>
      </c>
      <c r="I1218" s="157"/>
      <c r="J1218" s="330">
        <v>642015</v>
      </c>
      <c r="K1218" s="329">
        <v>20185.209430000032</v>
      </c>
      <c r="L1218" s="157"/>
      <c r="M1218" s="360">
        <f t="shared" si="129"/>
        <v>642015</v>
      </c>
      <c r="N1218" s="237">
        <f t="shared" si="130"/>
        <v>20185.209430000032</v>
      </c>
      <c r="O1218" s="361"/>
      <c r="P1218" s="361"/>
      <c r="Q1218" s="361" t="s">
        <v>698</v>
      </c>
      <c r="R1218" s="362">
        <v>39</v>
      </c>
      <c r="S1218" s="236"/>
      <c r="T1218" s="364">
        <f t="shared" si="126"/>
        <v>642015</v>
      </c>
      <c r="U1218" s="365">
        <f t="shared" si="131"/>
        <v>20185.209430000032</v>
      </c>
      <c r="V1218" s="365">
        <f>IF($Q1218="ekrk",IF($R1218="data",IFERROR(INDEX(data!$A:$ALL,MATCH($M1218,data!$A:$A,0),MATCH(V$2,data!$1:$1,0)),"#data"),IFERROR(U1218*INDEX(indexy_SDcast!$A:$ALI,MATCH($R1218,indexy_SDcast!$K:$K,0),MATCH(V$2,indexy_SDcast!$2:$2,0)),"#ekrk")),"#popis")</f>
        <v>20770.305995585735</v>
      </c>
      <c r="W1218" s="365">
        <f>IF($Q1218="ekrk",IF($R1218="data",IFERROR(INDEX(data!$A:$ALL,MATCH($M1218,data!$A:$A,0),MATCH(W$2,data!$1:$1,0)),"#data"),IFERROR(V1218*INDEX(indexy_SDcast!$A:$ALI,MATCH($R1218,indexy_SDcast!$K:$K,0),MATCH(W$2,indexy_SDcast!$2:$2,0)),"#ekrk")),"#popis")</f>
        <v>21538.330826981652</v>
      </c>
      <c r="X1218" s="365">
        <f>IF($Q1218="ekrk",IF($R1218="data",IFERROR(INDEX(data!$A:$ALL,MATCH($M1218,data!$A:$A,0),MATCH(X$2,data!$1:$1,0)),"#data"),IFERROR(W1218*INDEX(indexy_SDcast!$A:$ALI,MATCH($R1218,indexy_SDcast!$K:$K,0),MATCH(X$2,indexy_SDcast!$2:$2,0)),"#ekrk")),"#popis")</f>
        <v>22458.735275203991</v>
      </c>
      <c r="Y1218" s="362">
        <f>IF($Q1218="ekrk",IF($R1218="data",IFERROR(INDEX(data!$A:$ALL,MATCH($M1218,data!$A:$A,0),MATCH(Y$2,data!$1:$1,0)),"#data"),IFERROR(X1218*INDEX(indexy_SDcast!$A:$ALI,MATCH($R1218,indexy_SDcast!$K:$K,0),MATCH(Y$2,indexy_SDcast!$2:$2,0)),"#ekrk")),"#popis")</f>
        <v>23493.957460863538</v>
      </c>
    </row>
    <row r="1219" spans="1:44" x14ac:dyDescent="0.25">
      <c r="A1219" s="330">
        <v>642017</v>
      </c>
      <c r="B1219" s="329">
        <v>510.54027000000008</v>
      </c>
      <c r="C1219" s="157"/>
      <c r="D1219" s="330">
        <v>642017</v>
      </c>
      <c r="E1219" s="329">
        <v>510.54027000000008</v>
      </c>
      <c r="F1219" s="157"/>
      <c r="G1219" s="330">
        <v>642017</v>
      </c>
      <c r="H1219" s="329">
        <v>510.54027000000008</v>
      </c>
      <c r="I1219" s="157"/>
      <c r="J1219" s="330">
        <v>642017</v>
      </c>
      <c r="K1219" s="329">
        <v>510.54027000000008</v>
      </c>
      <c r="L1219" s="157"/>
      <c r="M1219" s="360">
        <f t="shared" si="129"/>
        <v>642017</v>
      </c>
      <c r="N1219" s="237">
        <f t="shared" si="130"/>
        <v>510.54027000000008</v>
      </c>
      <c r="O1219" s="361"/>
      <c r="P1219" s="361"/>
      <c r="Q1219" s="361" t="s">
        <v>698</v>
      </c>
      <c r="R1219" s="362">
        <f>IF(Q1219="ekrk",INDEX(indexy_SDcast!$A:$C,MATCH($M1219,indexy_SDcast!$A:$A,0),2),"")</f>
        <v>6</v>
      </c>
      <c r="S1219" s="236"/>
      <c r="T1219" s="364">
        <f t="shared" si="126"/>
        <v>642017</v>
      </c>
      <c r="U1219" s="365">
        <f t="shared" si="131"/>
        <v>510.54027000000008</v>
      </c>
      <c r="V1219" s="365">
        <f>IF($Q1219="ekrk",IF($R1219="data",IFERROR(INDEX(data!$A:$ALL,MATCH($M1219,data!$A:$A,0),MATCH(V$2,data!$1:$1,0)),"#data"),IFERROR(U1219*INDEX(indexy_SDcast!$A:$ALI,MATCH($R1219,indexy_SDcast!$K:$K,0),MATCH(V$2,indexy_SDcast!$2:$2,0)),"#ekrk")),"#popis")</f>
        <v>519.86628232035184</v>
      </c>
      <c r="W1219" s="365">
        <f>IF($Q1219="ekrk",IF($R1219="data",IFERROR(INDEX(data!$A:$ALL,MATCH($M1219,data!$A:$A,0),MATCH(W$2,data!$1:$1,0)),"#data"),IFERROR(V1219*INDEX(indexy_SDcast!$A:$ALI,MATCH($R1219,indexy_SDcast!$K:$K,0),MATCH(W$2,indexy_SDcast!$2:$2,0)),"#ekrk")),"#popis")</f>
        <v>534.87136203773741</v>
      </c>
      <c r="X1219" s="365">
        <f>IF($Q1219="ekrk",IF($R1219="data",IFERROR(INDEX(data!$A:$ALL,MATCH($M1219,data!$A:$A,0),MATCH(X$2,data!$1:$1,0)),"#data"),IFERROR(W1219*INDEX(indexy_SDcast!$A:$ALI,MATCH($R1219,indexy_SDcast!$K:$K,0),MATCH(X$2,indexy_SDcast!$2:$2,0)),"#ekrk")),"#popis")</f>
        <v>552.38330029728388</v>
      </c>
      <c r="Y1219" s="362">
        <f>IF($Q1219="ekrk",IF($R1219="data",IFERROR(INDEX(data!$A:$ALL,MATCH($M1219,data!$A:$A,0),MATCH(Y$2,data!$1:$1,0)),"#data"),IFERROR(X1219*INDEX(indexy_SDcast!$A:$ALI,MATCH($R1219,indexy_SDcast!$K:$K,0),MATCH(Y$2,indexy_SDcast!$2:$2,0)),"#ekrk")),"#popis")</f>
        <v>571.61943104030649</v>
      </c>
    </row>
    <row r="1220" spans="1:44" x14ac:dyDescent="0.25">
      <c r="A1220" s="330">
        <v>642035</v>
      </c>
      <c r="B1220" s="329">
        <v>40455.97868</v>
      </c>
      <c r="C1220" s="157"/>
      <c r="D1220" s="330">
        <v>642035</v>
      </c>
      <c r="E1220" s="329">
        <v>40455.97868</v>
      </c>
      <c r="F1220" s="157"/>
      <c r="G1220" s="330">
        <v>642035</v>
      </c>
      <c r="H1220" s="329">
        <v>40455.97868</v>
      </c>
      <c r="I1220" s="157"/>
      <c r="J1220" s="330">
        <v>642035</v>
      </c>
      <c r="K1220" s="329">
        <v>40455.97868</v>
      </c>
      <c r="L1220" s="157"/>
      <c r="M1220" s="360">
        <f t="shared" si="129"/>
        <v>642035</v>
      </c>
      <c r="N1220" s="237">
        <f t="shared" si="130"/>
        <v>40455.97868</v>
      </c>
      <c r="O1220" s="361"/>
      <c r="P1220" s="361"/>
      <c r="Q1220" s="361" t="s">
        <v>698</v>
      </c>
      <c r="R1220" s="362">
        <f>IF(Q1220="ekrk",INDEX(indexy_SDcast!$A:$C,MATCH($M1220,indexy_SDcast!$A:$A,0),2),"")</f>
        <v>6</v>
      </c>
      <c r="S1220" s="236"/>
      <c r="T1220" s="364">
        <f t="shared" si="126"/>
        <v>642035</v>
      </c>
      <c r="U1220" s="365">
        <f t="shared" si="131"/>
        <v>40455.97868</v>
      </c>
      <c r="V1220" s="365">
        <f>IF($Q1220="ekrk",IF($R1220="data",IFERROR(INDEX(data!$A:$ALL,MATCH($M1220,data!$A:$A,0),MATCH(V$2,data!$1:$1,0)),"#data"),IFERROR(U1220*INDEX(indexy_SDcast!$A:$ALI,MATCH($R1220,indexy_SDcast!$K:$K,0),MATCH(V$2,indexy_SDcast!$2:$2,0)),"#ekrk")),"#popis")</f>
        <v>41194.985919529936</v>
      </c>
      <c r="W1220" s="365">
        <f>IF($Q1220="ekrk",IF($R1220="data",IFERROR(INDEX(data!$A:$ALL,MATCH($M1220,data!$A:$A,0),MATCH(W$2,data!$1:$1,0)),"#data"),IFERROR(V1220*INDEX(indexy_SDcast!$A:$ALI,MATCH($R1220,indexy_SDcast!$K:$K,0),MATCH(W$2,indexy_SDcast!$2:$2,0)),"#ekrk")),"#popis")</f>
        <v>42384.010999056474</v>
      </c>
      <c r="X1220" s="365">
        <f>IF($Q1220="ekrk",IF($R1220="data",IFERROR(INDEX(data!$A:$ALL,MATCH($M1220,data!$A:$A,0),MATCH(X$2,data!$1:$1,0)),"#data"),IFERROR(W1220*INDEX(indexy_SDcast!$A:$ALI,MATCH($R1220,indexy_SDcast!$K:$K,0),MATCH(X$2,indexy_SDcast!$2:$2,0)),"#ekrk")),"#popis")</f>
        <v>43771.683318957286</v>
      </c>
      <c r="Y1220" s="362">
        <f>IF($Q1220="ekrk",IF($R1220="data",IFERROR(INDEX(data!$A:$ALL,MATCH($M1220,data!$A:$A,0),MATCH(Y$2,data!$1:$1,0)),"#data"),IFERROR(X1220*INDEX(indexy_SDcast!$A:$ALI,MATCH($R1220,indexy_SDcast!$K:$K,0),MATCH(Y$2,indexy_SDcast!$2:$2,0)),"#ekrk")),"#popis")</f>
        <v>45295.983243869014</v>
      </c>
    </row>
    <row r="1221" spans="1:44" x14ac:dyDescent="0.25">
      <c r="A1221" s="330" t="s">
        <v>699</v>
      </c>
      <c r="B1221" s="329">
        <v>1619</v>
      </c>
      <c r="C1221" s="157"/>
      <c r="D1221" s="348">
        <v>637016</v>
      </c>
      <c r="E1221" s="329">
        <v>1619</v>
      </c>
      <c r="F1221" s="157"/>
      <c r="G1221" s="330"/>
      <c r="H1221" s="329"/>
      <c r="I1221" s="157"/>
      <c r="J1221" s="330"/>
      <c r="K1221" s="329"/>
      <c r="L1221" s="157"/>
      <c r="M1221" s="360">
        <f t="shared" si="129"/>
        <v>0</v>
      </c>
      <c r="N1221" s="237">
        <f t="shared" si="130"/>
        <v>0</v>
      </c>
      <c r="O1221" s="361"/>
      <c r="P1221" s="361"/>
      <c r="Q1221" s="361"/>
      <c r="R1221" s="362"/>
      <c r="S1221" s="236"/>
      <c r="T1221" s="364">
        <f t="shared" ref="T1221:T1255" si="132">M1221</f>
        <v>0</v>
      </c>
      <c r="U1221" s="365"/>
      <c r="V1221" s="365"/>
      <c r="W1221" s="365"/>
      <c r="X1221" s="365"/>
      <c r="Y1221" s="362"/>
    </row>
    <row r="1222" spans="1:44" s="18" customFormat="1" x14ac:dyDescent="0.25">
      <c r="A1222" s="333" t="s">
        <v>727</v>
      </c>
      <c r="B1222" s="334">
        <v>-6668873.4348300016</v>
      </c>
      <c r="C1222" s="164"/>
      <c r="D1222" s="333" t="s">
        <v>727</v>
      </c>
      <c r="E1222" s="334">
        <v>-6668873.4348300016</v>
      </c>
      <c r="F1222" s="164"/>
      <c r="G1222" s="333" t="s">
        <v>727</v>
      </c>
      <c r="H1222" s="334">
        <v>-6668873.4348300016</v>
      </c>
      <c r="I1222" s="164"/>
      <c r="J1222" s="333" t="s">
        <v>727</v>
      </c>
      <c r="K1222" s="334">
        <v>-6668873.4348300016</v>
      </c>
      <c r="L1222" s="164"/>
      <c r="M1222" s="358" t="str">
        <f t="shared" si="129"/>
        <v>D621PAY</v>
      </c>
      <c r="N1222" s="239">
        <f t="shared" si="130"/>
        <v>-6668873.4348300016</v>
      </c>
      <c r="O1222" s="243"/>
      <c r="P1222" s="243">
        <f>MATCH(Q1222,Q1223:Q$1550,0)</f>
        <v>6</v>
      </c>
      <c r="Q1222" s="243" t="s">
        <v>697</v>
      </c>
      <c r="R1222" s="359" t="str">
        <f>IF(Q1222="ekrk",INDEX(indexy_SDcast!$A:$C,MATCH($M1222,indexy_SDcast!$A:$A,0),2),"")</f>
        <v/>
      </c>
      <c r="S1222" s="240"/>
      <c r="T1222" s="363" t="str">
        <f t="shared" si="132"/>
        <v>D621PAY</v>
      </c>
      <c r="U1222" s="244">
        <f>SUM(U1223:U1227)</f>
        <v>-6668873.4348300016</v>
      </c>
      <c r="V1222" s="244">
        <f>SUM(V1223:V1227)</f>
        <v>-6774287.999128215</v>
      </c>
      <c r="W1222" s="244">
        <f>SUM(W1223:W1227)</f>
        <v>-7035858.9757399252</v>
      </c>
      <c r="X1222" s="244">
        <f>SUM(X1223:X1227)</f>
        <v>-7357509.2071155468</v>
      </c>
      <c r="Y1222" s="359">
        <f>SUM(Y1223:Y1227)</f>
        <v>-7715016.4803613154</v>
      </c>
      <c r="Z1222" s="58"/>
      <c r="AA1222" s="58"/>
      <c r="AB1222" s="58"/>
      <c r="AC1222" s="58"/>
      <c r="AD1222" s="58"/>
      <c r="AE1222" s="58"/>
      <c r="AF1222" s="58"/>
      <c r="AG1222" s="58"/>
      <c r="AH1222" s="58"/>
      <c r="AI1222" s="58"/>
      <c r="AJ1222" s="58"/>
      <c r="AK1222" s="58"/>
      <c r="AL1222" s="58"/>
      <c r="AM1222" s="58"/>
      <c r="AN1222" s="58"/>
      <c r="AO1222" s="58"/>
      <c r="AP1222" s="58"/>
      <c r="AQ1222" s="58"/>
      <c r="AR1222" s="58"/>
    </row>
    <row r="1223" spans="1:44" x14ac:dyDescent="0.25">
      <c r="A1223" s="330">
        <v>642015</v>
      </c>
      <c r="B1223" s="329">
        <v>-399742.00618000003</v>
      </c>
      <c r="C1223" s="157"/>
      <c r="D1223" s="330">
        <v>642015</v>
      </c>
      <c r="E1223" s="329">
        <v>-399742.00618000003</v>
      </c>
      <c r="F1223" s="157"/>
      <c r="G1223" s="330">
        <v>642015</v>
      </c>
      <c r="H1223" s="329">
        <v>-399742.00618000003</v>
      </c>
      <c r="I1223" s="157"/>
      <c r="J1223" s="330">
        <v>642015</v>
      </c>
      <c r="K1223" s="329">
        <v>-399742.00618000003</v>
      </c>
      <c r="L1223" s="157"/>
      <c r="M1223" s="360">
        <f t="shared" si="129"/>
        <v>642015</v>
      </c>
      <c r="N1223" s="237">
        <f t="shared" si="130"/>
        <v>-399742.00618000003</v>
      </c>
      <c r="O1223" s="361"/>
      <c r="P1223" s="361"/>
      <c r="Q1223" s="361" t="s">
        <v>698</v>
      </c>
      <c r="R1223" s="362" t="str">
        <f>IF(Q1223="ekrk",INDEX(indexy_SDcast!$A:$C,MATCH($M1223,indexy_SDcast!$A:$A,0),2),"")</f>
        <v>data</v>
      </c>
      <c r="S1223" s="236"/>
      <c r="T1223" s="364">
        <f t="shared" si="132"/>
        <v>642015</v>
      </c>
      <c r="U1223" s="365">
        <f>N1223</f>
        <v>-399742.00618000003</v>
      </c>
      <c r="V1223" s="365">
        <f>IF($Q1223="ekrk",IF($R1223="data",IFERROR(INDEX(data!$A:$ALL,MATCH($M1223,data!$A:$A,0),MATCH(V$2,data!$1:$1,0)),"#data"),IFERROR(U1223*INDEX(indexy_SDcast!$A:$ALI,MATCH($R1223,indexy_SDcast!$K:$K,0),MATCH(V$2,indexy_SDcast!$2:$2,0)),"#ekrk")),"#popis")</f>
        <v>-416956.55690834683</v>
      </c>
      <c r="W1223" s="365">
        <f>IF($Q1223="ekrk",IF($R1223="data",IFERROR(INDEX(data!$A:$ALL,MATCH($M1223,data!$A:$A,0),MATCH(W$2,data!$1:$1,0)),"#data"),IFERROR(V1223*INDEX(indexy_SDcast!$A:$ALI,MATCH($R1223,indexy_SDcast!$K:$K,0),MATCH(W$2,indexy_SDcast!$2:$2,0)),"#ekrk")),"#popis")</f>
        <v>-432880.27446694346</v>
      </c>
      <c r="X1223" s="365">
        <f>IF($Q1223="ekrk",IF($R1223="data",IFERROR(INDEX(data!$A:$ALL,MATCH($M1223,data!$A:$A,0),MATCH(X$2,data!$1:$1,0)),"#data"),IFERROR(W1223*INDEX(indexy_SDcast!$A:$ALI,MATCH($R1223,indexy_SDcast!$K:$K,0),MATCH(X$2,indexy_SDcast!$2:$2,0)),"#ekrk")),"#popis")</f>
        <v>-451982.34765266033</v>
      </c>
      <c r="Y1223" s="362">
        <f>IF($Q1223="ekrk",IF($R1223="data",IFERROR(INDEX(data!$A:$ALL,MATCH($M1223,data!$A:$A,0),MATCH(Y$2,data!$1:$1,0)),"#data"),IFERROR(X1223*INDEX(indexy_SDcast!$A:$ALI,MATCH($R1223,indexy_SDcast!$K:$K,0),MATCH(Y$2,indexy_SDcast!$2:$2,0)),"#ekrk")),"#popis")</f>
        <v>-473931.12997611868</v>
      </c>
    </row>
    <row r="1224" spans="1:44" x14ac:dyDescent="0.25">
      <c r="A1224" s="330">
        <v>642016</v>
      </c>
      <c r="B1224" s="329">
        <v>-5149961.5074200006</v>
      </c>
      <c r="C1224" s="157"/>
      <c r="D1224" s="330">
        <v>642016</v>
      </c>
      <c r="E1224" s="329">
        <v>-5149961.5074200006</v>
      </c>
      <c r="F1224" s="157"/>
      <c r="G1224" s="330">
        <v>642016</v>
      </c>
      <c r="H1224" s="329">
        <v>-5149961.5074200006</v>
      </c>
      <c r="I1224" s="157"/>
      <c r="J1224" s="330">
        <v>642016</v>
      </c>
      <c r="K1224" s="329">
        <v>-5149961.5074200006</v>
      </c>
      <c r="L1224" s="157"/>
      <c r="M1224" s="360">
        <f t="shared" si="129"/>
        <v>642016</v>
      </c>
      <c r="N1224" s="237">
        <f t="shared" si="130"/>
        <v>-5149961.5074200006</v>
      </c>
      <c r="O1224" s="361"/>
      <c r="P1224" s="361"/>
      <c r="Q1224" s="361" t="s">
        <v>698</v>
      </c>
      <c r="R1224" s="362" t="str">
        <f>IF(Q1224="ekrk",INDEX(indexy_SDcast!$A:$C,MATCH($M1224,indexy_SDcast!$A:$A,0),2),"")</f>
        <v>data</v>
      </c>
      <c r="S1224" s="236"/>
      <c r="T1224" s="364">
        <f t="shared" si="132"/>
        <v>642016</v>
      </c>
      <c r="U1224" s="365">
        <f>N1224</f>
        <v>-5149961.5074200006</v>
      </c>
      <c r="V1224" s="365">
        <f>IF($Q1224="ekrk",IF($R1224="data",IFERROR(INDEX(data!$A:$ALL,MATCH($M1224,data!$A:$A,0),MATCH(V$2,data!$1:$1,0)),"#data"),IFERROR(U1224*INDEX(indexy_SDcast!$A:$ALI,MATCH($R1224,indexy_SDcast!$K:$K,0),MATCH(V$2,indexy_SDcast!$2:$2,0)),"#ekrk")),"#popis")</f>
        <v>-5282517.8918284886</v>
      </c>
      <c r="W1224" s="365">
        <f>IF($Q1224="ekrk",IF($R1224="data",IFERROR(INDEX(data!$A:$ALL,MATCH($M1224,data!$A:$A,0),MATCH(W$2,data!$1:$1,0)),"#data"),IFERROR(V1224*INDEX(indexy_SDcast!$A:$ALI,MATCH($R1224,indexy_SDcast!$K:$K,0),MATCH(W$2,indexy_SDcast!$2:$2,0)),"#ekrk")),"#popis")</f>
        <v>-5493762.2917383108</v>
      </c>
      <c r="X1224" s="365">
        <f>IF($Q1224="ekrk",IF($R1224="data",IFERROR(INDEX(data!$A:$ALL,MATCH($M1224,data!$A:$A,0),MATCH(X$2,data!$1:$1,0)),"#data"),IFERROR(W1224*INDEX(indexy_SDcast!$A:$ALI,MATCH($R1224,indexy_SDcast!$K:$K,0),MATCH(X$2,indexy_SDcast!$2:$2,0)),"#ekrk")),"#popis")</f>
        <v>-5733734.9883155823</v>
      </c>
      <c r="Y1224" s="362">
        <f>IF($Q1224="ekrk",IF($R1224="data",IFERROR(INDEX(data!$A:$ALL,MATCH($M1224,data!$A:$A,0),MATCH(Y$2,data!$1:$1,0)),"#data"),IFERROR(X1224*INDEX(indexy_SDcast!$A:$ALI,MATCH($R1224,indexy_SDcast!$K:$K,0),MATCH(Y$2,indexy_SDcast!$2:$2,0)),"#ekrk")),"#popis")</f>
        <v>-6029601.5804963121</v>
      </c>
    </row>
    <row r="1225" spans="1:44" x14ac:dyDescent="0.25">
      <c r="A1225" s="330">
        <v>642017</v>
      </c>
      <c r="B1225" s="329">
        <v>-41788.902160000005</v>
      </c>
      <c r="C1225" s="157"/>
      <c r="D1225" s="330">
        <v>642017</v>
      </c>
      <c r="E1225" s="329">
        <v>-41788.902160000005</v>
      </c>
      <c r="F1225" s="157"/>
      <c r="G1225" s="330">
        <v>642017</v>
      </c>
      <c r="H1225" s="329">
        <v>-41788.902160000005</v>
      </c>
      <c r="I1225" s="157"/>
      <c r="J1225" s="330">
        <v>642017</v>
      </c>
      <c r="K1225" s="329">
        <v>-41788.902160000005</v>
      </c>
      <c r="L1225" s="157"/>
      <c r="M1225" s="360">
        <f t="shared" si="129"/>
        <v>642017</v>
      </c>
      <c r="N1225" s="237">
        <f t="shared" si="130"/>
        <v>-41788.902160000005</v>
      </c>
      <c r="O1225" s="361"/>
      <c r="P1225" s="361"/>
      <c r="Q1225" s="361" t="s">
        <v>698</v>
      </c>
      <c r="R1225" s="362">
        <f>IF(Q1225="ekrk",INDEX(indexy_SDcast!$A:$C,MATCH($M1225,indexy_SDcast!$A:$A,0),2),"")</f>
        <v>6</v>
      </c>
      <c r="S1225" s="236"/>
      <c r="T1225" s="364">
        <f t="shared" si="132"/>
        <v>642017</v>
      </c>
      <c r="U1225" s="365">
        <f>N1225</f>
        <v>-41788.902160000005</v>
      </c>
      <c r="V1225" s="365">
        <f>IF($Q1225="ekrk",IF($R1225="data",IFERROR(INDEX(data!$A:$ALL,MATCH($M1225,data!$A:$A,0),MATCH(V$2,data!$1:$1,0)),"#data"),IFERROR(U1225*INDEX(indexy_SDcast!$A:$ALI,MATCH($R1225,indexy_SDcast!$K:$K,0),MATCH(V$2,indexy_SDcast!$2:$2,0)),"#ekrk")),"#popis")</f>
        <v>-42552.257842790976</v>
      </c>
      <c r="W1225" s="365">
        <f>IF($Q1225="ekrk",IF($R1225="data",IFERROR(INDEX(data!$A:$ALL,MATCH($M1225,data!$A:$A,0),MATCH(W$2,data!$1:$1,0)),"#data"),IFERROR(V1225*INDEX(indexy_SDcast!$A:$ALI,MATCH($R1225,indexy_SDcast!$K:$K,0),MATCH(W$2,indexy_SDcast!$2:$2,0)),"#ekrk")),"#popis")</f>
        <v>-43780.45832972382</v>
      </c>
      <c r="X1225" s="365">
        <f>IF($Q1225="ekrk",IF($R1225="data",IFERROR(INDEX(data!$A:$ALL,MATCH($M1225,data!$A:$A,0),MATCH(X$2,data!$1:$1,0)),"#data"),IFERROR(W1225*INDEX(indexy_SDcast!$A:$ALI,MATCH($R1225,indexy_SDcast!$K:$K,0),MATCH(X$2,indexy_SDcast!$2:$2,0)),"#ekrk")),"#popis")</f>
        <v>-45213.850987584374</v>
      </c>
      <c r="Y1225" s="362">
        <f>IF($Q1225="ekrk",IF($R1225="data",IFERROR(INDEX(data!$A:$ALL,MATCH($M1225,data!$A:$A,0),MATCH(Y$2,data!$1:$1,0)),"#data"),IFERROR(X1225*INDEX(indexy_SDcast!$A:$ALI,MATCH($R1225,indexy_SDcast!$K:$K,0),MATCH(Y$2,indexy_SDcast!$2:$2,0)),"#ekrk")),"#popis")</f>
        <v>-46788.372788885448</v>
      </c>
    </row>
    <row r="1226" spans="1:44" x14ac:dyDescent="0.25">
      <c r="A1226" s="330">
        <v>642020</v>
      </c>
      <c r="B1226" s="329">
        <v>-903071.54095000005</v>
      </c>
      <c r="C1226" s="157"/>
      <c r="D1226" s="330">
        <v>642020</v>
      </c>
      <c r="E1226" s="329">
        <v>-903071.54095000005</v>
      </c>
      <c r="F1226" s="157"/>
      <c r="G1226" s="330">
        <v>642020</v>
      </c>
      <c r="H1226" s="329">
        <v>-903071.54095000005</v>
      </c>
      <c r="I1226" s="157"/>
      <c r="J1226" s="330">
        <v>642020</v>
      </c>
      <c r="K1226" s="329">
        <v>-903071.54095000005</v>
      </c>
      <c r="L1226" s="157"/>
      <c r="M1226" s="360">
        <f t="shared" si="129"/>
        <v>642020</v>
      </c>
      <c r="N1226" s="237">
        <f t="shared" si="130"/>
        <v>-903071.54095000005</v>
      </c>
      <c r="O1226" s="361"/>
      <c r="P1226" s="361"/>
      <c r="Q1226" s="361" t="s">
        <v>698</v>
      </c>
      <c r="R1226" s="362" t="str">
        <f>IF(Q1226="ekrk",INDEX(indexy_SDcast!$A:$C,MATCH($M1226,indexy_SDcast!$A:$A,0),2),"")</f>
        <v>data</v>
      </c>
      <c r="S1226" s="236"/>
      <c r="T1226" s="364">
        <f t="shared" si="132"/>
        <v>642020</v>
      </c>
      <c r="U1226" s="365">
        <f>N1226</f>
        <v>-903071.54095000005</v>
      </c>
      <c r="V1226" s="365">
        <f>IF($Q1226="ekrk",IF($R1226="data",IFERROR(INDEX(data!$A:$ALL,MATCH($M1226,data!$A:$A,0),MATCH(V$2,data!$1:$1,0)),"#data"),IFERROR(U1226*INDEX(indexy_SDcast!$A:$ALI,MATCH($R1226,indexy_SDcast!$K:$K,0),MATCH(V$2,indexy_SDcast!$2:$2,0)),"#ekrk")),"#popis")</f>
        <v>-858272.70147294772</v>
      </c>
      <c r="W1226" s="365">
        <f>IF($Q1226="ekrk",IF($R1226="data",IFERROR(INDEX(data!$A:$ALL,MATCH($M1226,data!$A:$A,0),MATCH(W$2,data!$1:$1,0)),"#data"),IFERROR(V1226*INDEX(indexy_SDcast!$A:$ALI,MATCH($R1226,indexy_SDcast!$K:$K,0),MATCH(W$2,indexy_SDcast!$2:$2,0)),"#ekrk")),"#popis")</f>
        <v>-894640.98944481905</v>
      </c>
      <c r="X1226" s="365">
        <f>IF($Q1226="ekrk",IF($R1226="data",IFERROR(INDEX(data!$A:$ALL,MATCH($M1226,data!$A:$A,0),MATCH(X$2,data!$1:$1,0)),"#data"),IFERROR(W1226*INDEX(indexy_SDcast!$A:$ALI,MATCH($R1226,indexy_SDcast!$K:$K,0),MATCH(X$2,indexy_SDcast!$2:$2,0)),"#ekrk")),"#popis")</f>
        <v>-961247.81734128331</v>
      </c>
      <c r="Y1226" s="362">
        <f>IF($Q1226="ekrk",IF($R1226="data",IFERROR(INDEX(data!$A:$ALL,MATCH($M1226,data!$A:$A,0),MATCH(Y$2,data!$1:$1,0)),"#data"),IFERROR(X1226*INDEX(indexy_SDcast!$A:$ALI,MATCH($R1226,indexy_SDcast!$K:$K,0),MATCH(Y$2,indexy_SDcast!$2:$2,0)),"#ekrk")),"#popis")</f>
        <v>-1006562.6569834325</v>
      </c>
    </row>
    <row r="1227" spans="1:44" x14ac:dyDescent="0.25">
      <c r="A1227" s="330">
        <v>642033</v>
      </c>
      <c r="B1227" s="329">
        <v>-174309.47812000001</v>
      </c>
      <c r="C1227" s="157"/>
      <c r="D1227" s="330">
        <v>642033</v>
      </c>
      <c r="E1227" s="329">
        <v>-174309.47812000001</v>
      </c>
      <c r="F1227" s="157"/>
      <c r="G1227" s="330">
        <v>642033</v>
      </c>
      <c r="H1227" s="329">
        <v>-174309.47812000001</v>
      </c>
      <c r="I1227" s="157"/>
      <c r="J1227" s="330">
        <v>642033</v>
      </c>
      <c r="K1227" s="329">
        <v>-174309.47812000001</v>
      </c>
      <c r="L1227" s="157"/>
      <c r="M1227" s="360">
        <f t="shared" si="129"/>
        <v>642033</v>
      </c>
      <c r="N1227" s="237">
        <f t="shared" si="130"/>
        <v>-174309.47812000001</v>
      </c>
      <c r="O1227" s="361"/>
      <c r="P1227" s="361"/>
      <c r="Q1227" s="361" t="s">
        <v>698</v>
      </c>
      <c r="R1227" s="362">
        <f>IF(Q1227="ekrk",INDEX(indexy_SDcast!$A:$C,MATCH($M1227,indexy_SDcast!$A:$A,0),2),"")</f>
        <v>44</v>
      </c>
      <c r="S1227" s="236"/>
      <c r="T1227" s="364">
        <f t="shared" si="132"/>
        <v>642033</v>
      </c>
      <c r="U1227" s="365">
        <f>N1227</f>
        <v>-174309.47812000001</v>
      </c>
      <c r="V1227" s="365">
        <f>IF($Q1227="ekrk",IF($R1227="data",IFERROR(INDEX(data!$A:$ALL,MATCH($M1227,data!$A:$A,0),MATCH(V$2,data!$1:$1,0)),"#data"),IFERROR(U1227*INDEX(indexy_SDcast!$A:$ALI,MATCH($R1227,indexy_SDcast!$K:$K,0),MATCH(V$2,indexy_SDcast!$2:$2,0)),"#ekrk")),"#popis")</f>
        <v>-173988.59107564099</v>
      </c>
      <c r="W1227" s="365">
        <f>IF($Q1227="ekrk",IF($R1227="data",IFERROR(INDEX(data!$A:$ALL,MATCH($M1227,data!$A:$A,0),MATCH(W$2,data!$1:$1,0)),"#data"),IFERROR(V1227*INDEX(indexy_SDcast!$A:$ALI,MATCH($R1227,indexy_SDcast!$K:$K,0),MATCH(W$2,indexy_SDcast!$2:$2,0)),"#ekrk")),"#popis")</f>
        <v>-170794.96176012786</v>
      </c>
      <c r="X1227" s="365">
        <f>IF($Q1227="ekrk",IF($R1227="data",IFERROR(INDEX(data!$A:$ALL,MATCH($M1227,data!$A:$A,0),MATCH(X$2,data!$1:$1,0)),"#data"),IFERROR(W1227*INDEX(indexy_SDcast!$A:$ALI,MATCH($R1227,indexy_SDcast!$K:$K,0),MATCH(X$2,indexy_SDcast!$2:$2,0)),"#ekrk")),"#popis")</f>
        <v>-165330.20281843661</v>
      </c>
      <c r="Y1227" s="362">
        <f>IF($Q1227="ekrk",IF($R1227="data",IFERROR(INDEX(data!$A:$ALL,MATCH($M1227,data!$A:$A,0),MATCH(Y$2,data!$1:$1,0)),"#data"),IFERROR(X1227*INDEX(indexy_SDcast!$A:$ALI,MATCH($R1227,indexy_SDcast!$K:$K,0),MATCH(Y$2,indexy_SDcast!$2:$2,0)),"#ekrk")),"#popis")</f>
        <v>-158132.74011656677</v>
      </c>
    </row>
    <row r="1228" spans="1:44" s="18" customFormat="1" x14ac:dyDescent="0.25">
      <c r="A1228" s="333" t="s">
        <v>728</v>
      </c>
      <c r="B1228" s="334">
        <v>-3115103.9690840482</v>
      </c>
      <c r="C1228" s="164"/>
      <c r="D1228" s="333" t="s">
        <v>728</v>
      </c>
      <c r="E1228" s="334">
        <v>-3115103.9690840482</v>
      </c>
      <c r="F1228" s="164"/>
      <c r="G1228" s="333" t="s">
        <v>728</v>
      </c>
      <c r="H1228" s="334">
        <v>-3115103.9690840482</v>
      </c>
      <c r="I1228" s="164"/>
      <c r="J1228" s="333" t="s">
        <v>728</v>
      </c>
      <c r="K1228" s="334">
        <v>-3115103.9690840482</v>
      </c>
      <c r="L1228" s="164"/>
      <c r="M1228" s="358" t="str">
        <f t="shared" si="129"/>
        <v>D624PAY</v>
      </c>
      <c r="N1228" s="239">
        <f t="shared" si="130"/>
        <v>-3115103.9690840482</v>
      </c>
      <c r="O1228" s="243"/>
      <c r="P1228" s="243">
        <f>MATCH(Q1228,Q1229:Q$1550,0)</f>
        <v>21</v>
      </c>
      <c r="Q1228" s="243" t="s">
        <v>697</v>
      </c>
      <c r="R1228" s="359" t="str">
        <f>IF(Q1228="ekrk",INDEX(indexy_SDcast!$A:$C,MATCH($M1228,indexy_SDcast!$A:$A,0),2),"")</f>
        <v/>
      </c>
      <c r="S1228" s="240"/>
      <c r="T1228" s="363" t="str">
        <f t="shared" si="132"/>
        <v>D624PAY</v>
      </c>
      <c r="U1228" s="244">
        <f>SUM(U1229:U1248)</f>
        <v>-3115103.9690840482</v>
      </c>
      <c r="V1228" s="244">
        <f>SUM(V1229:V1248)</f>
        <v>-3064920.3029070036</v>
      </c>
      <c r="W1228" s="244">
        <f>SUM(W1229:W1248)</f>
        <v>-3106230.3762341747</v>
      </c>
      <c r="X1228" s="244">
        <f>SUM(X1229:X1248)</f>
        <v>-3170644.9824510231</v>
      </c>
      <c r="Y1228" s="359">
        <f>SUM(Y1229:Y1248)</f>
        <v>-3251188.7369484357</v>
      </c>
      <c r="Z1228" s="58"/>
      <c r="AA1228" s="58"/>
      <c r="AB1228" s="58"/>
      <c r="AC1228" s="58"/>
      <c r="AD1228" s="58"/>
      <c r="AE1228" s="58"/>
      <c r="AF1228" s="58"/>
      <c r="AG1228" s="58"/>
      <c r="AH1228" s="58"/>
      <c r="AI1228" s="58"/>
      <c r="AJ1228" s="58"/>
      <c r="AK1228" s="58"/>
      <c r="AL1228" s="58"/>
      <c r="AM1228" s="58"/>
      <c r="AN1228" s="58"/>
      <c r="AO1228" s="58"/>
      <c r="AP1228" s="58"/>
      <c r="AQ1228" s="58"/>
      <c r="AR1228" s="58"/>
    </row>
    <row r="1229" spans="1:44" x14ac:dyDescent="0.25">
      <c r="A1229" s="330">
        <v>642014</v>
      </c>
      <c r="B1229" s="329">
        <v>-115835.89882404837</v>
      </c>
      <c r="C1229" s="157"/>
      <c r="D1229" s="330">
        <v>642014</v>
      </c>
      <c r="E1229" s="329">
        <v>-115835.89882404837</v>
      </c>
      <c r="F1229" s="157"/>
      <c r="G1229" s="330">
        <v>642014</v>
      </c>
      <c r="H1229" s="329">
        <v>-115835.89882404837</v>
      </c>
      <c r="I1229" s="157"/>
      <c r="J1229" s="330">
        <v>642014</v>
      </c>
      <c r="K1229" s="329">
        <v>-115835.89882404837</v>
      </c>
      <c r="L1229" s="157"/>
      <c r="M1229" s="360">
        <f t="shared" si="129"/>
        <v>642014</v>
      </c>
      <c r="N1229" s="237">
        <f t="shared" si="130"/>
        <v>-115835.89882404837</v>
      </c>
      <c r="O1229" s="361"/>
      <c r="P1229" s="361"/>
      <c r="Q1229" s="361" t="s">
        <v>698</v>
      </c>
      <c r="R1229" s="362">
        <f>IF(Q1229="ekrk",INDEX(indexy_SDcast!$A:$C,MATCH($M1229,indexy_SDcast!$A:$A,0),2),"")</f>
        <v>25</v>
      </c>
      <c r="S1229" s="236"/>
      <c r="T1229" s="364">
        <f t="shared" si="132"/>
        <v>642014</v>
      </c>
      <c r="U1229" s="365">
        <f t="shared" ref="U1229:U1248" si="133">N1229</f>
        <v>-115835.89882404837</v>
      </c>
      <c r="V1229" s="365">
        <f>IF($Q1229="ekrk",IF($R1229="data",IFERROR(INDEX(data!$A:$ALL,MATCH($M1229,data!$A:$A,0),MATCH(V$2,data!$1:$1,0)),"#data"),IFERROR(U1229*INDEX(indexy_SDcast!$A:$ALI,MATCH($R1229,indexy_SDcast!$K:$K,0),MATCH(V$2,indexy_SDcast!$2:$2,0)),"#ekrk")),"#popis")</f>
        <v>-116710.1696336007</v>
      </c>
      <c r="W1229" s="365">
        <f>IF($Q1229="ekrk",IF($R1229="data",IFERROR(INDEX(data!$A:$ALL,MATCH($M1229,data!$A:$A,0),MATCH(W$2,data!$1:$1,0)),"#data"),IFERROR(V1229*INDEX(indexy_SDcast!$A:$ALI,MATCH($R1229,indexy_SDcast!$K:$K,0),MATCH(W$2,indexy_SDcast!$2:$2,0)),"#ekrk")),"#popis")</f>
        <v>-119131.86251673911</v>
      </c>
      <c r="X1229" s="365">
        <f>IF($Q1229="ekrk",IF($R1229="data",IFERROR(INDEX(data!$A:$ALL,MATCH($M1229,data!$A:$A,0),MATCH(X$2,data!$1:$1,0)),"#data"),IFERROR(W1229*INDEX(indexy_SDcast!$A:$ALI,MATCH($R1229,indexy_SDcast!$K:$K,0),MATCH(X$2,indexy_SDcast!$2:$2,0)),"#ekrk")),"#popis")</f>
        <v>-121841.82781866258</v>
      </c>
      <c r="Y1229" s="362">
        <f>IF($Q1229="ekrk",IF($R1229="data",IFERROR(INDEX(data!$A:$ALL,MATCH($M1229,data!$A:$A,0),MATCH(Y$2,data!$1:$1,0)),"#data"),IFERROR(X1229*INDEX(indexy_SDcast!$A:$ALI,MATCH($R1229,indexy_SDcast!$K:$K,0),MATCH(Y$2,indexy_SDcast!$2:$2,0)),"#ekrk")),"#popis")</f>
        <v>-124711.6112826211</v>
      </c>
    </row>
    <row r="1230" spans="1:44" x14ac:dyDescent="0.25">
      <c r="A1230" s="330">
        <v>642018</v>
      </c>
      <c r="B1230" s="329">
        <v>-125366.26402999999</v>
      </c>
      <c r="C1230" s="157"/>
      <c r="D1230" s="330">
        <v>642018</v>
      </c>
      <c r="E1230" s="329">
        <v>-125366.26402999999</v>
      </c>
      <c r="F1230" s="157"/>
      <c r="G1230" s="330">
        <v>642018</v>
      </c>
      <c r="H1230" s="329">
        <v>-125366.26402999999</v>
      </c>
      <c r="I1230" s="157"/>
      <c r="J1230" s="330">
        <v>642018</v>
      </c>
      <c r="K1230" s="329">
        <v>-125366.26402999999</v>
      </c>
      <c r="L1230" s="157"/>
      <c r="M1230" s="360">
        <f t="shared" si="129"/>
        <v>642018</v>
      </c>
      <c r="N1230" s="237">
        <f t="shared" si="130"/>
        <v>-125366.26402999999</v>
      </c>
      <c r="O1230" s="361"/>
      <c r="P1230" s="361"/>
      <c r="Q1230" s="361" t="s">
        <v>698</v>
      </c>
      <c r="R1230" s="362" t="str">
        <f>IF(Q1230="ekrk",INDEX(indexy_SDcast!$A:$C,MATCH($M1230,indexy_SDcast!$A:$A,0),2),"")</f>
        <v>data</v>
      </c>
      <c r="S1230" s="236"/>
      <c r="T1230" s="364">
        <f t="shared" si="132"/>
        <v>642018</v>
      </c>
      <c r="U1230" s="365">
        <f t="shared" si="133"/>
        <v>-125366.26402999999</v>
      </c>
      <c r="V1230" s="365">
        <f>IF($Q1230="ekrk",IF($R1230="data",IFERROR(INDEX(data!$A:$ALL,MATCH($M1230,data!$A:$A,0),MATCH(V$2,data!$1:$1,0)),"#data"),IFERROR(U1230*INDEX(indexy_SDcast!$A:$ALI,MATCH($R1230,indexy_SDcast!$K:$K,0),MATCH(V$2,indexy_SDcast!$2:$2,0)),"#ekrk")),"#popis")</f>
        <v>-125567.46941436405</v>
      </c>
      <c r="W1230" s="365">
        <f>IF($Q1230="ekrk",IF($R1230="data",IFERROR(INDEX(data!$A:$ALL,MATCH($M1230,data!$A:$A,0),MATCH(W$2,data!$1:$1,0)),"#data"),IFERROR(V1230*INDEX(indexy_SDcast!$A:$ALI,MATCH($R1230,indexy_SDcast!$K:$K,0),MATCH(W$2,indexy_SDcast!$2:$2,0)),"#ekrk")),"#popis")</f>
        <v>-126963.59143023178</v>
      </c>
      <c r="X1230" s="365">
        <f>IF($Q1230="ekrk",IF($R1230="data",IFERROR(INDEX(data!$A:$ALL,MATCH($M1230,data!$A:$A,0),MATCH(X$2,data!$1:$1,0)),"#data"),IFERROR(W1230*INDEX(indexy_SDcast!$A:$ALI,MATCH($R1230,indexy_SDcast!$K:$K,0),MATCH(X$2,indexy_SDcast!$2:$2,0)),"#ekrk")),"#popis")</f>
        <v>-128204.2527381231</v>
      </c>
      <c r="Y1230" s="362">
        <f>IF($Q1230="ekrk",IF($R1230="data",IFERROR(INDEX(data!$A:$ALL,MATCH($M1230,data!$A:$A,0),MATCH(Y$2,data!$1:$1,0)),"#data"),IFERROR(X1230*INDEX(indexy_SDcast!$A:$ALI,MATCH($R1230,indexy_SDcast!$K:$K,0),MATCH(Y$2,indexy_SDcast!$2:$2,0)),"#ekrk")),"#popis")</f>
        <v>-133939.73876642325</v>
      </c>
    </row>
    <row r="1231" spans="1:44" x14ac:dyDescent="0.25">
      <c r="A1231" s="330">
        <v>642019</v>
      </c>
      <c r="B1231" s="329">
        <v>-318494.12464999995</v>
      </c>
      <c r="C1231" s="157"/>
      <c r="D1231" s="330">
        <v>642019</v>
      </c>
      <c r="E1231" s="329">
        <v>-318494.12464999995</v>
      </c>
      <c r="F1231" s="157"/>
      <c r="G1231" s="330">
        <v>642019</v>
      </c>
      <c r="H1231" s="329">
        <v>-318494.12464999995</v>
      </c>
      <c r="I1231" s="157"/>
      <c r="J1231" s="330">
        <v>642019</v>
      </c>
      <c r="K1231" s="329">
        <v>-318494.12464999995</v>
      </c>
      <c r="L1231" s="157"/>
      <c r="M1231" s="360">
        <f t="shared" si="129"/>
        <v>642019</v>
      </c>
      <c r="N1231" s="237">
        <f t="shared" si="130"/>
        <v>-318494.12464999995</v>
      </c>
      <c r="O1231" s="361"/>
      <c r="P1231" s="361"/>
      <c r="Q1231" s="361" t="s">
        <v>698</v>
      </c>
      <c r="R1231" s="362">
        <f>IF(Q1231="ekrk",INDEX(indexy_SDcast!$A:$C,MATCH($M1231,indexy_SDcast!$A:$A,0),2),"")</f>
        <v>50</v>
      </c>
      <c r="S1231" s="236"/>
      <c r="T1231" s="364">
        <f t="shared" si="132"/>
        <v>642019</v>
      </c>
      <c r="U1231" s="365">
        <f t="shared" si="133"/>
        <v>-318494.12464999995</v>
      </c>
      <c r="V1231" s="365">
        <f>IF($Q1231="ekrk",IF($R1231="data",IFERROR(INDEX(data!$A:$ALL,MATCH($M1231,data!$A:$A,0),MATCH(V$2,data!$1:$1,0)),"#data"),IFERROR(U1231*INDEX(indexy_SDcast!$A:$ALI,MATCH($R1231,indexy_SDcast!$K:$K,0),MATCH(V$2,indexy_SDcast!$2:$2,0)),"#ekrk")),"#popis")</f>
        <v>-320017.08803099731</v>
      </c>
      <c r="W1231" s="365">
        <f>IF($Q1231="ekrk",IF($R1231="data",IFERROR(INDEX(data!$A:$ALL,MATCH($M1231,data!$A:$A,0),MATCH(W$2,data!$1:$1,0)),"#data"),IFERROR(V1231*INDEX(indexy_SDcast!$A:$ALI,MATCH($R1231,indexy_SDcast!$K:$K,0),MATCH(W$2,indexy_SDcast!$2:$2,0)),"#ekrk")),"#popis")</f>
        <v>-316912.04301916377</v>
      </c>
      <c r="X1231" s="365">
        <f>IF($Q1231="ekrk",IF($R1231="data",IFERROR(INDEX(data!$A:$ALL,MATCH($M1231,data!$A:$A,0),MATCH(X$2,data!$1:$1,0)),"#data"),IFERROR(W1231*INDEX(indexy_SDcast!$A:$ALI,MATCH($R1231,indexy_SDcast!$K:$K,0),MATCH(X$2,indexy_SDcast!$2:$2,0)),"#ekrk")),"#popis")</f>
        <v>-319734.86814687785</v>
      </c>
      <c r="Y1231" s="362">
        <f>IF($Q1231="ekrk",IF($R1231="data",IFERROR(INDEX(data!$A:$ALL,MATCH($M1231,data!$A:$A,0),MATCH(Y$2,data!$1:$1,0)),"#data"),IFERROR(X1231*INDEX(indexy_SDcast!$A:$ALI,MATCH($R1231,indexy_SDcast!$K:$K,0),MATCH(Y$2,indexy_SDcast!$2:$2,0)),"#ekrk")),"#popis")</f>
        <v>-323026.32800353452</v>
      </c>
    </row>
    <row r="1232" spans="1:44" x14ac:dyDescent="0.25">
      <c r="A1232" s="330">
        <v>642022</v>
      </c>
      <c r="B1232" s="329">
        <v>-8981.5413499999995</v>
      </c>
      <c r="C1232" s="157"/>
      <c r="D1232" s="330">
        <v>642022</v>
      </c>
      <c r="E1232" s="329">
        <v>-8981.5413499999995</v>
      </c>
      <c r="F1232" s="157"/>
      <c r="G1232" s="330">
        <v>642022</v>
      </c>
      <c r="H1232" s="329">
        <v>-8981.5413499999995</v>
      </c>
      <c r="I1232" s="157"/>
      <c r="J1232" s="330">
        <v>642022</v>
      </c>
      <c r="K1232" s="329">
        <v>-8981.5413499999995</v>
      </c>
      <c r="L1232" s="157"/>
      <c r="M1232" s="360">
        <f t="shared" si="129"/>
        <v>642022</v>
      </c>
      <c r="N1232" s="237">
        <f t="shared" si="130"/>
        <v>-8981.5413499999995</v>
      </c>
      <c r="O1232" s="361"/>
      <c r="P1232" s="361"/>
      <c r="Q1232" s="361" t="s">
        <v>698</v>
      </c>
      <c r="R1232" s="362">
        <f>IF(Q1232="ekrk",INDEX(indexy_SDcast!$A:$C,MATCH($M1232,indexy_SDcast!$A:$A,0),2),"")</f>
        <v>53</v>
      </c>
      <c r="S1232" s="236"/>
      <c r="T1232" s="364">
        <f t="shared" si="132"/>
        <v>642022</v>
      </c>
      <c r="U1232" s="365">
        <f t="shared" si="133"/>
        <v>-8981.5413499999995</v>
      </c>
      <c r="V1232" s="365">
        <f>IF($Q1232="ekrk",IF($R1232="data",IFERROR(INDEX(data!$A:$ALL,MATCH($M1232,data!$A:$A,0),MATCH(V$2,data!$1:$1,0)),"#data"),IFERROR(U1232*INDEX(indexy_SDcast!$A:$ALI,MATCH($R1232,indexy_SDcast!$K:$K,0),MATCH(V$2,indexy_SDcast!$2:$2,0)),"#ekrk")),"#popis")</f>
        <v>-9560.8248992192639</v>
      </c>
      <c r="W1232" s="365">
        <f>IF($Q1232="ekrk",IF($R1232="data",IFERROR(INDEX(data!$A:$ALL,MATCH($M1232,data!$A:$A,0),MATCH(W$2,data!$1:$1,0)),"#data"),IFERROR(V1232*INDEX(indexy_SDcast!$A:$ALI,MATCH($R1232,indexy_SDcast!$K:$K,0),MATCH(W$2,indexy_SDcast!$2:$2,0)),"#ekrk")),"#popis")</f>
        <v>-9529.5304000019696</v>
      </c>
      <c r="X1232" s="365">
        <f>IF($Q1232="ekrk",IF($R1232="data",IFERROR(INDEX(data!$A:$ALL,MATCH($M1232,data!$A:$A,0),MATCH(X$2,data!$1:$1,0)),"#data"),IFERROR(W1232*INDEX(indexy_SDcast!$A:$ALI,MATCH($R1232,indexy_SDcast!$K:$K,0),MATCH(X$2,indexy_SDcast!$2:$2,0)),"#ekrk")),"#popis")</f>
        <v>-9648.1503218822218</v>
      </c>
      <c r="Y1232" s="362">
        <f>IF($Q1232="ekrk",IF($R1232="data",IFERROR(INDEX(data!$A:$ALL,MATCH($M1232,data!$A:$A,0),MATCH(Y$2,data!$1:$1,0)),"#data"),IFERROR(X1232*INDEX(indexy_SDcast!$A:$ALI,MATCH($R1232,indexy_SDcast!$K:$K,0),MATCH(Y$2,indexy_SDcast!$2:$2,0)),"#ekrk")),"#popis")</f>
        <v>-9768.6587718113842</v>
      </c>
    </row>
    <row r="1233" spans="1:25" x14ac:dyDescent="0.25">
      <c r="A1233" s="330">
        <v>642023</v>
      </c>
      <c r="B1233" s="329">
        <v>-4075.4628499999999</v>
      </c>
      <c r="C1233" s="157"/>
      <c r="D1233" s="330">
        <v>642023</v>
      </c>
      <c r="E1233" s="329">
        <v>-4075.4628499999999</v>
      </c>
      <c r="F1233" s="157"/>
      <c r="G1233" s="330">
        <v>642023</v>
      </c>
      <c r="H1233" s="329">
        <v>-4075.4628499999999</v>
      </c>
      <c r="I1233" s="157"/>
      <c r="J1233" s="330">
        <v>642023</v>
      </c>
      <c r="K1233" s="329">
        <v>-4075.4628499999999</v>
      </c>
      <c r="L1233" s="157"/>
      <c r="M1233" s="360">
        <f t="shared" si="129"/>
        <v>642023</v>
      </c>
      <c r="N1233" s="237">
        <f t="shared" si="130"/>
        <v>-4075.4628499999999</v>
      </c>
      <c r="O1233" s="361"/>
      <c r="P1233" s="361"/>
      <c r="Q1233" s="361" t="s">
        <v>698</v>
      </c>
      <c r="R1233" s="362">
        <f>IF(Q1233="ekrk",INDEX(indexy_SDcast!$A:$C,MATCH($M1233,indexy_SDcast!$A:$A,0),2),"")</f>
        <v>54</v>
      </c>
      <c r="S1233" s="236"/>
      <c r="T1233" s="364">
        <f t="shared" si="132"/>
        <v>642023</v>
      </c>
      <c r="U1233" s="365">
        <f t="shared" si="133"/>
        <v>-4075.4628499999999</v>
      </c>
      <c r="V1233" s="365">
        <f>IF($Q1233="ekrk",IF($R1233="data",IFERROR(INDEX(data!$A:$ALL,MATCH($M1233,data!$A:$A,0),MATCH(V$2,data!$1:$1,0)),"#data"),IFERROR(U1233*INDEX(indexy_SDcast!$A:$ALI,MATCH($R1233,indexy_SDcast!$K:$K,0),MATCH(V$2,indexy_SDcast!$2:$2,0)),"#ekrk")),"#popis")</f>
        <v>-4209.33476684786</v>
      </c>
      <c r="W1233" s="365">
        <f>IF($Q1233="ekrk",IF($R1233="data",IFERROR(INDEX(data!$A:$ALL,MATCH($M1233,data!$A:$A,0),MATCH(W$2,data!$1:$1,0)),"#data"),IFERROR(V1233*INDEX(indexy_SDcast!$A:$ALI,MATCH($R1233,indexy_SDcast!$K:$K,0),MATCH(W$2,indexy_SDcast!$2:$2,0)),"#ekrk")),"#popis")</f>
        <v>-4234.643169937025</v>
      </c>
      <c r="X1233" s="365">
        <f>IF($Q1233="ekrk",IF($R1233="data",IFERROR(INDEX(data!$A:$ALL,MATCH($M1233,data!$A:$A,0),MATCH(X$2,data!$1:$1,0)),"#data"),IFERROR(W1233*INDEX(indexy_SDcast!$A:$ALI,MATCH($R1233,indexy_SDcast!$K:$K,0),MATCH(X$2,indexy_SDcast!$2:$2,0)),"#ekrk")),"#popis")</f>
        <v>-4333.9601215479552</v>
      </c>
      <c r="Y1233" s="362">
        <f>IF($Q1233="ekrk",IF($R1233="data",IFERROR(INDEX(data!$A:$ALL,MATCH($M1233,data!$A:$A,0),MATCH(Y$2,data!$1:$1,0)),"#data"),IFERROR(X1233*INDEX(indexy_SDcast!$A:$ALI,MATCH($R1233,indexy_SDcast!$K:$K,0),MATCH(Y$2,indexy_SDcast!$2:$2,0)),"#ekrk")),"#popis")</f>
        <v>-4445.4506338142237</v>
      </c>
    </row>
    <row r="1234" spans="1:25" x14ac:dyDescent="0.25">
      <c r="A1234" s="330">
        <v>642024</v>
      </c>
      <c r="B1234" s="329">
        <v>-13358.88926</v>
      </c>
      <c r="C1234" s="157"/>
      <c r="D1234" s="330">
        <v>642024</v>
      </c>
      <c r="E1234" s="329">
        <v>-13358.88926</v>
      </c>
      <c r="F1234" s="157"/>
      <c r="G1234" s="330">
        <v>642024</v>
      </c>
      <c r="H1234" s="329">
        <v>-13358.88926</v>
      </c>
      <c r="I1234" s="157"/>
      <c r="J1234" s="330">
        <v>642024</v>
      </c>
      <c r="K1234" s="329">
        <v>-13358.88926</v>
      </c>
      <c r="L1234" s="157"/>
      <c r="M1234" s="360">
        <f t="shared" si="129"/>
        <v>642024</v>
      </c>
      <c r="N1234" s="237">
        <f t="shared" si="130"/>
        <v>-13358.88926</v>
      </c>
      <c r="O1234" s="361"/>
      <c r="P1234" s="361"/>
      <c r="Q1234" s="361" t="s">
        <v>698</v>
      </c>
      <c r="R1234" s="362">
        <f>IF(Q1234="ekrk",INDEX(indexy_SDcast!$A:$C,MATCH($M1234,indexy_SDcast!$A:$A,0),2),"")</f>
        <v>50</v>
      </c>
      <c r="S1234" s="236"/>
      <c r="T1234" s="364">
        <f t="shared" si="132"/>
        <v>642024</v>
      </c>
      <c r="U1234" s="365">
        <f t="shared" si="133"/>
        <v>-13358.88926</v>
      </c>
      <c r="V1234" s="365">
        <f>IF($Q1234="ekrk",IF($R1234="data",IFERROR(INDEX(data!$A:$ALL,MATCH($M1234,data!$A:$A,0),MATCH(V$2,data!$1:$1,0)),"#data"),IFERROR(U1234*INDEX(indexy_SDcast!$A:$ALI,MATCH($R1234,indexy_SDcast!$K:$K,0),MATCH(V$2,indexy_SDcast!$2:$2,0)),"#ekrk")),"#popis")</f>
        <v>-13422.768300708009</v>
      </c>
      <c r="W1234" s="365">
        <f>IF($Q1234="ekrk",IF($R1234="data",IFERROR(INDEX(data!$A:$ALL,MATCH($M1234,data!$A:$A,0),MATCH(W$2,data!$1:$1,0)),"#data"),IFERROR(V1234*INDEX(indexy_SDcast!$A:$ALI,MATCH($R1234,indexy_SDcast!$K:$K,0),MATCH(W$2,indexy_SDcast!$2:$2,0)),"#ekrk")),"#popis")</f>
        <v>-13292.530568674545</v>
      </c>
      <c r="X1234" s="365">
        <f>IF($Q1234="ekrk",IF($R1234="data",IFERROR(INDEX(data!$A:$ALL,MATCH($M1234,data!$A:$A,0),MATCH(X$2,data!$1:$1,0)),"#data"),IFERROR(W1234*INDEX(indexy_SDcast!$A:$ALI,MATCH($R1234,indexy_SDcast!$K:$K,0),MATCH(X$2,indexy_SDcast!$2:$2,0)),"#ekrk")),"#popis")</f>
        <v>-13410.93089496916</v>
      </c>
      <c r="Y1234" s="362">
        <f>IF($Q1234="ekrk",IF($R1234="data",IFERROR(INDEX(data!$A:$ALL,MATCH($M1234,data!$A:$A,0),MATCH(Y$2,data!$1:$1,0)),"#data"),IFERROR(X1234*INDEX(indexy_SDcast!$A:$ALI,MATCH($R1234,indexy_SDcast!$K:$K,0),MATCH(Y$2,indexy_SDcast!$2:$2,0)),"#ekrk")),"#popis")</f>
        <v>-13548.987594687349</v>
      </c>
    </row>
    <row r="1235" spans="1:25" x14ac:dyDescent="0.25">
      <c r="A1235" s="330">
        <v>642026</v>
      </c>
      <c r="B1235" s="329">
        <v>-287106.23665999988</v>
      </c>
      <c r="C1235" s="157"/>
      <c r="D1235" s="330">
        <v>642026</v>
      </c>
      <c r="E1235" s="329">
        <v>-287106.23665999988</v>
      </c>
      <c r="F1235" s="157"/>
      <c r="G1235" s="330">
        <v>642026</v>
      </c>
      <c r="H1235" s="329">
        <v>-287106.23665999988</v>
      </c>
      <c r="I1235" s="157"/>
      <c r="J1235" s="330">
        <v>642026</v>
      </c>
      <c r="K1235" s="329">
        <v>-287106.23665999988</v>
      </c>
      <c r="L1235" s="157"/>
      <c r="M1235" s="360">
        <f t="shared" si="129"/>
        <v>642026</v>
      </c>
      <c r="N1235" s="237">
        <f t="shared" si="130"/>
        <v>-287106.23665999988</v>
      </c>
      <c r="O1235" s="361"/>
      <c r="P1235" s="361"/>
      <c r="Q1235" s="361" t="s">
        <v>698</v>
      </c>
      <c r="R1235" s="362" t="str">
        <f>IF(Q1235="ekrk",INDEX(indexy_SDcast!$A:$C,MATCH($M1235,indexy_SDcast!$A:$A,0),2),"")</f>
        <v>data</v>
      </c>
      <c r="S1235" s="236"/>
      <c r="T1235" s="364">
        <f t="shared" si="132"/>
        <v>642026</v>
      </c>
      <c r="U1235" s="365">
        <f t="shared" si="133"/>
        <v>-287106.23665999988</v>
      </c>
      <c r="V1235" s="365">
        <f>IF($Q1235="ekrk",IF($R1235="data",IFERROR(INDEX(data!$A:$ALL,MATCH($M1235,data!$A:$A,0),MATCH(V$2,data!$1:$1,0)),"#data"),IFERROR(U1235*INDEX(indexy_SDcast!$A:$ALI,MATCH($R1235,indexy_SDcast!$K:$K,0),MATCH(V$2,indexy_SDcast!$2:$2,0)),"#ekrk")),"#popis")</f>
        <v>-286187.11895476078</v>
      </c>
      <c r="W1235" s="365">
        <f>IF($Q1235="ekrk",IF($R1235="data",IFERROR(INDEX(data!$A:$ALL,MATCH($M1235,data!$A:$A,0),MATCH(W$2,data!$1:$1,0)),"#data"),IFERROR(V1235*INDEX(indexy_SDcast!$A:$ALI,MATCH($R1235,indexy_SDcast!$K:$K,0),MATCH(W$2,indexy_SDcast!$2:$2,0)),"#ekrk")),"#popis")</f>
        <v>-276012.59106559173</v>
      </c>
      <c r="X1235" s="365">
        <f>IF($Q1235="ekrk",IF($R1235="data",IFERROR(INDEX(data!$A:$ALL,MATCH($M1235,data!$A:$A,0),MATCH(X$2,data!$1:$1,0)),"#data"),IFERROR(W1235*INDEX(indexy_SDcast!$A:$ALI,MATCH($R1235,indexy_SDcast!$K:$K,0),MATCH(X$2,indexy_SDcast!$2:$2,0)),"#ekrk")),"#popis")</f>
        <v>-266626.73899383971</v>
      </c>
      <c r="Y1235" s="362">
        <f>IF($Q1235="ekrk",IF($R1235="data",IFERROR(INDEX(data!$A:$ALL,MATCH($M1235,data!$A:$A,0),MATCH(Y$2,data!$1:$1,0)),"#data"),IFERROR(X1235*INDEX(indexy_SDcast!$A:$ALI,MATCH($R1235,indexy_SDcast!$K:$K,0),MATCH(Y$2,indexy_SDcast!$2:$2,0)),"#ekrk")),"#popis")</f>
        <v>-255159.51701157761</v>
      </c>
    </row>
    <row r="1236" spans="1:25" x14ac:dyDescent="0.25">
      <c r="A1236" s="330">
        <v>642027</v>
      </c>
      <c r="B1236" s="329">
        <v>-232520.73606999998</v>
      </c>
      <c r="C1236" s="157"/>
      <c r="D1236" s="330">
        <v>642027</v>
      </c>
      <c r="E1236" s="329">
        <v>-232520.73606999998</v>
      </c>
      <c r="F1236" s="157"/>
      <c r="G1236" s="330">
        <v>642027</v>
      </c>
      <c r="H1236" s="329">
        <v>-232520.73606999998</v>
      </c>
      <c r="I1236" s="157"/>
      <c r="J1236" s="330">
        <v>642027</v>
      </c>
      <c r="K1236" s="329">
        <v>-232520.73606999998</v>
      </c>
      <c r="L1236" s="157"/>
      <c r="M1236" s="360">
        <f t="shared" si="129"/>
        <v>642027</v>
      </c>
      <c r="N1236" s="237">
        <f t="shared" si="130"/>
        <v>-232520.73606999998</v>
      </c>
      <c r="O1236" s="361"/>
      <c r="P1236" s="361"/>
      <c r="Q1236" s="361" t="s">
        <v>698</v>
      </c>
      <c r="R1236" s="362">
        <f>IF(Q1236="ekrk",INDEX(indexy_SDcast!$A:$C,MATCH($M1236,indexy_SDcast!$A:$A,0),2),"")</f>
        <v>30</v>
      </c>
      <c r="S1236" s="236"/>
      <c r="T1236" s="364">
        <f t="shared" si="132"/>
        <v>642027</v>
      </c>
      <c r="U1236" s="365">
        <f t="shared" si="133"/>
        <v>-232520.73606999998</v>
      </c>
      <c r="V1236" s="365">
        <f>IF($Q1236="ekrk",IF($R1236="data",IFERROR(INDEX(data!$A:$ALL,MATCH($M1236,data!$A:$A,0),MATCH(V$2,data!$1:$1,0)),"#data"),IFERROR(U1236*INDEX(indexy_SDcast!$A:$ALI,MATCH($R1236,indexy_SDcast!$K:$K,0),MATCH(V$2,indexy_SDcast!$2:$2,0)),"#ekrk")),"#popis")</f>
        <v>-214070.59526291632</v>
      </c>
      <c r="W1236" s="365">
        <f>IF($Q1236="ekrk",IF($R1236="data",IFERROR(INDEX(data!$A:$ALL,MATCH($M1236,data!$A:$A,0),MATCH(W$2,data!$1:$1,0)),"#data"),IFERROR(V1236*INDEX(indexy_SDcast!$A:$ALI,MATCH($R1236,indexy_SDcast!$K:$K,0),MATCH(W$2,indexy_SDcast!$2:$2,0)),"#ekrk")),"#popis")</f>
        <v>-223994.64153106228</v>
      </c>
      <c r="X1236" s="365">
        <f>IF($Q1236="ekrk",IF($R1236="data",IFERROR(INDEX(data!$A:$ALL,MATCH($M1236,data!$A:$A,0),MATCH(X$2,data!$1:$1,0)),"#data"),IFERROR(W1236*INDEX(indexy_SDcast!$A:$ALI,MATCH($R1236,indexy_SDcast!$K:$K,0),MATCH(X$2,indexy_SDcast!$2:$2,0)),"#ekrk")),"#popis")</f>
        <v>-241758.5258249992</v>
      </c>
      <c r="Y1236" s="362">
        <f>IF($Q1236="ekrk",IF($R1236="data",IFERROR(INDEX(data!$A:$ALL,MATCH($M1236,data!$A:$A,0),MATCH(Y$2,data!$1:$1,0)),"#data"),IFERROR(X1236*INDEX(indexy_SDcast!$A:$ALI,MATCH($R1236,indexy_SDcast!$K:$K,0),MATCH(Y$2,indexy_SDcast!$2:$2,0)),"#ekrk")),"#popis")</f>
        <v>-251329.02183884871</v>
      </c>
    </row>
    <row r="1237" spans="1:25" x14ac:dyDescent="0.25">
      <c r="A1237" s="330">
        <v>642028</v>
      </c>
      <c r="B1237" s="329">
        <v>-195.38673999999997</v>
      </c>
      <c r="C1237" s="157"/>
      <c r="D1237" s="330">
        <v>642028</v>
      </c>
      <c r="E1237" s="329">
        <v>-195.38673999999997</v>
      </c>
      <c r="F1237" s="157"/>
      <c r="G1237" s="330">
        <v>642028</v>
      </c>
      <c r="H1237" s="329">
        <v>-195.38673999999997</v>
      </c>
      <c r="I1237" s="157"/>
      <c r="J1237" s="330">
        <v>642028</v>
      </c>
      <c r="K1237" s="329">
        <v>-195.38673999999997</v>
      </c>
      <c r="L1237" s="157"/>
      <c r="M1237" s="360">
        <f t="shared" si="129"/>
        <v>642028</v>
      </c>
      <c r="N1237" s="237">
        <f t="shared" si="130"/>
        <v>-195.38673999999997</v>
      </c>
      <c r="O1237" s="361"/>
      <c r="P1237" s="361"/>
      <c r="Q1237" s="361" t="s">
        <v>698</v>
      </c>
      <c r="R1237" s="362">
        <f>IF(Q1237="ekrk",INDEX(indexy_SDcast!$A:$C,MATCH($M1237,indexy_SDcast!$A:$A,0),2),"")</f>
        <v>39</v>
      </c>
      <c r="S1237" s="236"/>
      <c r="T1237" s="364">
        <f t="shared" si="132"/>
        <v>642028</v>
      </c>
      <c r="U1237" s="365">
        <f t="shared" si="133"/>
        <v>-195.38673999999997</v>
      </c>
      <c r="V1237" s="365">
        <f>IF($Q1237="ekrk",IF($R1237="data",IFERROR(INDEX(data!$A:$ALL,MATCH($M1237,data!$A:$A,0),MATCH(V$2,data!$1:$1,0)),"#data"),IFERROR(U1237*INDEX(indexy_SDcast!$A:$ALI,MATCH($R1237,indexy_SDcast!$K:$K,0),MATCH(V$2,indexy_SDcast!$2:$2,0)),"#ekrk")),"#popis")</f>
        <v>-201.0502983064637</v>
      </c>
      <c r="W1237" s="365">
        <f>IF($Q1237="ekrk",IF($R1237="data",IFERROR(INDEX(data!$A:$ALL,MATCH($M1237,data!$A:$A,0),MATCH(W$2,data!$1:$1,0)),"#data"),IFERROR(V1237*INDEX(indexy_SDcast!$A:$ALI,MATCH($R1237,indexy_SDcast!$K:$K,0),MATCH(W$2,indexy_SDcast!$2:$2,0)),"#ekrk")),"#popis")</f>
        <v>-208.48454706003224</v>
      </c>
      <c r="X1237" s="365">
        <f>IF($Q1237="ekrk",IF($R1237="data",IFERROR(INDEX(data!$A:$ALL,MATCH($M1237,data!$A:$A,0),MATCH(X$2,data!$1:$1,0)),"#data"),IFERROR(W1237*INDEX(indexy_SDcast!$A:$ALI,MATCH($R1237,indexy_SDcast!$K:$K,0),MATCH(X$2,indexy_SDcast!$2:$2,0)),"#ekrk")),"#popis")</f>
        <v>-217.39378455114218</v>
      </c>
      <c r="Y1237" s="362">
        <f>IF($Q1237="ekrk",IF($R1237="data",IFERROR(INDEX(data!$A:$ALL,MATCH($M1237,data!$A:$A,0),MATCH(Y$2,data!$1:$1,0)),"#data"),IFERROR(X1237*INDEX(indexy_SDcast!$A:$ALI,MATCH($R1237,indexy_SDcast!$K:$K,0),MATCH(Y$2,indexy_SDcast!$2:$2,0)),"#ekrk")),"#popis")</f>
        <v>-227.41442311489538</v>
      </c>
    </row>
    <row r="1238" spans="1:25" x14ac:dyDescent="0.25">
      <c r="A1238" s="330">
        <v>642029</v>
      </c>
      <c r="B1238" s="329">
        <v>-10858.001049999999</v>
      </c>
      <c r="C1238" s="157"/>
      <c r="D1238" s="330">
        <v>642029</v>
      </c>
      <c r="E1238" s="329">
        <v>-10858.001049999999</v>
      </c>
      <c r="F1238" s="157"/>
      <c r="G1238" s="330">
        <v>642029</v>
      </c>
      <c r="H1238" s="329">
        <v>-10858.001049999999</v>
      </c>
      <c r="I1238" s="157"/>
      <c r="J1238" s="330">
        <v>642029</v>
      </c>
      <c r="K1238" s="329">
        <v>-10858.001049999999</v>
      </c>
      <c r="L1238" s="157"/>
      <c r="M1238" s="360">
        <f t="shared" si="129"/>
        <v>642029</v>
      </c>
      <c r="N1238" s="237">
        <f t="shared" si="130"/>
        <v>-10858.001049999999</v>
      </c>
      <c r="O1238" s="361"/>
      <c r="P1238" s="361"/>
      <c r="Q1238" s="361" t="s">
        <v>698</v>
      </c>
      <c r="R1238" s="362">
        <f>IF(Q1238="ekrk",INDEX(indexy_SDcast!$A:$C,MATCH($M1238,indexy_SDcast!$A:$A,0),2),"")</f>
        <v>9</v>
      </c>
      <c r="S1238" s="236"/>
      <c r="T1238" s="364">
        <f t="shared" si="132"/>
        <v>642029</v>
      </c>
      <c r="U1238" s="365">
        <f t="shared" si="133"/>
        <v>-10858.001049999999</v>
      </c>
      <c r="V1238" s="365">
        <f>IF($Q1238="ekrk",IF($R1238="data",IFERROR(INDEX(data!$A:$ALL,MATCH($M1238,data!$A:$A,0),MATCH(V$2,data!$1:$1,0)),"#data"),IFERROR(U1238*INDEX(indexy_SDcast!$A:$ALI,MATCH($R1238,indexy_SDcast!$K:$K,0),MATCH(V$2,indexy_SDcast!$2:$2,0)),"#ekrk")),"#popis")</f>
        <v>-10858.001049999999</v>
      </c>
      <c r="W1238" s="365">
        <f>IF($Q1238="ekrk",IF($R1238="data",IFERROR(INDEX(data!$A:$ALL,MATCH($M1238,data!$A:$A,0),MATCH(W$2,data!$1:$1,0)),"#data"),IFERROR(V1238*INDEX(indexy_SDcast!$A:$ALI,MATCH($R1238,indexy_SDcast!$K:$K,0),MATCH(W$2,indexy_SDcast!$2:$2,0)),"#ekrk")),"#popis")</f>
        <v>-10858.001049999999</v>
      </c>
      <c r="X1238" s="365">
        <f>IF($Q1238="ekrk",IF($R1238="data",IFERROR(INDEX(data!$A:$ALL,MATCH($M1238,data!$A:$A,0),MATCH(X$2,data!$1:$1,0)),"#data"),IFERROR(W1238*INDEX(indexy_SDcast!$A:$ALI,MATCH($R1238,indexy_SDcast!$K:$K,0),MATCH(X$2,indexy_SDcast!$2:$2,0)),"#ekrk")),"#popis")</f>
        <v>-10858.001049999999</v>
      </c>
      <c r="Y1238" s="362">
        <f>IF($Q1238="ekrk",IF($R1238="data",IFERROR(INDEX(data!$A:$ALL,MATCH($M1238,data!$A:$A,0),MATCH(Y$2,data!$1:$1,0)),"#data"),IFERROR(X1238*INDEX(indexy_SDcast!$A:$ALI,MATCH($R1238,indexy_SDcast!$K:$K,0),MATCH(Y$2,indexy_SDcast!$2:$2,0)),"#ekrk")),"#popis")</f>
        <v>-10858.001049999999</v>
      </c>
    </row>
    <row r="1239" spans="1:25" x14ac:dyDescent="0.25">
      <c r="A1239" s="330">
        <v>642030</v>
      </c>
      <c r="B1239" s="329">
        <v>-9354.1490699999995</v>
      </c>
      <c r="C1239" s="157"/>
      <c r="D1239" s="330">
        <v>642030</v>
      </c>
      <c r="E1239" s="329">
        <v>-9354.1490699999995</v>
      </c>
      <c r="F1239" s="157"/>
      <c r="G1239" s="330">
        <v>642030</v>
      </c>
      <c r="H1239" s="329">
        <v>-9354.1490699999995</v>
      </c>
      <c r="I1239" s="157"/>
      <c r="J1239" s="330">
        <v>642030</v>
      </c>
      <c r="K1239" s="329">
        <v>-9354.1490699999995</v>
      </c>
      <c r="L1239" s="157"/>
      <c r="M1239" s="360">
        <f t="shared" si="129"/>
        <v>642030</v>
      </c>
      <c r="N1239" s="237">
        <f t="shared" si="130"/>
        <v>-9354.1490699999995</v>
      </c>
      <c r="O1239" s="361"/>
      <c r="P1239" s="361"/>
      <c r="Q1239" s="361" t="s">
        <v>698</v>
      </c>
      <c r="R1239" s="362">
        <f>IF(Q1239="ekrk",INDEX(indexy_SDcast!$A:$C,MATCH($M1239,indexy_SDcast!$A:$A,0),2),"")</f>
        <v>6</v>
      </c>
      <c r="S1239" s="236"/>
      <c r="T1239" s="364">
        <f t="shared" si="132"/>
        <v>642030</v>
      </c>
      <c r="U1239" s="365">
        <f t="shared" si="133"/>
        <v>-9354.1490699999995</v>
      </c>
      <c r="V1239" s="365">
        <f>IF($Q1239="ekrk",IF($R1239="data",IFERROR(INDEX(data!$A:$ALL,MATCH($M1239,data!$A:$A,0),MATCH(V$2,data!$1:$1,0)),"#data"),IFERROR(U1239*INDEX(indexy_SDcast!$A:$ALI,MATCH($R1239,indexy_SDcast!$K:$K,0),MATCH(V$2,indexy_SDcast!$2:$2,0)),"#ekrk")),"#popis")</f>
        <v>-9525.020820181875</v>
      </c>
      <c r="W1239" s="365">
        <f>IF($Q1239="ekrk",IF($R1239="data",IFERROR(INDEX(data!$A:$ALL,MATCH($M1239,data!$A:$A,0),MATCH(W$2,data!$1:$1,0)),"#data"),IFERROR(V1239*INDEX(indexy_SDcast!$A:$ALI,MATCH($R1239,indexy_SDcast!$K:$K,0),MATCH(W$2,indexy_SDcast!$2:$2,0)),"#ekrk")),"#popis")</f>
        <v>-9799.9447796251879</v>
      </c>
      <c r="X1239" s="365">
        <f>IF($Q1239="ekrk",IF($R1239="data",IFERROR(INDEX(data!$A:$ALL,MATCH($M1239,data!$A:$A,0),MATCH(X$2,data!$1:$1,0)),"#data"),IFERROR(W1239*INDEX(indexy_SDcast!$A:$ALI,MATCH($R1239,indexy_SDcast!$K:$K,0),MATCH(X$2,indexy_SDcast!$2:$2,0)),"#ekrk")),"#popis")</f>
        <v>-10120.799549777665</v>
      </c>
      <c r="Y1239" s="362">
        <f>IF($Q1239="ekrk",IF($R1239="data",IFERROR(INDEX(data!$A:$ALL,MATCH($M1239,data!$A:$A,0),MATCH(Y$2,data!$1:$1,0)),"#data"),IFERROR(X1239*INDEX(indexy_SDcast!$A:$ALI,MATCH($R1239,indexy_SDcast!$K:$K,0),MATCH(Y$2,indexy_SDcast!$2:$2,0)),"#ekrk")),"#popis")</f>
        <v>-10473.24507674901</v>
      </c>
    </row>
    <row r="1240" spans="1:25" x14ac:dyDescent="0.25">
      <c r="A1240" s="330">
        <v>642031</v>
      </c>
      <c r="B1240" s="329">
        <v>-1541466.3090299999</v>
      </c>
      <c r="C1240" s="157"/>
      <c r="D1240" s="330">
        <v>642031</v>
      </c>
      <c r="E1240" s="329">
        <v>-1541466.3090299999</v>
      </c>
      <c r="F1240" s="157"/>
      <c r="G1240" s="330">
        <v>642031</v>
      </c>
      <c r="H1240" s="329">
        <v>-1541466.3090299999</v>
      </c>
      <c r="I1240" s="157"/>
      <c r="J1240" s="330">
        <v>642031</v>
      </c>
      <c r="K1240" s="329">
        <v>-1541466.3090299999</v>
      </c>
      <c r="L1240" s="157"/>
      <c r="M1240" s="360">
        <f t="shared" si="129"/>
        <v>642031</v>
      </c>
      <c r="N1240" s="237">
        <f t="shared" si="130"/>
        <v>-1541466.3090299999</v>
      </c>
      <c r="O1240" s="361"/>
      <c r="P1240" s="361"/>
      <c r="Q1240" s="361" t="s">
        <v>698</v>
      </c>
      <c r="R1240" s="362" t="str">
        <f>IF(Q1240="ekrk",INDEX(indexy_SDcast!$A:$C,MATCH($M1240,indexy_SDcast!$A:$A,0),2),"")</f>
        <v>data</v>
      </c>
      <c r="S1240" s="236"/>
      <c r="T1240" s="364">
        <f t="shared" si="132"/>
        <v>642031</v>
      </c>
      <c r="U1240" s="365">
        <f t="shared" si="133"/>
        <v>-1541466.3090299999</v>
      </c>
      <c r="V1240" s="365">
        <f>IF($Q1240="ekrk",IF($R1240="data",IFERROR(INDEX(data!$A:$ALL,MATCH($M1240,data!$A:$A,0),MATCH(V$2,data!$1:$1,0)),"#data"),IFERROR(U1240*INDEX(indexy_SDcast!$A:$ALI,MATCH($R1240,indexy_SDcast!$K:$K,0),MATCH(V$2,indexy_SDcast!$2:$2,0)),"#ekrk")),"#popis")</f>
        <v>-1501016.4698074653</v>
      </c>
      <c r="W1240" s="365">
        <f>IF($Q1240="ekrk",IF($R1240="data",IFERROR(INDEX(data!$A:$ALL,MATCH($M1240,data!$A:$A,0),MATCH(W$2,data!$1:$1,0)),"#data"),IFERROR(V1240*INDEX(indexy_SDcast!$A:$ALI,MATCH($R1240,indexy_SDcast!$K:$K,0),MATCH(W$2,indexy_SDcast!$2:$2,0)),"#ekrk")),"#popis")</f>
        <v>-1541161.3578692703</v>
      </c>
      <c r="X1240" s="365">
        <f>IF($Q1240="ekrk",IF($R1240="data",IFERROR(INDEX(data!$A:$ALL,MATCH($M1240,data!$A:$A,0),MATCH(X$2,data!$1:$1,0)),"#data"),IFERROR(W1240*INDEX(indexy_SDcast!$A:$ALI,MATCH($R1240,indexy_SDcast!$K:$K,0),MATCH(X$2,indexy_SDcast!$2:$2,0)),"#ekrk")),"#popis")</f>
        <v>-1588076.8144649526</v>
      </c>
      <c r="Y1240" s="362">
        <f>IF($Q1240="ekrk",IF($R1240="data",IFERROR(INDEX(data!$A:$ALL,MATCH($M1240,data!$A:$A,0),MATCH(Y$2,data!$1:$1,0)),"#data"),IFERROR(X1240*INDEX(indexy_SDcast!$A:$ALI,MATCH($R1240,indexy_SDcast!$K:$K,0),MATCH(Y$2,indexy_SDcast!$2:$2,0)),"#ekrk")),"#popis")</f>
        <v>-1648535.9951985604</v>
      </c>
    </row>
    <row r="1241" spans="1:25" x14ac:dyDescent="0.25">
      <c r="A1241" s="330">
        <v>642032</v>
      </c>
      <c r="B1241" s="329">
        <v>-22383.808720000005</v>
      </c>
      <c r="C1241" s="157"/>
      <c r="D1241" s="330">
        <v>642032</v>
      </c>
      <c r="E1241" s="329">
        <v>-22383.808720000005</v>
      </c>
      <c r="F1241" s="157"/>
      <c r="G1241" s="330">
        <v>642032</v>
      </c>
      <c r="H1241" s="329">
        <v>-22383.808720000005</v>
      </c>
      <c r="I1241" s="157"/>
      <c r="J1241" s="330">
        <v>642032</v>
      </c>
      <c r="K1241" s="329">
        <v>-22383.808720000005</v>
      </c>
      <c r="L1241" s="157"/>
      <c r="M1241" s="360">
        <f t="shared" si="129"/>
        <v>642032</v>
      </c>
      <c r="N1241" s="237">
        <f t="shared" si="130"/>
        <v>-22383.808720000005</v>
      </c>
      <c r="O1241" s="361"/>
      <c r="P1241" s="361"/>
      <c r="Q1241" s="361" t="s">
        <v>698</v>
      </c>
      <c r="R1241" s="362">
        <f>IF(Q1241="ekrk",INDEX(indexy_SDcast!$A:$C,MATCH($M1241,indexy_SDcast!$A:$A,0),2),"")</f>
        <v>44</v>
      </c>
      <c r="S1241" s="236"/>
      <c r="T1241" s="364">
        <f t="shared" si="132"/>
        <v>642032</v>
      </c>
      <c r="U1241" s="365">
        <f t="shared" si="133"/>
        <v>-22383.808720000005</v>
      </c>
      <c r="V1241" s="365">
        <f>IF($Q1241="ekrk",IF($R1241="data",IFERROR(INDEX(data!$A:$ALL,MATCH($M1241,data!$A:$A,0),MATCH(V$2,data!$1:$1,0)),"#data"),IFERROR(U1241*INDEX(indexy_SDcast!$A:$ALI,MATCH($R1241,indexy_SDcast!$K:$K,0),MATCH(V$2,indexy_SDcast!$2:$2,0)),"#ekrk")),"#popis")</f>
        <v>-22342.602273287372</v>
      </c>
      <c r="W1241" s="365">
        <f>IF($Q1241="ekrk",IF($R1241="data",IFERROR(INDEX(data!$A:$ALL,MATCH($M1241,data!$A:$A,0),MATCH(W$2,data!$1:$1,0)),"#data"),IFERROR(V1241*INDEX(indexy_SDcast!$A:$ALI,MATCH($R1241,indexy_SDcast!$K:$K,0),MATCH(W$2,indexy_SDcast!$2:$2,0)),"#ekrk")),"#popis")</f>
        <v>-21932.494983127181</v>
      </c>
      <c r="X1241" s="365">
        <f>IF($Q1241="ekrk",IF($R1241="data",IFERROR(INDEX(data!$A:$ALL,MATCH($M1241,data!$A:$A,0),MATCH(X$2,data!$1:$1,0)),"#data"),IFERROR(W1241*INDEX(indexy_SDcast!$A:$ALI,MATCH($R1241,indexy_SDcast!$K:$K,0),MATCH(X$2,indexy_SDcast!$2:$2,0)),"#ekrk")),"#popis")</f>
        <v>-21230.742444074102</v>
      </c>
      <c r="Y1241" s="362">
        <f>IF($Q1241="ekrk",IF($R1241="data",IFERROR(INDEX(data!$A:$ALL,MATCH($M1241,data!$A:$A,0),MATCH(Y$2,data!$1:$1,0)),"#data"),IFERROR(X1241*INDEX(indexy_SDcast!$A:$ALI,MATCH($R1241,indexy_SDcast!$K:$K,0),MATCH(Y$2,indexy_SDcast!$2:$2,0)),"#ekrk")),"#popis")</f>
        <v>-20306.486172266104</v>
      </c>
    </row>
    <row r="1242" spans="1:25" x14ac:dyDescent="0.25">
      <c r="A1242" s="330">
        <v>642036</v>
      </c>
      <c r="B1242" s="329">
        <v>-28716.329440000001</v>
      </c>
      <c r="C1242" s="157"/>
      <c r="D1242" s="330">
        <v>642036</v>
      </c>
      <c r="E1242" s="329">
        <v>-28716.329440000001</v>
      </c>
      <c r="F1242" s="157"/>
      <c r="G1242" s="330">
        <v>642036</v>
      </c>
      <c r="H1242" s="329">
        <v>-28716.329440000001</v>
      </c>
      <c r="I1242" s="157"/>
      <c r="J1242" s="330">
        <v>642036</v>
      </c>
      <c r="K1242" s="329">
        <v>-28716.329440000001</v>
      </c>
      <c r="L1242" s="157"/>
      <c r="M1242" s="360">
        <f t="shared" ref="M1242:M1261" si="134">J1242</f>
        <v>642036</v>
      </c>
      <c r="N1242" s="237">
        <f t="shared" ref="N1242:N1261" si="135">K1242</f>
        <v>-28716.329440000001</v>
      </c>
      <c r="O1242" s="361"/>
      <c r="P1242" s="361"/>
      <c r="Q1242" s="361" t="s">
        <v>698</v>
      </c>
      <c r="R1242" s="362">
        <f>IF(Q1242="ekrk",INDEX(indexy_SDcast!$A:$C,MATCH($M1242,indexy_SDcast!$A:$A,0),2),"")</f>
        <v>27</v>
      </c>
      <c r="S1242" s="236"/>
      <c r="T1242" s="364">
        <f t="shared" si="132"/>
        <v>642036</v>
      </c>
      <c r="U1242" s="365">
        <f t="shared" si="133"/>
        <v>-28716.329440000001</v>
      </c>
      <c r="V1242" s="365">
        <f>IF($Q1242="ekrk",IF($R1242="data",IFERROR(INDEX(data!$A:$ALL,MATCH($M1242,data!$A:$A,0),MATCH(V$2,data!$1:$1,0)),"#data"),IFERROR(U1242*INDEX(indexy_SDcast!$A:$ALI,MATCH($R1242,indexy_SDcast!$K:$K,0),MATCH(V$2,indexy_SDcast!$2:$2,0)),"#ekrk")),"#popis")</f>
        <v>-28094.535855505485</v>
      </c>
      <c r="W1242" s="365">
        <f>IF($Q1242="ekrk",IF($R1242="data",IFERROR(INDEX(data!$A:$ALL,MATCH($M1242,data!$A:$A,0),MATCH(W$2,data!$1:$1,0)),"#data"),IFERROR(V1242*INDEX(indexy_SDcast!$A:$ALI,MATCH($R1242,indexy_SDcast!$K:$K,0),MATCH(W$2,indexy_SDcast!$2:$2,0)),"#ekrk")),"#popis")</f>
        <v>-27811.52589527085</v>
      </c>
      <c r="X1242" s="365">
        <f>IF($Q1242="ekrk",IF($R1242="data",IFERROR(INDEX(data!$A:$ALL,MATCH($M1242,data!$A:$A,0),MATCH(X$2,data!$1:$1,0)),"#data"),IFERROR(W1242*INDEX(indexy_SDcast!$A:$ALI,MATCH($R1242,indexy_SDcast!$K:$K,0),MATCH(X$2,indexy_SDcast!$2:$2,0)),"#ekrk")),"#popis")</f>
        <v>-27615.938559428541</v>
      </c>
      <c r="Y1242" s="362">
        <f>IF($Q1242="ekrk",IF($R1242="data",IFERROR(INDEX(data!$A:$ALL,MATCH($M1242,data!$A:$A,0),MATCH(Y$2,data!$1:$1,0)),"#data"),IFERROR(X1242*INDEX(indexy_SDcast!$A:$ALI,MATCH($R1242,indexy_SDcast!$K:$K,0),MATCH(Y$2,indexy_SDcast!$2:$2,0)),"#ekrk")),"#popis")</f>
        <v>-27277.224850992148</v>
      </c>
    </row>
    <row r="1243" spans="1:25" x14ac:dyDescent="0.25">
      <c r="A1243" s="330">
        <v>642037</v>
      </c>
      <c r="B1243" s="329">
        <v>-9166.3585500000008</v>
      </c>
      <c r="C1243" s="157"/>
      <c r="D1243" s="330">
        <v>642037</v>
      </c>
      <c r="E1243" s="329">
        <v>-9166.3585500000008</v>
      </c>
      <c r="F1243" s="157"/>
      <c r="G1243" s="330">
        <v>642037</v>
      </c>
      <c r="H1243" s="329">
        <v>-9166.3585500000008</v>
      </c>
      <c r="I1243" s="157"/>
      <c r="J1243" s="330">
        <v>642037</v>
      </c>
      <c r="K1243" s="329">
        <v>-9166.3585500000008</v>
      </c>
      <c r="L1243" s="157"/>
      <c r="M1243" s="360">
        <f t="shared" si="134"/>
        <v>642037</v>
      </c>
      <c r="N1243" s="237">
        <f t="shared" si="135"/>
        <v>-9166.3585500000008</v>
      </c>
      <c r="O1243" s="361"/>
      <c r="P1243" s="361"/>
      <c r="Q1243" s="361" t="s">
        <v>698</v>
      </c>
      <c r="R1243" s="362">
        <f>IF(Q1243="ekrk",INDEX(indexy_SDcast!$A:$C,MATCH($M1243,indexy_SDcast!$A:$A,0),2),"")</f>
        <v>50</v>
      </c>
      <c r="S1243" s="236"/>
      <c r="T1243" s="364">
        <f t="shared" si="132"/>
        <v>642037</v>
      </c>
      <c r="U1243" s="365">
        <f t="shared" si="133"/>
        <v>-9166.3585500000008</v>
      </c>
      <c r="V1243" s="365">
        <f>IF($Q1243="ekrk",IF($R1243="data",IFERROR(INDEX(data!$A:$ALL,MATCH($M1243,data!$A:$A,0),MATCH(V$2,data!$1:$1,0)),"#data"),IFERROR(U1243*INDEX(indexy_SDcast!$A:$ALI,MATCH($R1243,indexy_SDcast!$K:$K,0),MATCH(V$2,indexy_SDcast!$2:$2,0)),"#ekrk")),"#popis")</f>
        <v>-9210.1899030087352</v>
      </c>
      <c r="W1243" s="365">
        <f>IF($Q1243="ekrk",IF($R1243="data",IFERROR(INDEX(data!$A:$ALL,MATCH($M1243,data!$A:$A,0),MATCH(W$2,data!$1:$1,0)),"#data"),IFERROR(V1243*INDEX(indexy_SDcast!$A:$ALI,MATCH($R1243,indexy_SDcast!$K:$K,0),MATCH(W$2,indexy_SDcast!$2:$2,0)),"#ekrk")),"#popis")</f>
        <v>-9120.8257556366843</v>
      </c>
      <c r="X1243" s="365">
        <f>IF($Q1243="ekrk",IF($R1243="data",IFERROR(INDEX(data!$A:$ALL,MATCH($M1243,data!$A:$A,0),MATCH(X$2,data!$1:$1,0)),"#data"),IFERROR(W1243*INDEX(indexy_SDcast!$A:$ALI,MATCH($R1243,indexy_SDcast!$K:$K,0),MATCH(X$2,indexy_SDcast!$2:$2,0)),"#ekrk")),"#popis")</f>
        <v>-9202.0675282220072</v>
      </c>
      <c r="Y1243" s="362">
        <f>IF($Q1243="ekrk",IF($R1243="data",IFERROR(INDEX(data!$A:$ALL,MATCH($M1243,data!$A:$A,0),MATCH(Y$2,data!$1:$1,0)),"#data"),IFERROR(X1243*INDEX(indexy_SDcast!$A:$ALI,MATCH($R1243,indexy_SDcast!$K:$K,0),MATCH(Y$2,indexy_SDcast!$2:$2,0)),"#ekrk")),"#popis")</f>
        <v>-9296.7967519783397</v>
      </c>
    </row>
    <row r="1244" spans="1:25" x14ac:dyDescent="0.25">
      <c r="A1244" s="330">
        <v>642038</v>
      </c>
      <c r="B1244" s="329">
        <v>-497.68843999999996</v>
      </c>
      <c r="C1244" s="157"/>
      <c r="D1244" s="330">
        <v>642038</v>
      </c>
      <c r="E1244" s="329">
        <v>-497.68843999999996</v>
      </c>
      <c r="F1244" s="157"/>
      <c r="G1244" s="330">
        <v>642038</v>
      </c>
      <c r="H1244" s="329">
        <v>-497.68843999999996</v>
      </c>
      <c r="I1244" s="157"/>
      <c r="J1244" s="330">
        <v>642038</v>
      </c>
      <c r="K1244" s="329">
        <v>-497.68843999999996</v>
      </c>
      <c r="L1244" s="157"/>
      <c r="M1244" s="360">
        <f t="shared" si="134"/>
        <v>642038</v>
      </c>
      <c r="N1244" s="237">
        <f t="shared" si="135"/>
        <v>-497.68843999999996</v>
      </c>
      <c r="O1244" s="361"/>
      <c r="P1244" s="361"/>
      <c r="Q1244" s="361" t="s">
        <v>698</v>
      </c>
      <c r="R1244" s="362">
        <f>IF(Q1244="ekrk",INDEX(indexy_SDcast!$A:$C,MATCH($M1244,indexy_SDcast!$A:$A,0),2),"")</f>
        <v>50</v>
      </c>
      <c r="S1244" s="236"/>
      <c r="T1244" s="364">
        <f t="shared" si="132"/>
        <v>642038</v>
      </c>
      <c r="U1244" s="365">
        <f t="shared" si="133"/>
        <v>-497.68843999999996</v>
      </c>
      <c r="V1244" s="365">
        <f>IF($Q1244="ekrk",IF($R1244="data",IFERROR(INDEX(data!$A:$ALL,MATCH($M1244,data!$A:$A,0),MATCH(V$2,data!$1:$1,0)),"#data"),IFERROR(U1244*INDEX(indexy_SDcast!$A:$ALI,MATCH($R1244,indexy_SDcast!$K:$K,0),MATCH(V$2,indexy_SDcast!$2:$2,0)),"#ekrk")),"#popis")</f>
        <v>-500.0682681054592</v>
      </c>
      <c r="W1244" s="365">
        <f>IF($Q1244="ekrk",IF($R1244="data",IFERROR(INDEX(data!$A:$ALL,MATCH($M1244,data!$A:$A,0),MATCH(W$2,data!$1:$1,0)),"#data"),IFERROR(V1244*INDEX(indexy_SDcast!$A:$ALI,MATCH($R1244,indexy_SDcast!$K:$K,0),MATCH(W$2,indexy_SDcast!$2:$2,0)),"#ekrk")),"#popis")</f>
        <v>-495.21623195010653</v>
      </c>
      <c r="X1244" s="365">
        <f>IF($Q1244="ekrk",IF($R1244="data",IFERROR(INDEX(data!$A:$ALL,MATCH($M1244,data!$A:$A,0),MATCH(X$2,data!$1:$1,0)),"#data"),IFERROR(W1244*INDEX(indexy_SDcast!$A:$ALI,MATCH($R1244,indexy_SDcast!$K:$K,0),MATCH(X$2,indexy_SDcast!$2:$2,0)),"#ekrk")),"#popis")</f>
        <v>-499.62726287806692</v>
      </c>
      <c r="Y1244" s="362">
        <f>IF($Q1244="ekrk",IF($R1244="data",IFERROR(INDEX(data!$A:$ALL,MATCH($M1244,data!$A:$A,0),MATCH(Y$2,data!$1:$1,0)),"#data"),IFERROR(X1244*INDEX(indexy_SDcast!$A:$ALI,MATCH($R1244,indexy_SDcast!$K:$K,0),MATCH(Y$2,indexy_SDcast!$2:$2,0)),"#ekrk")),"#popis")</f>
        <v>-504.77059644248436</v>
      </c>
    </row>
    <row r="1245" spans="1:25" x14ac:dyDescent="0.25">
      <c r="A1245" s="330">
        <v>642039</v>
      </c>
      <c r="B1245" s="329">
        <v>-36337.886430000006</v>
      </c>
      <c r="C1245" s="157"/>
      <c r="D1245" s="330">
        <v>642039</v>
      </c>
      <c r="E1245" s="329">
        <v>-36337.886430000006</v>
      </c>
      <c r="F1245" s="157"/>
      <c r="G1245" s="330">
        <v>642039</v>
      </c>
      <c r="H1245" s="329">
        <v>-36337.886430000006</v>
      </c>
      <c r="I1245" s="157"/>
      <c r="J1245" s="330">
        <v>642039</v>
      </c>
      <c r="K1245" s="329">
        <v>-36337.886430000006</v>
      </c>
      <c r="L1245" s="157"/>
      <c r="M1245" s="360">
        <f t="shared" si="134"/>
        <v>642039</v>
      </c>
      <c r="N1245" s="237">
        <f t="shared" si="135"/>
        <v>-36337.886430000006</v>
      </c>
      <c r="O1245" s="361"/>
      <c r="P1245" s="361"/>
      <c r="Q1245" s="361" t="s">
        <v>698</v>
      </c>
      <c r="R1245" s="362">
        <f>IF(Q1245="ekrk",INDEX(indexy_SDcast!$A:$C,MATCH($M1245,indexy_SDcast!$A:$A,0),2),"")</f>
        <v>53</v>
      </c>
      <c r="S1245" s="236"/>
      <c r="T1245" s="364">
        <f t="shared" si="132"/>
        <v>642039</v>
      </c>
      <c r="U1245" s="365">
        <f t="shared" si="133"/>
        <v>-36337.886430000006</v>
      </c>
      <c r="V1245" s="365">
        <f>IF($Q1245="ekrk",IF($R1245="data",IFERROR(INDEX(data!$A:$ALL,MATCH($M1245,data!$A:$A,0),MATCH(V$2,data!$1:$1,0)),"#data"),IFERROR(U1245*INDEX(indexy_SDcast!$A:$ALI,MATCH($R1245,indexy_SDcast!$K:$K,0),MATCH(V$2,indexy_SDcast!$2:$2,0)),"#ekrk")),"#popis")</f>
        <v>-38681.575447508891</v>
      </c>
      <c r="W1245" s="365">
        <f>IF($Q1245="ekrk",IF($R1245="data",IFERROR(INDEX(data!$A:$ALL,MATCH($M1245,data!$A:$A,0),MATCH(W$2,data!$1:$1,0)),"#data"),IFERROR(V1245*INDEX(indexy_SDcast!$A:$ALI,MATCH($R1245,indexy_SDcast!$K:$K,0),MATCH(W$2,indexy_SDcast!$2:$2,0)),"#ekrk")),"#popis")</f>
        <v>-38554.962885797337</v>
      </c>
      <c r="X1245" s="365">
        <f>IF($Q1245="ekrk",IF($R1245="data",IFERROR(INDEX(data!$A:$ALL,MATCH($M1245,data!$A:$A,0),MATCH(X$2,data!$1:$1,0)),"#data"),IFERROR(W1245*INDEX(indexy_SDcast!$A:$ALI,MATCH($R1245,indexy_SDcast!$K:$K,0),MATCH(X$2,indexy_SDcast!$2:$2,0)),"#ekrk")),"#popis")</f>
        <v>-39034.880205291738</v>
      </c>
      <c r="Y1245" s="362">
        <f>IF($Q1245="ekrk",IF($R1245="data",IFERROR(INDEX(data!$A:$ALL,MATCH($M1245,data!$A:$A,0),MATCH(Y$2,data!$1:$1,0)),"#data"),IFERROR(X1245*INDEX(indexy_SDcast!$A:$ALI,MATCH($R1245,indexy_SDcast!$K:$K,0),MATCH(Y$2,indexy_SDcast!$2:$2,0)),"#ekrk")),"#popis")</f>
        <v>-39522.438208616106</v>
      </c>
    </row>
    <row r="1246" spans="1:25" x14ac:dyDescent="0.25">
      <c r="A1246" s="330">
        <v>642040</v>
      </c>
      <c r="B1246" s="329">
        <v>-41.261789999999998</v>
      </c>
      <c r="C1246" s="157"/>
      <c r="D1246" s="330">
        <v>642040</v>
      </c>
      <c r="E1246" s="329">
        <v>-41.261789999999998</v>
      </c>
      <c r="F1246" s="157"/>
      <c r="G1246" s="330">
        <v>642040</v>
      </c>
      <c r="H1246" s="329">
        <v>-41.261789999999998</v>
      </c>
      <c r="I1246" s="157"/>
      <c r="J1246" s="330">
        <v>642040</v>
      </c>
      <c r="K1246" s="329">
        <v>-41.261789999999998</v>
      </c>
      <c r="L1246" s="157"/>
      <c r="M1246" s="360">
        <f t="shared" si="134"/>
        <v>642040</v>
      </c>
      <c r="N1246" s="237">
        <f t="shared" si="135"/>
        <v>-41.261789999999998</v>
      </c>
      <c r="O1246" s="361"/>
      <c r="P1246" s="361"/>
      <c r="Q1246" s="361" t="s">
        <v>698</v>
      </c>
      <c r="R1246" s="362">
        <f>IF(Q1246="ekrk",INDEX(indexy_SDcast!$A:$C,MATCH($M1246,indexy_SDcast!$A:$A,0),2),"")</f>
        <v>51</v>
      </c>
      <c r="S1246" s="236"/>
      <c r="T1246" s="364">
        <f t="shared" si="132"/>
        <v>642040</v>
      </c>
      <c r="U1246" s="365">
        <f t="shared" si="133"/>
        <v>-41.261789999999998</v>
      </c>
      <c r="V1246" s="365">
        <f>IF($Q1246="ekrk",IF($R1246="data",IFERROR(INDEX(data!$A:$ALL,MATCH($M1246,data!$A:$A,0),MATCH(V$2,data!$1:$1,0)),"#data"),IFERROR(U1246*INDEX(indexy_SDcast!$A:$ALI,MATCH($R1246,indexy_SDcast!$K:$K,0),MATCH(V$2,indexy_SDcast!$2:$2,0)),"#ekrk")),"#popis")</f>
        <v>-41.892468784544448</v>
      </c>
      <c r="W1246" s="365">
        <f>IF($Q1246="ekrk",IF($R1246="data",IFERROR(INDEX(data!$A:$ALL,MATCH($M1246,data!$A:$A,0),MATCH(W$2,data!$1:$1,0)),"#data"),IFERROR(V1246*INDEX(indexy_SDcast!$A:$ALI,MATCH($R1246,indexy_SDcast!$K:$K,0),MATCH(W$2,indexy_SDcast!$2:$2,0)),"#ekrk")),"#popis")</f>
        <v>-42.140325444572674</v>
      </c>
      <c r="X1246" s="365">
        <f>IF($Q1246="ekrk",IF($R1246="data",IFERROR(INDEX(data!$A:$ALL,MATCH($M1246,data!$A:$A,0),MATCH(X$2,data!$1:$1,0)),"#data"),IFERROR(W1246*INDEX(indexy_SDcast!$A:$ALI,MATCH($R1246,indexy_SDcast!$K:$K,0),MATCH(X$2,indexy_SDcast!$2:$2,0)),"#ekrk")),"#popis")</f>
        <v>-43.164044732079873</v>
      </c>
      <c r="Y1246" s="362">
        <f>IF($Q1246="ekrk",IF($R1246="data",IFERROR(INDEX(data!$A:$ALL,MATCH($M1246,data!$A:$A,0),MATCH(Y$2,data!$1:$1,0)),"#data"),IFERROR(X1246*INDEX(indexy_SDcast!$A:$ALI,MATCH($R1246,indexy_SDcast!$K:$K,0),MATCH(Y$2,indexy_SDcast!$2:$2,0)),"#ekrk")),"#popis")</f>
        <v>-44.321528700932973</v>
      </c>
    </row>
    <row r="1247" spans="1:25" x14ac:dyDescent="0.25">
      <c r="A1247" s="330">
        <v>642041</v>
      </c>
      <c r="B1247" s="329">
        <v>-349316.13913999998</v>
      </c>
      <c r="C1247" s="157"/>
      <c r="D1247" s="330">
        <v>642041</v>
      </c>
      <c r="E1247" s="329">
        <v>-349316.13913999998</v>
      </c>
      <c r="F1247" s="157"/>
      <c r="G1247" s="330">
        <v>642041</v>
      </c>
      <c r="H1247" s="329">
        <v>-349316.13913999998</v>
      </c>
      <c r="I1247" s="157"/>
      <c r="J1247" s="330">
        <v>642041</v>
      </c>
      <c r="K1247" s="329">
        <v>-349316.13913999998</v>
      </c>
      <c r="L1247" s="157"/>
      <c r="M1247" s="360">
        <f t="shared" si="134"/>
        <v>642041</v>
      </c>
      <c r="N1247" s="237">
        <f t="shared" si="135"/>
        <v>-349316.13913999998</v>
      </c>
      <c r="O1247" s="361"/>
      <c r="P1247" s="361"/>
      <c r="Q1247" s="361" t="s">
        <v>698</v>
      </c>
      <c r="R1247" s="362">
        <f>IF(Q1247="ekrk",INDEX(indexy_SDcast!$A:$C,MATCH($M1247,indexy_SDcast!$A:$A,0),2),"")</f>
        <v>52</v>
      </c>
      <c r="S1247" s="236"/>
      <c r="T1247" s="364">
        <f t="shared" si="132"/>
        <v>642041</v>
      </c>
      <c r="U1247" s="365">
        <f t="shared" si="133"/>
        <v>-349316.13913999998</v>
      </c>
      <c r="V1247" s="365">
        <f>IF($Q1247="ekrk",IF($R1247="data",IFERROR(INDEX(data!$A:$ALL,MATCH($M1247,data!$A:$A,0),MATCH(V$2,data!$1:$1,0)),"#data"),IFERROR(U1247*INDEX(indexy_SDcast!$A:$ALI,MATCH($R1247,indexy_SDcast!$K:$K,0),MATCH(V$2,indexy_SDcast!$2:$2,0)),"#ekrk")),"#popis")</f>
        <v>-353659.20580294315</v>
      </c>
      <c r="W1247" s="365">
        <f>IF($Q1247="ekrk",IF($R1247="data",IFERROR(INDEX(data!$A:$ALL,MATCH($M1247,data!$A:$A,0),MATCH(W$2,data!$1:$1,0)),"#data"),IFERROR(V1247*INDEX(indexy_SDcast!$A:$ALI,MATCH($R1247,indexy_SDcast!$K:$K,0),MATCH(W$2,indexy_SDcast!$2:$2,0)),"#ekrk")),"#popis")</f>
        <v>-355125.33721592819</v>
      </c>
      <c r="X1247" s="365">
        <f>IF($Q1247="ekrk",IF($R1247="data",IFERROR(INDEX(data!$A:$ALL,MATCH($M1247,data!$A:$A,0),MATCH(X$2,data!$1:$1,0)),"#data"),IFERROR(W1247*INDEX(indexy_SDcast!$A:$ALI,MATCH($R1247,indexy_SDcast!$K:$K,0),MATCH(X$2,indexy_SDcast!$2:$2,0)),"#ekrk")),"#popis")</f>
        <v>-357131.72303803085</v>
      </c>
      <c r="Y1247" s="362">
        <f>IF($Q1247="ekrk",IF($R1247="data",IFERROR(INDEX(data!$A:$ALL,MATCH($M1247,data!$A:$A,0),MATCH(Y$2,data!$1:$1,0)),"#data"),IFERROR(X1247*INDEX(indexy_SDcast!$A:$ALI,MATCH($R1247,indexy_SDcast!$K:$K,0),MATCH(Y$2,indexy_SDcast!$2:$2,0)),"#ekrk")),"#popis")</f>
        <v>-367128.63361327723</v>
      </c>
    </row>
    <row r="1248" spans="1:25" x14ac:dyDescent="0.25">
      <c r="A1248" s="330">
        <v>642042</v>
      </c>
      <c r="B1248" s="329">
        <v>-1031.4969899999999</v>
      </c>
      <c r="C1248" s="157"/>
      <c r="D1248" s="330">
        <v>642042</v>
      </c>
      <c r="E1248" s="329">
        <v>-1031.4969899999999</v>
      </c>
      <c r="F1248" s="157"/>
      <c r="G1248" s="330">
        <v>642042</v>
      </c>
      <c r="H1248" s="329">
        <v>-1031.4969899999999</v>
      </c>
      <c r="I1248" s="157"/>
      <c r="J1248" s="330">
        <v>642042</v>
      </c>
      <c r="K1248" s="329">
        <v>-1031.4969899999999</v>
      </c>
      <c r="L1248" s="157"/>
      <c r="M1248" s="360">
        <f t="shared" si="134"/>
        <v>642042</v>
      </c>
      <c r="N1248" s="237">
        <f t="shared" si="135"/>
        <v>-1031.4969899999999</v>
      </c>
      <c r="O1248" s="361"/>
      <c r="P1248" s="361"/>
      <c r="Q1248" s="361" t="s">
        <v>698</v>
      </c>
      <c r="R1248" s="362">
        <f>IF(Q1248="ekrk",INDEX(indexy_SDcast!$A:$C,MATCH($M1248,indexy_SDcast!$A:$A,0),2),"")</f>
        <v>52</v>
      </c>
      <c r="S1248" s="236"/>
      <c r="T1248" s="364">
        <f t="shared" si="132"/>
        <v>642042</v>
      </c>
      <c r="U1248" s="365">
        <f t="shared" si="133"/>
        <v>-1031.4969899999999</v>
      </c>
      <c r="V1248" s="365">
        <f>IF($Q1248="ekrk",IF($R1248="data",IFERROR(INDEX(data!$A:$ALL,MATCH($M1248,data!$A:$A,0),MATCH(V$2,data!$1:$1,0)),"#data"),IFERROR(U1248*INDEX(indexy_SDcast!$A:$ALI,MATCH($R1248,indexy_SDcast!$K:$K,0),MATCH(V$2,indexy_SDcast!$2:$2,0)),"#ekrk")),"#popis")</f>
        <v>-1044.3216484919446</v>
      </c>
      <c r="W1248" s="365">
        <f>IF($Q1248="ekrk",IF($R1248="data",IFERROR(INDEX(data!$A:$ALL,MATCH($M1248,data!$A:$A,0),MATCH(W$2,data!$1:$1,0)),"#data"),IFERROR(V1248*INDEX(indexy_SDcast!$A:$ALI,MATCH($R1248,indexy_SDcast!$K:$K,0),MATCH(W$2,indexy_SDcast!$2:$2,0)),"#ekrk")),"#popis")</f>
        <v>-1048.6509936609418</v>
      </c>
      <c r="X1248" s="365">
        <f>IF($Q1248="ekrk",IF($R1248="data",IFERROR(INDEX(data!$A:$ALL,MATCH($M1248,data!$A:$A,0),MATCH(X$2,data!$1:$1,0)),"#data"),IFERROR(W1248*INDEX(indexy_SDcast!$A:$ALI,MATCH($R1248,indexy_SDcast!$K:$K,0),MATCH(X$2,indexy_SDcast!$2:$2,0)),"#ekrk")),"#popis")</f>
        <v>-1054.5756581822341</v>
      </c>
      <c r="Y1248" s="362">
        <f>IF($Q1248="ekrk",IF($R1248="data",IFERROR(INDEX(data!$A:$ALL,MATCH($M1248,data!$A:$A,0),MATCH(Y$2,data!$1:$1,0)),"#data"),IFERROR(X1248*INDEX(indexy_SDcast!$A:$ALI,MATCH($R1248,indexy_SDcast!$K:$K,0),MATCH(Y$2,indexy_SDcast!$2:$2,0)),"#ekrk")),"#popis")</f>
        <v>-1084.0955744192936</v>
      </c>
    </row>
    <row r="1249" spans="1:44" s="18" customFormat="1" x14ac:dyDescent="0.25">
      <c r="A1249" s="333" t="s">
        <v>730</v>
      </c>
      <c r="B1249" s="334">
        <v>-105933.28603000005</v>
      </c>
      <c r="C1249" s="164"/>
      <c r="D1249" s="333" t="s">
        <v>730</v>
      </c>
      <c r="E1249" s="334">
        <v>-105933.28603000005</v>
      </c>
      <c r="F1249" s="164"/>
      <c r="G1249" s="333" t="s">
        <v>730</v>
      </c>
      <c r="H1249" s="334">
        <v>-105933.28603000005</v>
      </c>
      <c r="I1249" s="164"/>
      <c r="J1249" s="333" t="s">
        <v>730</v>
      </c>
      <c r="K1249" s="334">
        <v>-105933.28603000005</v>
      </c>
      <c r="L1249" s="164"/>
      <c r="M1249" s="358" t="str">
        <f t="shared" si="134"/>
        <v>D632PAY</v>
      </c>
      <c r="N1249" s="239">
        <f t="shared" si="135"/>
        <v>-105933.28603000005</v>
      </c>
      <c r="O1249" s="243"/>
      <c r="P1249" s="243">
        <f>MATCH(Q1249,Q1250:Q$1550,0)</f>
        <v>8</v>
      </c>
      <c r="Q1249" s="243" t="s">
        <v>697</v>
      </c>
      <c r="R1249" s="359" t="str">
        <f>IF(Q1249="ekrk",INDEX(indexy_SDcast!$A:$C,MATCH($M1249,indexy_SDcast!$A:$A,0),2),"")</f>
        <v/>
      </c>
      <c r="S1249" s="240"/>
      <c r="T1249" s="363" t="str">
        <f t="shared" si="132"/>
        <v>D632PAY</v>
      </c>
      <c r="U1249" s="244">
        <f>SUM(U1250:U1256)</f>
        <v>-105933.28603000005</v>
      </c>
      <c r="V1249" s="244">
        <f>SUM(V1250:V1256)</f>
        <v>-108534.99681073285</v>
      </c>
      <c r="W1249" s="244">
        <f>SUM(W1250:W1256)</f>
        <v>-112154.48532673556</v>
      </c>
      <c r="X1249" s="244">
        <f>SUM(X1250:X1256)</f>
        <v>-116522.33434225334</v>
      </c>
      <c r="Y1249" s="359">
        <f>SUM(Y1250:Y1256)</f>
        <v>-121480.34105730589</v>
      </c>
      <c r="Z1249" s="58"/>
      <c r="AA1249" s="58"/>
      <c r="AB1249" s="58"/>
      <c r="AC1249" s="58"/>
      <c r="AD1249" s="58"/>
      <c r="AE1249" s="58"/>
      <c r="AF1249" s="58"/>
      <c r="AG1249" s="58"/>
      <c r="AH1249" s="58"/>
      <c r="AI1249" s="58"/>
      <c r="AJ1249" s="58"/>
      <c r="AK1249" s="58"/>
      <c r="AL1249" s="58"/>
      <c r="AM1249" s="58"/>
      <c r="AN1249" s="58"/>
      <c r="AO1249" s="58"/>
      <c r="AP1249" s="58"/>
      <c r="AQ1249" s="58"/>
      <c r="AR1249" s="58"/>
    </row>
    <row r="1250" spans="1:44" x14ac:dyDescent="0.25">
      <c r="A1250" s="330">
        <v>637016</v>
      </c>
      <c r="B1250" s="329">
        <v>-25434.105800000059</v>
      </c>
      <c r="C1250" s="157"/>
      <c r="D1250" s="330">
        <v>637016</v>
      </c>
      <c r="E1250" s="329">
        <v>-25434.105800000059</v>
      </c>
      <c r="F1250" s="157"/>
      <c r="G1250" s="330">
        <v>637016</v>
      </c>
      <c r="H1250" s="349">
        <f>E1250+E1256</f>
        <v>-27053.105800000059</v>
      </c>
      <c r="I1250" s="157"/>
      <c r="J1250" s="330">
        <v>637016</v>
      </c>
      <c r="K1250" s="329">
        <f>H1250+H1256</f>
        <v>-27053.105800000059</v>
      </c>
      <c r="L1250" s="157"/>
      <c r="M1250" s="360">
        <f t="shared" si="134"/>
        <v>637016</v>
      </c>
      <c r="N1250" s="237">
        <f t="shared" si="135"/>
        <v>-27053.105800000059</v>
      </c>
      <c r="O1250" s="361"/>
      <c r="P1250" s="361"/>
      <c r="Q1250" s="361" t="s">
        <v>698</v>
      </c>
      <c r="R1250" s="362">
        <f>IF(Q1250="ekrk",INDEX(indexy_SDcast!$A:$C,MATCH($M1250,indexy_SDcast!$A:$A,0),2),"")</f>
        <v>39</v>
      </c>
      <c r="S1250" s="236"/>
      <c r="T1250" s="364">
        <f t="shared" si="132"/>
        <v>637016</v>
      </c>
      <c r="U1250" s="365">
        <f t="shared" ref="U1250:U1255" si="136">N1250</f>
        <v>-27053.105800000059</v>
      </c>
      <c r="V1250" s="365">
        <f>IF($Q1250="ekrk",IF($R1250="data",IFERROR(INDEX(data!$A:$ALL,MATCH($M1250,data!$A:$A,0),MATCH(V$2,data!$1:$1,0)),"#data"),IFERROR(U1250*INDEX(indexy_SDcast!$A:$ALI,MATCH($R1250,indexy_SDcast!$K:$K,0),MATCH(V$2,indexy_SDcast!$2:$2,0)),"#ekrk")),"#popis")</f>
        <v>-27837.277960655549</v>
      </c>
      <c r="W1250" s="365">
        <f>IF($Q1250="ekrk",IF($R1250="data",IFERROR(INDEX(data!$A:$ALL,MATCH($M1250,data!$A:$A,0),MATCH(W$2,data!$1:$1,0)),"#data"),IFERROR(V1250*INDEX(indexy_SDcast!$A:$ALI,MATCH($R1250,indexy_SDcast!$K:$K,0),MATCH(W$2,indexy_SDcast!$2:$2,0)),"#ekrk")),"#popis")</f>
        <v>-28866.618631746165</v>
      </c>
      <c r="X1250" s="365">
        <f>IF($Q1250="ekrk",IF($R1250="data",IFERROR(INDEX(data!$A:$ALL,MATCH($M1250,data!$A:$A,0),MATCH(X$2,data!$1:$1,0)),"#data"),IFERROR(W1250*INDEX(indexy_SDcast!$A:$ALI,MATCH($R1250,indexy_SDcast!$K:$K,0),MATCH(X$2,indexy_SDcast!$2:$2,0)),"#ekrk")),"#popis")</f>
        <v>-30100.185169804601</v>
      </c>
      <c r="Y1250" s="362">
        <f>IF($Q1250="ekrk",IF($R1250="data",IFERROR(INDEX(data!$A:$ALL,MATCH($M1250,data!$A:$A,0),MATCH(Y$2,data!$1:$1,0)),"#data"),IFERROR(X1250*INDEX(indexy_SDcast!$A:$ALI,MATCH($R1250,indexy_SDcast!$K:$K,0),MATCH(Y$2,indexy_SDcast!$2:$2,0)),"#ekrk")),"#popis")</f>
        <v>-31487.635491401532</v>
      </c>
    </row>
    <row r="1251" spans="1:44" x14ac:dyDescent="0.25">
      <c r="A1251" s="330">
        <v>642012</v>
      </c>
      <c r="B1251" s="329">
        <v>-7799.4364899999973</v>
      </c>
      <c r="C1251" s="157"/>
      <c r="D1251" s="330">
        <v>642012</v>
      </c>
      <c r="E1251" s="329">
        <v>-7799.4364899999973</v>
      </c>
      <c r="F1251" s="157"/>
      <c r="G1251" s="330">
        <v>642012</v>
      </c>
      <c r="H1251" s="329">
        <v>-7799.4364899999973</v>
      </c>
      <c r="I1251" s="157"/>
      <c r="J1251" s="330">
        <v>642012</v>
      </c>
      <c r="K1251" s="329">
        <v>-7799.4364899999973</v>
      </c>
      <c r="L1251" s="157"/>
      <c r="M1251" s="360">
        <f t="shared" si="134"/>
        <v>642012</v>
      </c>
      <c r="N1251" s="237">
        <f t="shared" si="135"/>
        <v>-7799.4364899999973</v>
      </c>
      <c r="O1251" s="361"/>
      <c r="P1251" s="361"/>
      <c r="Q1251" s="361" t="s">
        <v>698</v>
      </c>
      <c r="R1251" s="362">
        <f>IF(Q1251="ekrk",INDEX(indexy_SDcast!$A:$C,MATCH($M1251,indexy_SDcast!$A:$A,0),2),"")</f>
        <v>43</v>
      </c>
      <c r="S1251" s="236"/>
      <c r="T1251" s="364">
        <f t="shared" si="132"/>
        <v>642012</v>
      </c>
      <c r="U1251" s="365">
        <f t="shared" si="136"/>
        <v>-7799.4364899999973</v>
      </c>
      <c r="V1251" s="365">
        <f>IF($Q1251="ekrk",IF($R1251="data",IFERROR(INDEX(data!$A:$ALL,MATCH($M1251,data!$A:$A,0),MATCH(V$2,data!$1:$1,0)),"#data"),IFERROR(U1251*INDEX(indexy_SDcast!$A:$ALI,MATCH($R1251,indexy_SDcast!$K:$K,0),MATCH(V$2,indexy_SDcast!$2:$2,0)),"#ekrk")),"#popis")</f>
        <v>-7994.2383672936048</v>
      </c>
      <c r="W1251" s="365">
        <f>IF($Q1251="ekrk",IF($R1251="data",IFERROR(INDEX(data!$A:$ALL,MATCH($M1251,data!$A:$A,0),MATCH(W$2,data!$1:$1,0)),"#data"),IFERROR(V1251*INDEX(indexy_SDcast!$A:$ALI,MATCH($R1251,indexy_SDcast!$K:$K,0),MATCH(W$2,indexy_SDcast!$2:$2,0)),"#ekrk")),"#popis")</f>
        <v>-8225.9625626455345</v>
      </c>
      <c r="X1251" s="365">
        <f>IF($Q1251="ekrk",IF($R1251="data",IFERROR(INDEX(data!$A:$ALL,MATCH($M1251,data!$A:$A,0),MATCH(X$2,data!$1:$1,0)),"#data"),IFERROR(W1251*INDEX(indexy_SDcast!$A:$ALI,MATCH($R1251,indexy_SDcast!$K:$K,0),MATCH(X$2,indexy_SDcast!$2:$2,0)),"#ekrk")),"#popis")</f>
        <v>-8530.1344661113599</v>
      </c>
      <c r="Y1251" s="362">
        <f>IF($Q1251="ekrk",IF($R1251="data",IFERROR(INDEX(data!$A:$ALL,MATCH($M1251,data!$A:$A,0),MATCH(Y$2,data!$1:$1,0)),"#data"),IFERROR(X1251*INDEX(indexy_SDcast!$A:$ALI,MATCH($R1251,indexy_SDcast!$K:$K,0),MATCH(Y$2,indexy_SDcast!$2:$2,0)),"#ekrk")),"#popis")</f>
        <v>-8894.6554575295158</v>
      </c>
    </row>
    <row r="1252" spans="1:44" x14ac:dyDescent="0.25">
      <c r="A1252" s="330">
        <v>642013</v>
      </c>
      <c r="B1252" s="329">
        <v>-13888.592739999984</v>
      </c>
      <c r="C1252" s="157"/>
      <c r="D1252" s="330">
        <v>642013</v>
      </c>
      <c r="E1252" s="329">
        <v>-13888.592739999984</v>
      </c>
      <c r="F1252" s="157"/>
      <c r="G1252" s="330">
        <v>642013</v>
      </c>
      <c r="H1252" s="329">
        <v>-13888.592739999984</v>
      </c>
      <c r="I1252" s="157"/>
      <c r="J1252" s="330">
        <v>642013</v>
      </c>
      <c r="K1252" s="329">
        <v>-13888.592739999984</v>
      </c>
      <c r="L1252" s="157"/>
      <c r="M1252" s="360">
        <f t="shared" si="134"/>
        <v>642013</v>
      </c>
      <c r="N1252" s="237">
        <f t="shared" si="135"/>
        <v>-13888.592739999984</v>
      </c>
      <c r="O1252" s="361"/>
      <c r="P1252" s="361"/>
      <c r="Q1252" s="361" t="s">
        <v>698</v>
      </c>
      <c r="R1252" s="362">
        <f>IF(Q1252="ekrk",INDEX(indexy_SDcast!$A:$C,MATCH($M1252,indexy_SDcast!$A:$A,0),2),"")</f>
        <v>43</v>
      </c>
      <c r="S1252" s="236"/>
      <c r="T1252" s="364">
        <f t="shared" si="132"/>
        <v>642013</v>
      </c>
      <c r="U1252" s="365">
        <f t="shared" si="136"/>
        <v>-13888.592739999984</v>
      </c>
      <c r="V1252" s="365">
        <f>IF($Q1252="ekrk",IF($R1252="data",IFERROR(INDEX(data!$A:$ALL,MATCH($M1252,data!$A:$A,0),MATCH(V$2,data!$1:$1,0)),"#data"),IFERROR(U1252*INDEX(indexy_SDcast!$A:$ALI,MATCH($R1252,indexy_SDcast!$K:$K,0),MATCH(V$2,indexy_SDcast!$2:$2,0)),"#ekrk")),"#popis")</f>
        <v>-14235.479844239788</v>
      </c>
      <c r="W1252" s="365">
        <f>IF($Q1252="ekrk",IF($R1252="data",IFERROR(INDEX(data!$A:$ALL,MATCH($M1252,data!$A:$A,0),MATCH(W$2,data!$1:$1,0)),"#data"),IFERROR(V1252*INDEX(indexy_SDcast!$A:$ALI,MATCH($R1252,indexy_SDcast!$K:$K,0),MATCH(W$2,indexy_SDcast!$2:$2,0)),"#ekrk")),"#popis")</f>
        <v>-14648.11516492911</v>
      </c>
      <c r="X1252" s="365">
        <f>IF($Q1252="ekrk",IF($R1252="data",IFERROR(INDEX(data!$A:$ALL,MATCH($M1252,data!$A:$A,0),MATCH(X$2,data!$1:$1,0)),"#data"),IFERROR(W1252*INDEX(indexy_SDcast!$A:$ALI,MATCH($R1252,indexy_SDcast!$K:$K,0),MATCH(X$2,indexy_SDcast!$2:$2,0)),"#ekrk")),"#popis")</f>
        <v>-15189.759384431874</v>
      </c>
      <c r="Y1252" s="362">
        <f>IF($Q1252="ekrk",IF($R1252="data",IFERROR(INDEX(data!$A:$ALL,MATCH($M1252,data!$A:$A,0),MATCH(Y$2,data!$1:$1,0)),"#data"),IFERROR(X1252*INDEX(indexy_SDcast!$A:$ALI,MATCH($R1252,indexy_SDcast!$K:$K,0),MATCH(Y$2,indexy_SDcast!$2:$2,0)),"#ekrk")),"#popis")</f>
        <v>-15838.868278578124</v>
      </c>
    </row>
    <row r="1253" spans="1:44" x14ac:dyDescent="0.25">
      <c r="A1253" s="330">
        <v>642015</v>
      </c>
      <c r="B1253" s="329">
        <v>-16277.047050000019</v>
      </c>
      <c r="C1253" s="157"/>
      <c r="D1253" s="330">
        <v>642015</v>
      </c>
      <c r="E1253" s="329">
        <v>-16277.047050000019</v>
      </c>
      <c r="F1253" s="157"/>
      <c r="G1253" s="330">
        <v>642015</v>
      </c>
      <c r="H1253" s="329">
        <v>-16277.047050000019</v>
      </c>
      <c r="I1253" s="157"/>
      <c r="J1253" s="330">
        <v>642015</v>
      </c>
      <c r="K1253" s="329">
        <v>-16277.047050000019</v>
      </c>
      <c r="L1253" s="157"/>
      <c r="M1253" s="360">
        <f t="shared" si="134"/>
        <v>642015</v>
      </c>
      <c r="N1253" s="237">
        <f t="shared" si="135"/>
        <v>-16277.047050000019</v>
      </c>
      <c r="O1253" s="361"/>
      <c r="P1253" s="361"/>
      <c r="Q1253" s="361" t="s">
        <v>698</v>
      </c>
      <c r="R1253" s="362">
        <v>37</v>
      </c>
      <c r="S1253" s="236"/>
      <c r="T1253" s="364">
        <f t="shared" si="132"/>
        <v>642015</v>
      </c>
      <c r="U1253" s="365">
        <f t="shared" si="136"/>
        <v>-16277.047050000019</v>
      </c>
      <c r="V1253" s="365">
        <f>IF($Q1253="ekrk",IF($R1253="data",IFERROR(INDEX(data!$A:$ALL,MATCH($M1253,data!$A:$A,0),MATCH(V$2,data!$1:$1,0)),"#data"),IFERROR(U1253*INDEX(indexy_SDcast!$A:$ALI,MATCH($R1253,indexy_SDcast!$K:$K,0),MATCH(V$2,indexy_SDcast!$2:$2,0)),"#ekrk")),"#popis")</f>
        <v>-16805.502631800489</v>
      </c>
      <c r="W1253" s="365">
        <f>IF($Q1253="ekrk",IF($R1253="data",IFERROR(INDEX(data!$A:$ALL,MATCH($M1253,data!$A:$A,0),MATCH(W$2,data!$1:$1,0)),"#data"),IFERROR(V1253*INDEX(indexy_SDcast!$A:$ALI,MATCH($R1253,indexy_SDcast!$K:$K,0),MATCH(W$2,indexy_SDcast!$2:$2,0)),"#ekrk")),"#popis")</f>
        <v>-17548.771918608567</v>
      </c>
      <c r="X1253" s="365">
        <f>IF($Q1253="ekrk",IF($R1253="data",IFERROR(INDEX(data!$A:$ALL,MATCH($M1253,data!$A:$A,0),MATCH(X$2,data!$1:$1,0)),"#data"),IFERROR(W1253*INDEX(indexy_SDcast!$A:$ALI,MATCH($R1253,indexy_SDcast!$K:$K,0),MATCH(X$2,indexy_SDcast!$2:$2,0)),"#ekrk")),"#popis")</f>
        <v>-18433.817590426574</v>
      </c>
      <c r="Y1253" s="362">
        <f>IF($Q1253="ekrk",IF($R1253="data",IFERROR(INDEX(data!$A:$ALL,MATCH($M1253,data!$A:$A,0),MATCH(Y$2,data!$1:$1,0)),"#data"),IFERROR(X1253*INDEX(indexy_SDcast!$A:$ALI,MATCH($R1253,indexy_SDcast!$K:$K,0),MATCH(Y$2,indexy_SDcast!$2:$2,0)),"#ekrk")),"#popis")</f>
        <v>-19449.145256474134</v>
      </c>
    </row>
    <row r="1254" spans="1:44" x14ac:dyDescent="0.25">
      <c r="A1254" s="330">
        <v>642017</v>
      </c>
      <c r="B1254" s="329">
        <v>-459.12527000000006</v>
      </c>
      <c r="C1254" s="157"/>
      <c r="D1254" s="330">
        <v>642017</v>
      </c>
      <c r="E1254" s="329">
        <v>-459.12527000000006</v>
      </c>
      <c r="F1254" s="157"/>
      <c r="G1254" s="330">
        <v>642017</v>
      </c>
      <c r="H1254" s="329">
        <v>-459.12527000000006</v>
      </c>
      <c r="I1254" s="157"/>
      <c r="J1254" s="330">
        <v>642017</v>
      </c>
      <c r="K1254" s="329">
        <v>-459.12527000000006</v>
      </c>
      <c r="L1254" s="157"/>
      <c r="M1254" s="360">
        <f t="shared" si="134"/>
        <v>642017</v>
      </c>
      <c r="N1254" s="237">
        <f t="shared" si="135"/>
        <v>-459.12527000000006</v>
      </c>
      <c r="O1254" s="361"/>
      <c r="P1254" s="361"/>
      <c r="Q1254" s="361" t="s">
        <v>698</v>
      </c>
      <c r="R1254" s="362">
        <f>IF(Q1254="ekrk",INDEX(indexy_SDcast!$A:$C,MATCH($M1254,indexy_SDcast!$A:$A,0),2),"")</f>
        <v>6</v>
      </c>
      <c r="S1254" s="236"/>
      <c r="T1254" s="364">
        <f t="shared" si="132"/>
        <v>642017</v>
      </c>
      <c r="U1254" s="365">
        <f t="shared" si="136"/>
        <v>-459.12527000000006</v>
      </c>
      <c r="V1254" s="365">
        <f>IF($Q1254="ekrk",IF($R1254="data",IFERROR(INDEX(data!$A:$ALL,MATCH($M1254,data!$A:$A,0),MATCH(V$2,data!$1:$1,0)),"#data"),IFERROR(U1254*INDEX(indexy_SDcast!$A:$ALI,MATCH($R1254,indexy_SDcast!$K:$K,0),MATCH(V$2,indexy_SDcast!$2:$2,0)),"#ekrk")),"#popis")</f>
        <v>-467.51208721346853</v>
      </c>
      <c r="W1254" s="365">
        <f>IF($Q1254="ekrk",IF($R1254="data",IFERROR(INDEX(data!$A:$ALL,MATCH($M1254,data!$A:$A,0),MATCH(W$2,data!$1:$1,0)),"#data"),IFERROR(V1254*INDEX(indexy_SDcast!$A:$ALI,MATCH($R1254,indexy_SDcast!$K:$K,0),MATCH(W$2,indexy_SDcast!$2:$2,0)),"#ekrk")),"#popis")</f>
        <v>-481.00604974969741</v>
      </c>
      <c r="X1254" s="365">
        <f>IF($Q1254="ekrk",IF($R1254="data",IFERROR(INDEX(data!$A:$ALL,MATCH($M1254,data!$A:$A,0),MATCH(X$2,data!$1:$1,0)),"#data"),IFERROR(W1254*INDEX(indexy_SDcast!$A:$ALI,MATCH($R1254,indexy_SDcast!$K:$K,0),MATCH(X$2,indexy_SDcast!$2:$2,0)),"#ekrk")),"#popis")</f>
        <v>-496.75441252162443</v>
      </c>
      <c r="Y1254" s="362">
        <f>IF($Q1254="ekrk",IF($R1254="data",IFERROR(INDEX(data!$A:$ALL,MATCH($M1254,data!$A:$A,0),MATCH(Y$2,data!$1:$1,0)),"#data"),IFERROR(X1254*INDEX(indexy_SDcast!$A:$ALI,MATCH($R1254,indexy_SDcast!$K:$K,0),MATCH(Y$2,indexy_SDcast!$2:$2,0)),"#ekrk")),"#popis")</f>
        <v>-514.05332945357486</v>
      </c>
    </row>
    <row r="1255" spans="1:44" x14ac:dyDescent="0.25">
      <c r="A1255" s="330">
        <v>642035</v>
      </c>
      <c r="B1255" s="329">
        <v>-40455.97868</v>
      </c>
      <c r="C1255" s="157"/>
      <c r="D1255" s="330">
        <v>642035</v>
      </c>
      <c r="E1255" s="329">
        <v>-40455.97868</v>
      </c>
      <c r="F1255" s="157"/>
      <c r="G1255" s="330">
        <v>642035</v>
      </c>
      <c r="H1255" s="329">
        <v>-40455.97868</v>
      </c>
      <c r="I1255" s="157"/>
      <c r="J1255" s="330">
        <v>642035</v>
      </c>
      <c r="K1255" s="329">
        <v>-40455.97868</v>
      </c>
      <c r="L1255" s="157"/>
      <c r="M1255" s="360">
        <f t="shared" si="134"/>
        <v>642035</v>
      </c>
      <c r="N1255" s="237">
        <f t="shared" si="135"/>
        <v>-40455.97868</v>
      </c>
      <c r="O1255" s="361"/>
      <c r="P1255" s="361"/>
      <c r="Q1255" s="361" t="s">
        <v>698</v>
      </c>
      <c r="R1255" s="362">
        <f>IF(Q1255="ekrk",INDEX(indexy_SDcast!$A:$C,MATCH($M1255,indexy_SDcast!$A:$A,0),2),"")</f>
        <v>6</v>
      </c>
      <c r="S1255" s="236"/>
      <c r="T1255" s="364">
        <f t="shared" si="132"/>
        <v>642035</v>
      </c>
      <c r="U1255" s="365">
        <f t="shared" si="136"/>
        <v>-40455.97868</v>
      </c>
      <c r="V1255" s="365">
        <f>IF($Q1255="ekrk",IF($R1255="data",IFERROR(INDEX(data!$A:$ALL,MATCH($M1255,data!$A:$A,0),MATCH(V$2,data!$1:$1,0)),"#data"),IFERROR(U1255*INDEX(indexy_SDcast!$A:$ALI,MATCH($R1255,indexy_SDcast!$K:$K,0),MATCH(V$2,indexy_SDcast!$2:$2,0)),"#ekrk")),"#popis")</f>
        <v>-41194.985919529936</v>
      </c>
      <c r="W1255" s="365">
        <f>IF($Q1255="ekrk",IF($R1255="data",IFERROR(INDEX(data!$A:$ALL,MATCH($M1255,data!$A:$A,0),MATCH(W$2,data!$1:$1,0)),"#data"),IFERROR(V1255*INDEX(indexy_SDcast!$A:$ALI,MATCH($R1255,indexy_SDcast!$K:$K,0),MATCH(W$2,indexy_SDcast!$2:$2,0)),"#ekrk")),"#popis")</f>
        <v>-42384.010999056474</v>
      </c>
      <c r="X1255" s="365">
        <f>IF($Q1255="ekrk",IF($R1255="data",IFERROR(INDEX(data!$A:$ALL,MATCH($M1255,data!$A:$A,0),MATCH(X$2,data!$1:$1,0)),"#data"),IFERROR(W1255*INDEX(indexy_SDcast!$A:$ALI,MATCH($R1255,indexy_SDcast!$K:$K,0),MATCH(X$2,indexy_SDcast!$2:$2,0)),"#ekrk")),"#popis")</f>
        <v>-43771.683318957286</v>
      </c>
      <c r="Y1255" s="362">
        <f>IF($Q1255="ekrk",IF($R1255="data",IFERROR(INDEX(data!$A:$ALL,MATCH($M1255,data!$A:$A,0),MATCH(Y$2,data!$1:$1,0)),"#data"),IFERROR(X1255*INDEX(indexy_SDcast!$A:$ALI,MATCH($R1255,indexy_SDcast!$K:$K,0),MATCH(Y$2,indexy_SDcast!$2:$2,0)),"#ekrk")),"#popis")</f>
        <v>-45295.983243869014</v>
      </c>
    </row>
    <row r="1256" spans="1:44" x14ac:dyDescent="0.25">
      <c r="A1256" s="330" t="s">
        <v>699</v>
      </c>
      <c r="B1256" s="329">
        <v>-1619</v>
      </c>
      <c r="C1256" s="157"/>
      <c r="D1256" s="348">
        <v>637016</v>
      </c>
      <c r="E1256" s="329">
        <v>-1619</v>
      </c>
      <c r="F1256" s="157"/>
      <c r="G1256" s="330"/>
      <c r="H1256" s="329"/>
      <c r="I1256" s="157"/>
      <c r="J1256" s="330"/>
      <c r="K1256" s="329"/>
      <c r="L1256" s="157"/>
      <c r="M1256" s="360">
        <f t="shared" si="134"/>
        <v>0</v>
      </c>
      <c r="N1256" s="237">
        <f t="shared" si="135"/>
        <v>0</v>
      </c>
      <c r="O1256" s="361"/>
      <c r="P1256" s="361"/>
      <c r="Q1256" s="361"/>
      <c r="R1256" s="362"/>
      <c r="S1256" s="236"/>
      <c r="T1256" s="364"/>
      <c r="U1256" s="365"/>
      <c r="V1256" s="365"/>
      <c r="W1256" s="365"/>
      <c r="X1256" s="365"/>
      <c r="Y1256" s="362"/>
    </row>
    <row r="1257" spans="1:44" s="18" customFormat="1" x14ac:dyDescent="0.25">
      <c r="A1257" s="333" t="s">
        <v>731</v>
      </c>
      <c r="B1257" s="334">
        <v>-21799.86706</v>
      </c>
      <c r="C1257" s="164"/>
      <c r="D1257" s="333" t="s">
        <v>731</v>
      </c>
      <c r="E1257" s="334">
        <v>-21799.86706</v>
      </c>
      <c r="F1257" s="164"/>
      <c r="G1257" s="333" t="s">
        <v>731</v>
      </c>
      <c r="H1257" s="334">
        <v>-21799.86706</v>
      </c>
      <c r="I1257" s="164"/>
      <c r="J1257" s="333" t="s">
        <v>731</v>
      </c>
      <c r="K1257" s="334">
        <v>-21799.86706</v>
      </c>
      <c r="L1257" s="164"/>
      <c r="M1257" s="358" t="str">
        <f t="shared" si="134"/>
        <v>D71PAY</v>
      </c>
      <c r="N1257" s="239">
        <f t="shared" si="135"/>
        <v>-21799.86706</v>
      </c>
      <c r="O1257" s="243"/>
      <c r="P1257" s="243">
        <f>MATCH(Q1257,Q1258:Q$1550,0)</f>
        <v>3</v>
      </c>
      <c r="Q1257" s="243" t="s">
        <v>697</v>
      </c>
      <c r="R1257" s="359" t="str">
        <f>IF(Q1257="ekrk",INDEX(indexy_SDcast!$A:$C,MATCH($M1257,indexy_SDcast!$A:$A,0),2),"")</f>
        <v/>
      </c>
      <c r="S1257" s="240"/>
      <c r="T1257" s="363" t="str">
        <f>M1257</f>
        <v>D71PAY</v>
      </c>
      <c r="U1257" s="244">
        <f>SUM(U1258:U1259)</f>
        <v>-21799.86706</v>
      </c>
      <c r="V1257" s="244">
        <f>SUM(V1258:V1259)</f>
        <v>-21964.401436787884</v>
      </c>
      <c r="W1257" s="244">
        <f>SUM(W1258:W1259)</f>
        <v>-22420.154648430471</v>
      </c>
      <c r="X1257" s="244">
        <f>SUM(X1258:X1259)</f>
        <v>-22930.159611649007</v>
      </c>
      <c r="Y1257" s="359">
        <f>SUM(Y1258:Y1259)</f>
        <v>-23470.241733343515</v>
      </c>
      <c r="Z1257" s="58"/>
      <c r="AA1257" s="58"/>
      <c r="AB1257" s="58"/>
      <c r="AC1257" s="58"/>
      <c r="AD1257" s="58"/>
      <c r="AE1257" s="58"/>
      <c r="AF1257" s="58"/>
      <c r="AG1257" s="58"/>
      <c r="AH1257" s="58"/>
      <c r="AI1257" s="58"/>
      <c r="AJ1257" s="58"/>
      <c r="AK1257" s="58"/>
      <c r="AL1257" s="58"/>
      <c r="AM1257" s="58"/>
      <c r="AN1257" s="58"/>
      <c r="AO1257" s="58"/>
      <c r="AP1257" s="58"/>
      <c r="AQ1257" s="58"/>
      <c r="AR1257" s="58"/>
    </row>
    <row r="1258" spans="1:44" x14ac:dyDescent="0.25">
      <c r="A1258" s="330">
        <v>634003</v>
      </c>
      <c r="B1258" s="329">
        <v>-11422.650640000011</v>
      </c>
      <c r="C1258" s="157"/>
      <c r="D1258" s="330">
        <v>634003</v>
      </c>
      <c r="E1258" s="329">
        <v>-11422.650640000011</v>
      </c>
      <c r="F1258" s="157"/>
      <c r="G1258" s="330">
        <v>634003</v>
      </c>
      <c r="H1258" s="329">
        <v>-11422.650640000011</v>
      </c>
      <c r="I1258" s="157"/>
      <c r="J1258" s="330">
        <v>634003</v>
      </c>
      <c r="K1258" s="329">
        <v>-11422.650640000011</v>
      </c>
      <c r="L1258" s="157"/>
      <c r="M1258" s="360">
        <f t="shared" si="134"/>
        <v>634003</v>
      </c>
      <c r="N1258" s="237">
        <f t="shared" si="135"/>
        <v>-11422.650640000011</v>
      </c>
      <c r="O1258" s="361"/>
      <c r="P1258" s="361"/>
      <c r="Q1258" s="361" t="s">
        <v>698</v>
      </c>
      <c r="R1258" s="362">
        <f>IF(Q1258="ekrk",INDEX(indexy_SDcast!$A:$C,MATCH($M1258,indexy_SDcast!$A:$A,0),2),"")</f>
        <v>25</v>
      </c>
      <c r="S1258" s="236"/>
      <c r="T1258" s="364">
        <f>M1258</f>
        <v>634003</v>
      </c>
      <c r="U1258" s="365">
        <f>N1258</f>
        <v>-11422.650640000011</v>
      </c>
      <c r="V1258" s="365">
        <f>IF($Q1258="ekrk",IF($R1258="data",IFERROR(INDEX(data!$A:$ALL,MATCH($M1258,data!$A:$A,0),MATCH(V$2,data!$1:$1,0)),"#data"),IFERROR(U1258*INDEX(indexy_SDcast!$A:$ALI,MATCH($R1258,indexy_SDcast!$K:$K,0),MATCH(V$2,indexy_SDcast!$2:$2,0)),"#ekrk")),"#popis")</f>
        <v>-11508.863032907977</v>
      </c>
      <c r="W1258" s="365">
        <f>IF($Q1258="ekrk",IF($R1258="data",IFERROR(INDEX(data!$A:$ALL,MATCH($M1258,data!$A:$A,0),MATCH(W$2,data!$1:$1,0)),"#data"),IFERROR(V1258*INDEX(indexy_SDcast!$A:$ALI,MATCH($R1258,indexy_SDcast!$K:$K,0),MATCH(W$2,indexy_SDcast!$2:$2,0)),"#ekrk")),"#popis")</f>
        <v>-11747.667687097975</v>
      </c>
      <c r="X1258" s="365">
        <f>IF($Q1258="ekrk",IF($R1258="data",IFERROR(INDEX(data!$A:$ALL,MATCH($M1258,data!$A:$A,0),MATCH(X$2,data!$1:$1,0)),"#data"),IFERROR(W1258*INDEX(indexy_SDcast!$A:$ALI,MATCH($R1258,indexy_SDcast!$K:$K,0),MATCH(X$2,indexy_SDcast!$2:$2,0)),"#ekrk")),"#popis")</f>
        <v>-12014.899065320489</v>
      </c>
      <c r="Y1258" s="362">
        <f>IF($Q1258="ekrk",IF($R1258="data",IFERROR(INDEX(data!$A:$ALL,MATCH($M1258,data!$A:$A,0),MATCH(Y$2,data!$1:$1,0)),"#data"),IFERROR(X1258*INDEX(indexy_SDcast!$A:$ALI,MATCH($R1258,indexy_SDcast!$K:$K,0),MATCH(Y$2,indexy_SDcast!$2:$2,0)),"#ekrk")),"#popis")</f>
        <v>-12297.890212745693</v>
      </c>
    </row>
    <row r="1259" spans="1:44" x14ac:dyDescent="0.25">
      <c r="A1259" s="330">
        <v>637015</v>
      </c>
      <c r="B1259" s="329">
        <v>-10377.21641999999</v>
      </c>
      <c r="C1259" s="157"/>
      <c r="D1259" s="330">
        <v>637015</v>
      </c>
      <c r="E1259" s="329">
        <v>-10377.21641999999</v>
      </c>
      <c r="F1259" s="157"/>
      <c r="G1259" s="330">
        <v>637015</v>
      </c>
      <c r="H1259" s="329">
        <v>-10377.21641999999</v>
      </c>
      <c r="I1259" s="157"/>
      <c r="J1259" s="330">
        <v>637015</v>
      </c>
      <c r="K1259" s="329">
        <v>-10377.21641999999</v>
      </c>
      <c r="L1259" s="157"/>
      <c r="M1259" s="360">
        <f t="shared" si="134"/>
        <v>637015</v>
      </c>
      <c r="N1259" s="237">
        <f t="shared" si="135"/>
        <v>-10377.21641999999</v>
      </c>
      <c r="O1259" s="361"/>
      <c r="P1259" s="361"/>
      <c r="Q1259" s="361" t="s">
        <v>698</v>
      </c>
      <c r="R1259" s="362">
        <f>IF(Q1259="ekrk",INDEX(indexy_SDcast!$A:$C,MATCH($M1259,indexy_SDcast!$A:$A,0),2),"")</f>
        <v>25</v>
      </c>
      <c r="S1259" s="236"/>
      <c r="T1259" s="364">
        <f>M1259</f>
        <v>637015</v>
      </c>
      <c r="U1259" s="365">
        <f>N1259</f>
        <v>-10377.21641999999</v>
      </c>
      <c r="V1259" s="365">
        <f>IF($Q1259="ekrk",IF($R1259="data",IFERROR(INDEX(data!$A:$ALL,MATCH($M1259,data!$A:$A,0),MATCH(V$2,data!$1:$1,0)),"#data"),IFERROR(U1259*INDEX(indexy_SDcast!$A:$ALI,MATCH($R1259,indexy_SDcast!$K:$K,0),MATCH(V$2,indexy_SDcast!$2:$2,0)),"#ekrk")),"#popis")</f>
        <v>-10455.538403879909</v>
      </c>
      <c r="W1259" s="365">
        <f>IF($Q1259="ekrk",IF($R1259="data",IFERROR(INDEX(data!$A:$ALL,MATCH($M1259,data!$A:$A,0),MATCH(W$2,data!$1:$1,0)),"#data"),IFERROR(V1259*INDEX(indexy_SDcast!$A:$ALI,MATCH($R1259,indexy_SDcast!$K:$K,0),MATCH(W$2,indexy_SDcast!$2:$2,0)),"#ekrk")),"#popis")</f>
        <v>-10672.486961332497</v>
      </c>
      <c r="X1259" s="365">
        <f>IF($Q1259="ekrk",IF($R1259="data",IFERROR(INDEX(data!$A:$ALL,MATCH($M1259,data!$A:$A,0),MATCH(X$2,data!$1:$1,0)),"#data"),IFERROR(W1259*INDEX(indexy_SDcast!$A:$ALI,MATCH($R1259,indexy_SDcast!$K:$K,0),MATCH(X$2,indexy_SDcast!$2:$2,0)),"#ekrk")),"#popis")</f>
        <v>-10915.260546328518</v>
      </c>
      <c r="Y1259" s="362">
        <f>IF($Q1259="ekrk",IF($R1259="data",IFERROR(INDEX(data!$A:$ALL,MATCH($M1259,data!$A:$A,0),MATCH(Y$2,data!$1:$1,0)),"#data"),IFERROR(X1259*INDEX(indexy_SDcast!$A:$ALI,MATCH($R1259,indexy_SDcast!$K:$K,0),MATCH(Y$2,indexy_SDcast!$2:$2,0)),"#ekrk")),"#popis")</f>
        <v>-11172.35152059782</v>
      </c>
    </row>
    <row r="1260" spans="1:44" s="18" customFormat="1" x14ac:dyDescent="0.25">
      <c r="A1260" s="333" t="s">
        <v>732</v>
      </c>
      <c r="B1260" s="334">
        <v>3578.7685099999999</v>
      </c>
      <c r="C1260" s="164"/>
      <c r="D1260" s="333" t="s">
        <v>732</v>
      </c>
      <c r="E1260" s="334">
        <v>3578.7685099999999</v>
      </c>
      <c r="F1260" s="164"/>
      <c r="G1260" s="333" t="s">
        <v>732</v>
      </c>
      <c r="H1260" s="334">
        <v>3578.7685099999999</v>
      </c>
      <c r="I1260" s="164"/>
      <c r="J1260" s="333" t="s">
        <v>732</v>
      </c>
      <c r="K1260" s="334">
        <v>3578.7685099999999</v>
      </c>
      <c r="L1260" s="164"/>
      <c r="M1260" s="358" t="str">
        <f t="shared" si="134"/>
        <v>D72REC</v>
      </c>
      <c r="N1260" s="239">
        <f t="shared" si="135"/>
        <v>3578.7685099999999</v>
      </c>
      <c r="O1260" s="243"/>
      <c r="P1260" s="243">
        <f>MATCH(Q1260,Q1261:Q$1550,0)</f>
        <v>3</v>
      </c>
      <c r="Q1260" s="243" t="s">
        <v>697</v>
      </c>
      <c r="R1260" s="359" t="str">
        <f>IF(Q1260="ekrk",INDEX(indexy_SDcast!$A:$C,MATCH($M1260,indexy_SDcast!$A:$A,0),2),"")</f>
        <v/>
      </c>
      <c r="S1260" s="240"/>
      <c r="T1260" s="363" t="str">
        <f>M1260</f>
        <v>D72REC</v>
      </c>
      <c r="U1260" s="244">
        <f>SUM(U1261:U1262)</f>
        <v>3578.7685099999999</v>
      </c>
      <c r="V1260" s="244">
        <f>SUM(V1261:V1262)</f>
        <v>3578.7685099999999</v>
      </c>
      <c r="W1260" s="244">
        <f>SUM(W1261:W1262)</f>
        <v>3578.7685099999999</v>
      </c>
      <c r="X1260" s="244">
        <f>SUM(X1261:X1262)</f>
        <v>3578.7685099999999</v>
      </c>
      <c r="Y1260" s="359">
        <f>SUM(Y1261:Y1262)</f>
        <v>3578.7685099999999</v>
      </c>
      <c r="Z1260" s="58"/>
      <c r="AA1260" s="58"/>
      <c r="AB1260" s="58"/>
      <c r="AC1260" s="58"/>
      <c r="AD1260" s="58"/>
      <c r="AE1260" s="58"/>
      <c r="AF1260" s="58"/>
      <c r="AG1260" s="58"/>
      <c r="AH1260" s="58"/>
      <c r="AI1260" s="58"/>
      <c r="AJ1260" s="58"/>
      <c r="AK1260" s="58"/>
      <c r="AL1260" s="58"/>
      <c r="AM1260" s="58"/>
      <c r="AN1260" s="58"/>
      <c r="AO1260" s="58"/>
      <c r="AP1260" s="58"/>
      <c r="AQ1260" s="58"/>
      <c r="AR1260" s="58"/>
    </row>
    <row r="1261" spans="1:44" x14ac:dyDescent="0.25">
      <c r="A1261" s="330">
        <v>292006</v>
      </c>
      <c r="B1261" s="329">
        <v>3568.7685099999999</v>
      </c>
      <c r="C1261" s="157"/>
      <c r="D1261" s="330">
        <v>292006</v>
      </c>
      <c r="E1261" s="329">
        <v>3568.7685099999999</v>
      </c>
      <c r="F1261" s="157"/>
      <c r="G1261" s="330">
        <v>292006</v>
      </c>
      <c r="H1261" s="349">
        <f>E1261+E1262</f>
        <v>3578.7685099999999</v>
      </c>
      <c r="I1261" s="157"/>
      <c r="J1261" s="330">
        <v>292006</v>
      </c>
      <c r="K1261" s="329">
        <f>H1261+H1262</f>
        <v>3578.7685099999999</v>
      </c>
      <c r="L1261" s="157"/>
      <c r="M1261" s="360">
        <f t="shared" si="134"/>
        <v>292006</v>
      </c>
      <c r="N1261" s="237">
        <f t="shared" si="135"/>
        <v>3578.7685099999999</v>
      </c>
      <c r="O1261" s="361"/>
      <c r="P1261" s="361"/>
      <c r="Q1261" s="361" t="s">
        <v>698</v>
      </c>
      <c r="R1261" s="362">
        <f>IF(Q1261="ekrk",INDEX(indexy_SDcast!$A:$C,MATCH($M1261,indexy_SDcast!$A:$A,0),2),"")</f>
        <v>9</v>
      </c>
      <c r="S1261" s="236"/>
      <c r="T1261" s="364">
        <f>M1261</f>
        <v>292006</v>
      </c>
      <c r="U1261" s="365">
        <f>N1261</f>
        <v>3578.7685099999999</v>
      </c>
      <c r="V1261" s="365">
        <f>IF($Q1261="ekrk",IF($R1261="data",IFERROR(INDEX(data!$A:$ALL,MATCH($M1261,data!$A:$A,0),MATCH(V$2,data!$1:$1,0)),"#data"),IFERROR(U1261*INDEX(indexy_SDcast!$A:$ALI,MATCH($R1261,indexy_SDcast!$K:$K,0),MATCH(V$2,indexy_SDcast!$2:$2,0)),"#ekrk")),"#popis")</f>
        <v>3578.7685099999999</v>
      </c>
      <c r="W1261" s="365">
        <f>IF($Q1261="ekrk",IF($R1261="data",IFERROR(INDEX(data!$A:$ALL,MATCH($M1261,data!$A:$A,0),MATCH(W$2,data!$1:$1,0)),"#data"),IFERROR(V1261*INDEX(indexy_SDcast!$A:$ALI,MATCH($R1261,indexy_SDcast!$K:$K,0),MATCH(W$2,indexy_SDcast!$2:$2,0)),"#ekrk")),"#popis")</f>
        <v>3578.7685099999999</v>
      </c>
      <c r="X1261" s="365">
        <f>IF($Q1261="ekrk",IF($R1261="data",IFERROR(INDEX(data!$A:$ALL,MATCH($M1261,data!$A:$A,0),MATCH(X$2,data!$1:$1,0)),"#data"),IFERROR(W1261*INDEX(indexy_SDcast!$A:$ALI,MATCH($R1261,indexy_SDcast!$K:$K,0),MATCH(X$2,indexy_SDcast!$2:$2,0)),"#ekrk")),"#popis")</f>
        <v>3578.7685099999999</v>
      </c>
      <c r="Y1261" s="362">
        <f>IF($Q1261="ekrk",IF($R1261="data",IFERROR(INDEX(data!$A:$ALL,MATCH($M1261,data!$A:$A,0),MATCH(Y$2,data!$1:$1,0)),"#data"),IFERROR(X1261*INDEX(indexy_SDcast!$A:$ALI,MATCH($R1261,indexy_SDcast!$K:$K,0),MATCH(Y$2,indexy_SDcast!$2:$2,0)),"#ekrk")),"#popis")</f>
        <v>3578.7685099999999</v>
      </c>
    </row>
    <row r="1262" spans="1:44" x14ac:dyDescent="0.25">
      <c r="A1262" s="330" t="s">
        <v>699</v>
      </c>
      <c r="B1262" s="329">
        <v>10</v>
      </c>
      <c r="C1262" s="157"/>
      <c r="D1262" s="348">
        <v>292006</v>
      </c>
      <c r="E1262" s="329">
        <v>10</v>
      </c>
      <c r="F1262" s="157"/>
      <c r="G1262" s="330"/>
      <c r="H1262" s="329"/>
      <c r="I1262" s="157"/>
      <c r="J1262" s="330"/>
      <c r="K1262" s="329"/>
      <c r="L1262" s="157"/>
      <c r="M1262" s="360"/>
      <c r="N1262" s="237"/>
      <c r="O1262" s="361"/>
      <c r="P1262" s="361"/>
      <c r="Q1262" s="361"/>
      <c r="R1262" s="362"/>
      <c r="S1262" s="236"/>
      <c r="T1262" s="364"/>
      <c r="U1262" s="365"/>
      <c r="V1262" s="365"/>
      <c r="W1262" s="365"/>
      <c r="X1262" s="365"/>
      <c r="Y1262" s="362"/>
    </row>
    <row r="1263" spans="1:44" s="18" customFormat="1" x14ac:dyDescent="0.25">
      <c r="A1263" s="333" t="s">
        <v>733</v>
      </c>
      <c r="B1263" s="334">
        <v>-283062</v>
      </c>
      <c r="C1263" s="164"/>
      <c r="D1263" s="333" t="s">
        <v>733</v>
      </c>
      <c r="E1263" s="334">
        <v>-283062</v>
      </c>
      <c r="F1263" s="164"/>
      <c r="G1263" s="333" t="s">
        <v>733</v>
      </c>
      <c r="H1263" s="334">
        <v>-283062</v>
      </c>
      <c r="I1263" s="164"/>
      <c r="J1263" s="333" t="s">
        <v>733</v>
      </c>
      <c r="K1263" s="334">
        <v>-283062</v>
      </c>
      <c r="L1263" s="164"/>
      <c r="M1263" s="358" t="str">
        <f>J1263</f>
        <v>D73PAY</v>
      </c>
      <c r="N1263" s="239">
        <f>K1263</f>
        <v>-283062</v>
      </c>
      <c r="O1263" s="243"/>
      <c r="P1263" s="243">
        <f>MATCH(Q1263,Q1264:Q$1550,0)</f>
        <v>3</v>
      </c>
      <c r="Q1263" s="243" t="s">
        <v>697</v>
      </c>
      <c r="R1263" s="359" t="str">
        <f>IF(Q1263="ekrk",INDEX(indexy_SDcast!$A:$C,MATCH($M1263,indexy_SDcast!$A:$A,0),2),"")</f>
        <v/>
      </c>
      <c r="S1263" s="240"/>
      <c r="T1263" s="363" t="str">
        <f>M1263</f>
        <v>D73PAY</v>
      </c>
      <c r="U1263" s="244">
        <f>SUM(U1264:U1265)</f>
        <v>-283062</v>
      </c>
      <c r="V1263" s="244">
        <f t="shared" ref="V1263:Y1263" si="137">SUM(V1264:V1265)</f>
        <v>-272534.85735407344</v>
      </c>
      <c r="W1263" s="244">
        <f t="shared" si="137"/>
        <v>-281745.41864612256</v>
      </c>
      <c r="X1263" s="244">
        <f t="shared" si="137"/>
        <v>-291106.66974670591</v>
      </c>
      <c r="Y1263" s="359">
        <f t="shared" si="137"/>
        <v>-301023.53229908587</v>
      </c>
      <c r="Z1263" s="58"/>
      <c r="AA1263" s="58"/>
      <c r="AB1263" s="58"/>
      <c r="AC1263" s="58"/>
      <c r="AD1263" s="58"/>
      <c r="AE1263" s="58"/>
      <c r="AF1263" s="58"/>
      <c r="AG1263" s="58"/>
      <c r="AH1263" s="58"/>
      <c r="AI1263" s="58"/>
      <c r="AJ1263" s="58"/>
      <c r="AK1263" s="58"/>
      <c r="AL1263" s="58"/>
      <c r="AM1263" s="58"/>
      <c r="AN1263" s="58"/>
      <c r="AO1263" s="58"/>
      <c r="AP1263" s="58"/>
      <c r="AQ1263" s="58"/>
      <c r="AR1263" s="58"/>
    </row>
    <row r="1264" spans="1:44" x14ac:dyDescent="0.25">
      <c r="A1264" s="330">
        <v>647005</v>
      </c>
      <c r="B1264" s="329">
        <v>-283062</v>
      </c>
      <c r="C1264" s="157"/>
      <c r="D1264" s="330">
        <v>647005</v>
      </c>
      <c r="E1264" s="329">
        <v>-283062</v>
      </c>
      <c r="F1264" s="157"/>
      <c r="G1264" s="330">
        <v>647005</v>
      </c>
      <c r="H1264" s="356">
        <f>E1264-H1265</f>
        <v>-169535</v>
      </c>
      <c r="I1264" s="157"/>
      <c r="J1264" s="330">
        <v>647005</v>
      </c>
      <c r="K1264" s="329">
        <f>H1264</f>
        <v>-169535</v>
      </c>
      <c r="L1264" s="157"/>
      <c r="M1264" s="360">
        <f>J1264</f>
        <v>647005</v>
      </c>
      <c r="N1264" s="237">
        <f>K1264</f>
        <v>-169535</v>
      </c>
      <c r="O1264" s="361"/>
      <c r="P1264" s="361"/>
      <c r="Q1264" s="361" t="s">
        <v>698</v>
      </c>
      <c r="R1264" s="362">
        <v>29</v>
      </c>
      <c r="S1264" s="236"/>
      <c r="T1264" s="364">
        <f>M1264</f>
        <v>647005</v>
      </c>
      <c r="U1264" s="365">
        <f>N1264</f>
        <v>-169535</v>
      </c>
      <c r="V1264" s="365">
        <f>IF($Q1264="ekrk",IF($R1264="data",IFERROR(INDEX(data!$A:$ALL,MATCH($M1264,data!$A:$A,0),MATCH(V$2,data!$1:$1,0)),"#data"),IFERROR(U1264*INDEX(indexy_SDcast!$A:$ALI,MATCH($R1264,indexy_SDcast!$K:$K,0),MATCH(V$2,indexy_SDcast!$2:$2,0)),"#ekrk")),"#popis")</f>
        <v>-173358.81593539825</v>
      </c>
      <c r="W1264" s="365">
        <f>IF($Q1264="ekrk",IF($R1264="data",IFERROR(INDEX(data!$A:$ALL,MATCH($M1264,data!$A:$A,0),MATCH(W$2,data!$1:$1,0)),"#data"),IFERROR(V1264*INDEX(indexy_SDcast!$A:$ALI,MATCH($R1264,indexy_SDcast!$K:$K,0),MATCH(W$2,indexy_SDcast!$2:$2,0)),"#ekrk")),"#popis")</f>
        <v>-178925.16476449047</v>
      </c>
      <c r="X1264" s="365">
        <f>IF($Q1264="ekrk",IF($R1264="data",IFERROR(INDEX(data!$A:$ALL,MATCH($M1264,data!$A:$A,0),MATCH(X$2,data!$1:$1,0)),"#data"),IFERROR(W1264*INDEX(indexy_SDcast!$A:$ALI,MATCH($R1264,indexy_SDcast!$K:$K,0),MATCH(X$2,indexy_SDcast!$2:$2,0)),"#ekrk")),"#popis")</f>
        <v>-185498.44759617042</v>
      </c>
      <c r="Y1264" s="362">
        <f>IF($Q1264="ekrk",IF($R1264="data",IFERROR(INDEX(data!$A:$ALL,MATCH($M1264,data!$A:$A,0),MATCH(Y$2,data!$1:$1,0)),"#data"),IFERROR(X1264*INDEX(indexy_SDcast!$A:$ALI,MATCH($R1264,indexy_SDcast!$K:$K,0),MATCH(Y$2,indexy_SDcast!$2:$2,0)),"#ekrk")),"#popis")</f>
        <v>-192794.48991190971</v>
      </c>
    </row>
    <row r="1265" spans="1:44" s="40" customFormat="1" x14ac:dyDescent="0.25">
      <c r="A1265" s="330"/>
      <c r="B1265" s="329"/>
      <c r="C1265" s="157"/>
      <c r="D1265" s="330"/>
      <c r="E1265" s="329"/>
      <c r="F1265" s="157"/>
      <c r="G1265" s="355">
        <v>642008</v>
      </c>
      <c r="H1265" s="356">
        <v>-113527</v>
      </c>
      <c r="I1265" s="160"/>
      <c r="J1265" s="330">
        <v>642008</v>
      </c>
      <c r="K1265" s="329">
        <f>H1265</f>
        <v>-113527</v>
      </c>
      <c r="L1265" s="157"/>
      <c r="M1265" s="360">
        <v>642008</v>
      </c>
      <c r="N1265" s="237">
        <f t="shared" ref="N1265:N1293" si="138">K1265</f>
        <v>-113527</v>
      </c>
      <c r="O1265" s="361"/>
      <c r="P1265" s="361"/>
      <c r="Q1265" s="361" t="s">
        <v>698</v>
      </c>
      <c r="R1265" s="362" t="s">
        <v>662</v>
      </c>
      <c r="S1265" s="236"/>
      <c r="T1265" s="364">
        <v>642008</v>
      </c>
      <c r="U1265" s="365">
        <f>N1265</f>
        <v>-113527</v>
      </c>
      <c r="V1265" s="365">
        <f>IF($Q1265="ekrk",IF($R1265="data",IFERROR(INDEX(data!$A:$ALL,MATCH($M1265,data!$A:$A,0),MATCH(V$2,data!$1:$1,0)),"#data"),IFERROR(U1265*INDEX(indexy_SDcast!$A:$ALI,MATCH($R1265,indexy_SDcast!$K:$K,0),MATCH(V$2,indexy_SDcast!$2:$2,0)),"#ekrk")),"#popis")</f>
        <v>-99176.041418675159</v>
      </c>
      <c r="W1265" s="365">
        <f>IF($Q1265="ekrk",IF($R1265="data",IFERROR(INDEX(data!$A:$ALL,MATCH($M1265,data!$A:$A,0),MATCH(W$2,data!$1:$1,0)),"#data"),IFERROR(V1265*INDEX(indexy_SDcast!$A:$ALI,MATCH($R1265,indexy_SDcast!$K:$K,0),MATCH(W$2,indexy_SDcast!$2:$2,0)),"#ekrk")),"#popis")</f>
        <v>-102820.25388163206</v>
      </c>
      <c r="X1265" s="365">
        <f>IF($Q1265="ekrk",IF($R1265="data",IFERROR(INDEX(data!$A:$ALL,MATCH($M1265,data!$A:$A,0),MATCH(X$2,data!$1:$1,0)),"#data"),IFERROR(W1265*INDEX(indexy_SDcast!$A:$ALI,MATCH($R1265,indexy_SDcast!$K:$K,0),MATCH(X$2,indexy_SDcast!$2:$2,0)),"#ekrk")),"#popis")</f>
        <v>-105608.2221505355</v>
      </c>
      <c r="Y1265" s="362">
        <f>IF($Q1265="ekrk",IF($R1265="data",IFERROR(INDEX(data!$A:$ALL,MATCH($M1265,data!$A:$A,0),MATCH(Y$2,data!$1:$1,0)),"#data"),IFERROR(X1265*INDEX(indexy_SDcast!$A:$ALI,MATCH($R1265,indexy_SDcast!$K:$K,0),MATCH(Y$2,indexy_SDcast!$2:$2,0)),"#ekrk")),"#popis")</f>
        <v>-108229.04238717613</v>
      </c>
      <c r="Z1265" s="34"/>
      <c r="AA1265" s="34"/>
      <c r="AB1265" s="34"/>
      <c r="AC1265" s="34"/>
      <c r="AD1265" s="34"/>
      <c r="AE1265" s="34"/>
      <c r="AF1265" s="34"/>
      <c r="AG1265" s="34"/>
      <c r="AH1265" s="34"/>
      <c r="AI1265" s="34"/>
      <c r="AJ1265" s="34"/>
      <c r="AK1265" s="34"/>
      <c r="AL1265" s="34"/>
      <c r="AM1265" s="34"/>
      <c r="AN1265" s="34"/>
      <c r="AO1265" s="34"/>
      <c r="AP1265" s="34"/>
      <c r="AQ1265" s="34"/>
      <c r="AR1265" s="34"/>
    </row>
    <row r="1266" spans="1:44" s="18" customFormat="1" x14ac:dyDescent="0.25">
      <c r="A1266" s="333" t="s">
        <v>734</v>
      </c>
      <c r="B1266" s="334">
        <v>-61568.85086000002</v>
      </c>
      <c r="C1266" s="164"/>
      <c r="D1266" s="333" t="s">
        <v>734</v>
      </c>
      <c r="E1266" s="334">
        <v>-61568.85086000002</v>
      </c>
      <c r="F1266" s="164"/>
      <c r="G1266" s="333" t="s">
        <v>734</v>
      </c>
      <c r="H1266" s="334">
        <v>-61568.85086000002</v>
      </c>
      <c r="I1266" s="164"/>
      <c r="J1266" s="333" t="s">
        <v>734</v>
      </c>
      <c r="K1266" s="334">
        <v>-61568.85086000002</v>
      </c>
      <c r="L1266" s="164"/>
      <c r="M1266" s="358" t="str">
        <f t="shared" ref="M1266:M1293" si="139">J1266</f>
        <v>D74PAY</v>
      </c>
      <c r="N1266" s="239">
        <f t="shared" si="138"/>
        <v>-61568.85086000002</v>
      </c>
      <c r="O1266" s="243"/>
      <c r="P1266" s="243">
        <f>MATCH(Q1266,Q1267:Q$1550,0)</f>
        <v>4</v>
      </c>
      <c r="Q1266" s="243" t="s">
        <v>697</v>
      </c>
      <c r="R1266" s="359" t="str">
        <f>IF(Q1266="ekrk",INDEX(indexy_SDcast!$A:$C,MATCH($M1266,indexy_SDcast!$A:$A,0),2),"")</f>
        <v/>
      </c>
      <c r="S1266" s="240"/>
      <c r="T1266" s="363" t="str">
        <f t="shared" ref="T1266:T1293" si="140">M1266</f>
        <v>D74PAY</v>
      </c>
      <c r="U1266" s="244">
        <f>SUM(U1267:U1269)</f>
        <v>-61568.85086000002</v>
      </c>
      <c r="V1266" s="244">
        <f>SUM(V1267:V1269)</f>
        <v>-62033.541423383496</v>
      </c>
      <c r="W1266" s="244">
        <f>SUM(W1267:W1269)</f>
        <v>-63320.714479960312</v>
      </c>
      <c r="X1266" s="244">
        <f>SUM(X1267:X1269)</f>
        <v>-64761.109480160907</v>
      </c>
      <c r="Y1266" s="359">
        <f>SUM(Y1267:Y1269)</f>
        <v>-66286.450690327038</v>
      </c>
      <c r="Z1266" s="58"/>
      <c r="AA1266" s="58"/>
      <c r="AB1266" s="58"/>
      <c r="AC1266" s="58"/>
      <c r="AD1266" s="58"/>
      <c r="AE1266" s="58"/>
      <c r="AF1266" s="58"/>
      <c r="AG1266" s="58"/>
      <c r="AH1266" s="58"/>
      <c r="AI1266" s="58"/>
      <c r="AJ1266" s="58"/>
      <c r="AK1266" s="58"/>
      <c r="AL1266" s="58"/>
      <c r="AM1266" s="58"/>
      <c r="AN1266" s="58"/>
      <c r="AO1266" s="58"/>
      <c r="AP1266" s="58"/>
      <c r="AQ1266" s="58"/>
      <c r="AR1266" s="58"/>
    </row>
    <row r="1267" spans="1:44" x14ac:dyDescent="0.25">
      <c r="A1267" s="330">
        <v>649000</v>
      </c>
      <c r="B1267" s="329">
        <v>0</v>
      </c>
      <c r="C1267" s="157"/>
      <c r="D1267" s="330">
        <v>649000</v>
      </c>
      <c r="E1267" s="329">
        <v>0</v>
      </c>
      <c r="F1267" s="157"/>
      <c r="G1267" s="330">
        <v>649000</v>
      </c>
      <c r="H1267" s="329">
        <v>0</v>
      </c>
      <c r="I1267" s="157"/>
      <c r="J1267" s="330">
        <v>649000</v>
      </c>
      <c r="K1267" s="329">
        <v>0</v>
      </c>
      <c r="L1267" s="157"/>
      <c r="M1267" s="360">
        <f t="shared" si="139"/>
        <v>649000</v>
      </c>
      <c r="N1267" s="237">
        <f t="shared" si="138"/>
        <v>0</v>
      </c>
      <c r="O1267" s="361"/>
      <c r="P1267" s="361"/>
      <c r="Q1267" s="361" t="s">
        <v>698</v>
      </c>
      <c r="R1267" s="362">
        <f>IF(Q1267="ekrk",INDEX(indexy_SDcast!$A:$C,MATCH($M1267,indexy_SDcast!$A:$A,0),2),"")</f>
        <v>25</v>
      </c>
      <c r="S1267" s="236"/>
      <c r="T1267" s="364">
        <f t="shared" si="140"/>
        <v>649000</v>
      </c>
      <c r="U1267" s="365">
        <f>N1267</f>
        <v>0</v>
      </c>
      <c r="V1267" s="365">
        <f>IF($Q1267="ekrk",IF($R1267="data",IFERROR(INDEX(data!$A:$ALL,MATCH($M1267,data!$A:$A,0),MATCH(V$2,data!$1:$1,0)),"#data"),IFERROR(U1267*INDEX(indexy_SDcast!$A:$ALI,MATCH($R1267,indexy_SDcast!$K:$K,0),MATCH(V$2,indexy_SDcast!$2:$2,0)),"#ekrk")),"#popis")</f>
        <v>0</v>
      </c>
      <c r="W1267" s="365">
        <f>IF($Q1267="ekrk",IF($R1267="data",IFERROR(INDEX(data!$A:$ALL,MATCH($M1267,data!$A:$A,0),MATCH(W$2,data!$1:$1,0)),"#data"),IFERROR(V1267*INDEX(indexy_SDcast!$A:$ALI,MATCH($R1267,indexy_SDcast!$K:$K,0),MATCH(W$2,indexy_SDcast!$2:$2,0)),"#ekrk")),"#popis")</f>
        <v>0</v>
      </c>
      <c r="X1267" s="365">
        <f>IF($Q1267="ekrk",IF($R1267="data",IFERROR(INDEX(data!$A:$ALL,MATCH($M1267,data!$A:$A,0),MATCH(X$2,data!$1:$1,0)),"#data"),IFERROR(W1267*INDEX(indexy_SDcast!$A:$ALI,MATCH($R1267,indexy_SDcast!$K:$K,0),MATCH(X$2,indexy_SDcast!$2:$2,0)),"#ekrk")),"#popis")</f>
        <v>0</v>
      </c>
      <c r="Y1267" s="362">
        <f>IF($Q1267="ekrk",IF($R1267="data",IFERROR(INDEX(data!$A:$ALL,MATCH($M1267,data!$A:$A,0),MATCH(Y$2,data!$1:$1,0)),"#data"),IFERROR(X1267*INDEX(indexy_SDcast!$A:$ALI,MATCH($R1267,indexy_SDcast!$K:$K,0),MATCH(Y$2,indexy_SDcast!$2:$2,0)),"#ekrk")),"#popis")</f>
        <v>0</v>
      </c>
    </row>
    <row r="1268" spans="1:44" x14ac:dyDescent="0.25">
      <c r="A1268" s="330">
        <v>649001</v>
      </c>
      <c r="B1268" s="329">
        <v>-3471.7539200000006</v>
      </c>
      <c r="C1268" s="157"/>
      <c r="D1268" s="330">
        <v>649001</v>
      </c>
      <c r="E1268" s="329">
        <v>-3471.7539200000006</v>
      </c>
      <c r="F1268" s="157"/>
      <c r="G1268" s="330">
        <v>649001</v>
      </c>
      <c r="H1268" s="329">
        <v>-3471.7539200000006</v>
      </c>
      <c r="I1268" s="157"/>
      <c r="J1268" s="330">
        <v>649001</v>
      </c>
      <c r="K1268" s="329">
        <v>-3471.7539200000006</v>
      </c>
      <c r="L1268" s="157"/>
      <c r="M1268" s="360">
        <f t="shared" si="139"/>
        <v>649001</v>
      </c>
      <c r="N1268" s="237">
        <f t="shared" si="138"/>
        <v>-3471.7539200000006</v>
      </c>
      <c r="O1268" s="361"/>
      <c r="P1268" s="361"/>
      <c r="Q1268" s="361" t="s">
        <v>698</v>
      </c>
      <c r="R1268" s="362">
        <f>IF(Q1268="ekrk",INDEX(indexy_SDcast!$A:$C,MATCH($M1268,indexy_SDcast!$A:$A,0),2),"")</f>
        <v>25</v>
      </c>
      <c r="S1268" s="236"/>
      <c r="T1268" s="364">
        <f t="shared" si="140"/>
        <v>649001</v>
      </c>
      <c r="U1268" s="365">
        <f>N1268</f>
        <v>-3471.7539200000006</v>
      </c>
      <c r="V1268" s="365">
        <f>IF($Q1268="ekrk",IF($R1268="data",IFERROR(INDEX(data!$A:$ALL,MATCH($M1268,data!$A:$A,0),MATCH(V$2,data!$1:$1,0)),"#data"),IFERROR(U1268*INDEX(indexy_SDcast!$A:$ALI,MATCH($R1268,indexy_SDcast!$K:$K,0),MATCH(V$2,indexy_SDcast!$2:$2,0)),"#ekrk")),"#popis")</f>
        <v>-3497.9569636248043</v>
      </c>
      <c r="W1268" s="365">
        <f>IF($Q1268="ekrk",IF($R1268="data",IFERROR(INDEX(data!$A:$ALL,MATCH($M1268,data!$A:$A,0),MATCH(W$2,data!$1:$1,0)),"#data"),IFERROR(V1268*INDEX(indexy_SDcast!$A:$ALI,MATCH($R1268,indexy_SDcast!$K:$K,0),MATCH(W$2,indexy_SDcast!$2:$2,0)),"#ekrk")),"#popis")</f>
        <v>-3570.538277754742</v>
      </c>
      <c r="X1268" s="365">
        <f>IF($Q1268="ekrk",IF($R1268="data",IFERROR(INDEX(data!$A:$ALL,MATCH($M1268,data!$A:$A,0),MATCH(X$2,data!$1:$1,0)),"#data"),IFERROR(W1268*INDEX(indexy_SDcast!$A:$ALI,MATCH($R1268,indexy_SDcast!$K:$K,0),MATCH(X$2,indexy_SDcast!$2:$2,0)),"#ekrk")),"#popis")</f>
        <v>-3651.7594946273093</v>
      </c>
      <c r="Y1268" s="362">
        <f>IF($Q1268="ekrk",IF($R1268="data",IFERROR(INDEX(data!$A:$ALL,MATCH($M1268,data!$A:$A,0),MATCH(Y$2,data!$1:$1,0)),"#data"),IFERROR(X1268*INDEX(indexy_SDcast!$A:$ALI,MATCH($R1268,indexy_SDcast!$K:$K,0),MATCH(Y$2,indexy_SDcast!$2:$2,0)),"#ekrk")),"#popis")</f>
        <v>-3737.7706715741297</v>
      </c>
    </row>
    <row r="1269" spans="1:44" x14ac:dyDescent="0.25">
      <c r="A1269" s="330">
        <v>649003</v>
      </c>
      <c r="B1269" s="329">
        <v>-58097.096940000018</v>
      </c>
      <c r="C1269" s="157"/>
      <c r="D1269" s="330">
        <v>649003</v>
      </c>
      <c r="E1269" s="329">
        <v>-58097.096940000018</v>
      </c>
      <c r="F1269" s="157"/>
      <c r="G1269" s="330">
        <v>649003</v>
      </c>
      <c r="H1269" s="329">
        <v>-58097.096940000018</v>
      </c>
      <c r="I1269" s="157"/>
      <c r="J1269" s="330">
        <v>649003</v>
      </c>
      <c r="K1269" s="329">
        <v>-58097.096940000018</v>
      </c>
      <c r="L1269" s="157"/>
      <c r="M1269" s="360">
        <f t="shared" si="139"/>
        <v>649003</v>
      </c>
      <c r="N1269" s="237">
        <f t="shared" si="138"/>
        <v>-58097.096940000018</v>
      </c>
      <c r="O1269" s="361"/>
      <c r="P1269" s="361"/>
      <c r="Q1269" s="361" t="s">
        <v>698</v>
      </c>
      <c r="R1269" s="362">
        <f>IF(Q1269="ekrk",INDEX(indexy_SDcast!$A:$C,MATCH($M1269,indexy_SDcast!$A:$A,0),2),"")</f>
        <v>25</v>
      </c>
      <c r="S1269" s="236"/>
      <c r="T1269" s="364">
        <f t="shared" si="140"/>
        <v>649003</v>
      </c>
      <c r="U1269" s="365">
        <f>N1269</f>
        <v>-58097.096940000018</v>
      </c>
      <c r="V1269" s="365">
        <f>IF($Q1269="ekrk",IF($R1269="data",IFERROR(INDEX(data!$A:$ALL,MATCH($M1269,data!$A:$A,0),MATCH(V$2,data!$1:$1,0)),"#data"),IFERROR(U1269*INDEX(indexy_SDcast!$A:$ALI,MATCH($R1269,indexy_SDcast!$K:$K,0),MATCH(V$2,indexy_SDcast!$2:$2,0)),"#ekrk")),"#popis")</f>
        <v>-58535.584459758691</v>
      </c>
      <c r="W1269" s="365">
        <f>IF($Q1269="ekrk",IF($R1269="data",IFERROR(INDEX(data!$A:$ALL,MATCH($M1269,data!$A:$A,0),MATCH(W$2,data!$1:$1,0)),"#data"),IFERROR(V1269*INDEX(indexy_SDcast!$A:$ALI,MATCH($R1269,indexy_SDcast!$K:$K,0),MATCH(W$2,indexy_SDcast!$2:$2,0)),"#ekrk")),"#popis")</f>
        <v>-59750.17620220557</v>
      </c>
      <c r="X1269" s="365">
        <f>IF($Q1269="ekrk",IF($R1269="data",IFERROR(INDEX(data!$A:$ALL,MATCH($M1269,data!$A:$A,0),MATCH(X$2,data!$1:$1,0)),"#data"),IFERROR(W1269*INDEX(indexy_SDcast!$A:$ALI,MATCH($R1269,indexy_SDcast!$K:$K,0),MATCH(X$2,indexy_SDcast!$2:$2,0)),"#ekrk")),"#popis")</f>
        <v>-61109.349985533598</v>
      </c>
      <c r="Y1269" s="362">
        <f>IF($Q1269="ekrk",IF($R1269="data",IFERROR(INDEX(data!$A:$ALL,MATCH($M1269,data!$A:$A,0),MATCH(Y$2,data!$1:$1,0)),"#data"),IFERROR(X1269*INDEX(indexy_SDcast!$A:$ALI,MATCH($R1269,indexy_SDcast!$K:$K,0),MATCH(Y$2,indexy_SDcast!$2:$2,0)),"#ekrk")),"#popis")</f>
        <v>-62548.680018752915</v>
      </c>
    </row>
    <row r="1270" spans="1:44" s="18" customFormat="1" x14ac:dyDescent="0.25">
      <c r="A1270" s="333" t="s">
        <v>735</v>
      </c>
      <c r="B1270" s="334">
        <v>38223.059760000018</v>
      </c>
      <c r="C1270" s="164"/>
      <c r="D1270" s="333" t="s">
        <v>735</v>
      </c>
      <c r="E1270" s="334">
        <v>38223.059760000018</v>
      </c>
      <c r="F1270" s="164"/>
      <c r="G1270" s="333" t="s">
        <v>735</v>
      </c>
      <c r="H1270" s="334">
        <v>38223.059760000018</v>
      </c>
      <c r="I1270" s="164"/>
      <c r="J1270" s="333" t="s">
        <v>735</v>
      </c>
      <c r="K1270" s="334">
        <v>38223.059760000018</v>
      </c>
      <c r="L1270" s="164"/>
      <c r="M1270" s="358" t="str">
        <f t="shared" si="139"/>
        <v>D74REC</v>
      </c>
      <c r="N1270" s="239">
        <f t="shared" si="138"/>
        <v>38223.059760000018</v>
      </c>
      <c r="O1270" s="243"/>
      <c r="P1270" s="243">
        <f>MATCH(Q1270,Q1271:Q$1550,0)</f>
        <v>5</v>
      </c>
      <c r="Q1270" s="243" t="s">
        <v>697</v>
      </c>
      <c r="R1270" s="359" t="str">
        <f>IF(Q1270="ekrk",INDEX(indexy_SDcast!$A:$C,MATCH($M1270,indexy_SDcast!$A:$A,0),2),"")</f>
        <v/>
      </c>
      <c r="S1270" s="240"/>
      <c r="T1270" s="363" t="str">
        <f t="shared" si="140"/>
        <v>D74REC</v>
      </c>
      <c r="U1270" s="244">
        <f>SUM(U1271:U1274)</f>
        <v>38223.059760000018</v>
      </c>
      <c r="V1270" s="244">
        <f>SUM(V1271:V1274)</f>
        <v>35163.522771224125</v>
      </c>
      <c r="W1270" s="244">
        <f>SUM(W1271:W1274)</f>
        <v>36116.806729830409</v>
      </c>
      <c r="X1270" s="244">
        <f>SUM(X1271:X1274)</f>
        <v>37229.353290152052</v>
      </c>
      <c r="Y1270" s="359">
        <f>SUM(Y1271:Y1274)</f>
        <v>38451.439090984553</v>
      </c>
      <c r="Z1270" s="58"/>
      <c r="AA1270" s="58"/>
      <c r="AB1270" s="58"/>
      <c r="AC1270" s="58"/>
      <c r="AD1270" s="58"/>
      <c r="AE1270" s="58"/>
      <c r="AF1270" s="58"/>
      <c r="AG1270" s="58"/>
      <c r="AH1270" s="58"/>
      <c r="AI1270" s="58"/>
      <c r="AJ1270" s="58"/>
      <c r="AK1270" s="58"/>
      <c r="AL1270" s="58"/>
      <c r="AM1270" s="58"/>
      <c r="AN1270" s="58"/>
      <c r="AO1270" s="58"/>
      <c r="AP1270" s="58"/>
      <c r="AQ1270" s="58"/>
      <c r="AR1270" s="58"/>
    </row>
    <row r="1271" spans="1:44" x14ac:dyDescent="0.25">
      <c r="A1271" s="330">
        <v>291005</v>
      </c>
      <c r="B1271" s="329">
        <v>2136.0282900000002</v>
      </c>
      <c r="C1271" s="157"/>
      <c r="D1271" s="330">
        <v>291005</v>
      </c>
      <c r="E1271" s="329">
        <v>2136.0282900000002</v>
      </c>
      <c r="F1271" s="157"/>
      <c r="G1271" s="330">
        <v>291005</v>
      </c>
      <c r="H1271" s="329">
        <v>2136.0282900000002</v>
      </c>
      <c r="I1271" s="157"/>
      <c r="J1271" s="330">
        <v>291005</v>
      </c>
      <c r="K1271" s="329">
        <v>2136.0282900000002</v>
      </c>
      <c r="L1271" s="157"/>
      <c r="M1271" s="360">
        <f t="shared" si="139"/>
        <v>291005</v>
      </c>
      <c r="N1271" s="237">
        <f t="shared" si="138"/>
        <v>2136.0282900000002</v>
      </c>
      <c r="O1271" s="361"/>
      <c r="P1271" s="361"/>
      <c r="Q1271" s="361" t="s">
        <v>698</v>
      </c>
      <c r="R1271" s="362">
        <f>IF(Q1271="ekrk",INDEX(indexy_SDcast!$A:$C,MATCH($M1271,indexy_SDcast!$A:$A,0),2),"")</f>
        <v>9</v>
      </c>
      <c r="S1271" s="236"/>
      <c r="T1271" s="364">
        <f t="shared" si="140"/>
        <v>291005</v>
      </c>
      <c r="U1271" s="365">
        <f>N1271</f>
        <v>2136.0282900000002</v>
      </c>
      <c r="V1271" s="365">
        <f>IF($Q1271="ekrk",IF($R1271="data",IFERROR(INDEX(data!$A:$ALL,MATCH($M1271,data!$A:$A,0),MATCH(V$2,data!$1:$1,0)),"#data"),IFERROR(U1271*INDEX(indexy_SDcast!$A:$ALI,MATCH($R1271,indexy_SDcast!$K:$K,0),MATCH(V$2,indexy_SDcast!$2:$2,0)),"#ekrk")),"#popis")</f>
        <v>2136.0282900000002</v>
      </c>
      <c r="W1271" s="365">
        <f>IF($Q1271="ekrk",IF($R1271="data",IFERROR(INDEX(data!$A:$ALL,MATCH($M1271,data!$A:$A,0),MATCH(W$2,data!$1:$1,0)),"#data"),IFERROR(V1271*INDEX(indexy_SDcast!$A:$ALI,MATCH($R1271,indexy_SDcast!$K:$K,0),MATCH(W$2,indexy_SDcast!$2:$2,0)),"#ekrk")),"#popis")</f>
        <v>2136.0282900000002</v>
      </c>
      <c r="X1271" s="365">
        <f>IF($Q1271="ekrk",IF($R1271="data",IFERROR(INDEX(data!$A:$ALL,MATCH($M1271,data!$A:$A,0),MATCH(X$2,data!$1:$1,0)),"#data"),IFERROR(W1271*INDEX(indexy_SDcast!$A:$ALI,MATCH($R1271,indexy_SDcast!$K:$K,0),MATCH(X$2,indexy_SDcast!$2:$2,0)),"#ekrk")),"#popis")</f>
        <v>2136.0282900000002</v>
      </c>
      <c r="Y1271" s="362">
        <f>IF($Q1271="ekrk",IF($R1271="data",IFERROR(INDEX(data!$A:$ALL,MATCH($M1271,data!$A:$A,0),MATCH(Y$2,data!$1:$1,0)),"#data"),IFERROR(X1271*INDEX(indexy_SDcast!$A:$ALI,MATCH($R1271,indexy_SDcast!$K:$K,0),MATCH(Y$2,indexy_SDcast!$2:$2,0)),"#ekrk")),"#popis")</f>
        <v>2136.0282900000002</v>
      </c>
    </row>
    <row r="1272" spans="1:44" x14ac:dyDescent="0.25">
      <c r="A1272" s="330">
        <v>331001</v>
      </c>
      <c r="B1272" s="329">
        <v>6599.2311300000001</v>
      </c>
      <c r="C1272" s="157"/>
      <c r="D1272" s="330">
        <v>331001</v>
      </c>
      <c r="E1272" s="329">
        <v>6599.2311300000001</v>
      </c>
      <c r="F1272" s="157"/>
      <c r="G1272" s="330">
        <v>331001</v>
      </c>
      <c r="H1272" s="329">
        <v>6599.2311300000001</v>
      </c>
      <c r="I1272" s="157"/>
      <c r="J1272" s="330">
        <v>331001</v>
      </c>
      <c r="K1272" s="329">
        <v>6599.2311300000001</v>
      </c>
      <c r="L1272" s="157"/>
      <c r="M1272" s="360">
        <f t="shared" si="139"/>
        <v>331001</v>
      </c>
      <c r="N1272" s="237">
        <f t="shared" si="138"/>
        <v>6599.2311300000001</v>
      </c>
      <c r="O1272" s="361"/>
      <c r="P1272" s="361"/>
      <c r="Q1272" s="361" t="s">
        <v>698</v>
      </c>
      <c r="R1272" s="362">
        <f>IF(Q1272="ekrk",INDEX(indexy_SDcast!$A:$C,MATCH($M1272,indexy_SDcast!$A:$A,0),2),"")</f>
        <v>6</v>
      </c>
      <c r="S1272" s="236"/>
      <c r="T1272" s="364">
        <f t="shared" si="140"/>
        <v>331001</v>
      </c>
      <c r="U1272" s="365">
        <f>N1272</f>
        <v>6599.2311300000001</v>
      </c>
      <c r="V1272" s="365">
        <f>IF($Q1272="ekrk",IF($R1272="data",IFERROR(INDEX(data!$A:$ALL,MATCH($M1272,data!$A:$A,0),MATCH(V$2,data!$1:$1,0)),"#data"),IFERROR(U1272*INDEX(indexy_SDcast!$A:$ALI,MATCH($R1272,indexy_SDcast!$K:$K,0),MATCH(V$2,indexy_SDcast!$2:$2,0)),"#ekrk")),"#popis")</f>
        <v>6719.7789387423527</v>
      </c>
      <c r="W1272" s="365">
        <f>IF($Q1272="ekrk",IF($R1272="data",IFERROR(INDEX(data!$A:$ALL,MATCH($M1272,data!$A:$A,0),MATCH(W$2,data!$1:$1,0)),"#data"),IFERROR(V1272*INDEX(indexy_SDcast!$A:$ALI,MATCH($R1272,indexy_SDcast!$K:$K,0),MATCH(W$2,indexy_SDcast!$2:$2,0)),"#ekrk")),"#popis")</f>
        <v>6913.7342347253752</v>
      </c>
      <c r="X1272" s="365">
        <f>IF($Q1272="ekrk",IF($R1272="data",IFERROR(INDEX(data!$A:$ALL,MATCH($M1272,data!$A:$A,0),MATCH(X$2,data!$1:$1,0)),"#data"),IFERROR(W1272*INDEX(indexy_SDcast!$A:$ALI,MATCH($R1272,indexy_SDcast!$K:$K,0),MATCH(X$2,indexy_SDcast!$2:$2,0)),"#ekrk")),"#popis")</f>
        <v>7140.0931233377014</v>
      </c>
      <c r="Y1272" s="362">
        <f>IF($Q1272="ekrk",IF($R1272="data",IFERROR(INDEX(data!$A:$ALL,MATCH($M1272,data!$A:$A,0),MATCH(Y$2,data!$1:$1,0)),"#data"),IFERROR(X1272*INDEX(indexy_SDcast!$A:$ALI,MATCH($R1272,indexy_SDcast!$K:$K,0),MATCH(Y$2,indexy_SDcast!$2:$2,0)),"#ekrk")),"#popis")</f>
        <v>7388.7388821141922</v>
      </c>
    </row>
    <row r="1273" spans="1:44" x14ac:dyDescent="0.25">
      <c r="A1273" s="330">
        <v>331002</v>
      </c>
      <c r="B1273" s="329">
        <v>25835.774800000017</v>
      </c>
      <c r="C1273" s="157"/>
      <c r="D1273" s="330">
        <v>331002</v>
      </c>
      <c r="E1273" s="329">
        <v>25835.774800000017</v>
      </c>
      <c r="F1273" s="157"/>
      <c r="G1273" s="330">
        <v>331002</v>
      </c>
      <c r="H1273" s="329">
        <v>25835.774800000017</v>
      </c>
      <c r="I1273" s="157"/>
      <c r="J1273" s="330">
        <v>331002</v>
      </c>
      <c r="K1273" s="329">
        <v>25835.774800000017</v>
      </c>
      <c r="L1273" s="157"/>
      <c r="M1273" s="360">
        <f t="shared" si="139"/>
        <v>331002</v>
      </c>
      <c r="N1273" s="237">
        <f t="shared" si="138"/>
        <v>25835.774800000017</v>
      </c>
      <c r="O1273" s="361"/>
      <c r="P1273" s="361"/>
      <c r="Q1273" s="361" t="s">
        <v>698</v>
      </c>
      <c r="R1273" s="362">
        <f>IF(Q1273="ekrk",INDEX(indexy_SDcast!$A:$C,MATCH($M1273,indexy_SDcast!$A:$A,0),2),"")</f>
        <v>6</v>
      </c>
      <c r="S1273" s="236"/>
      <c r="T1273" s="364">
        <f t="shared" si="140"/>
        <v>331002</v>
      </c>
      <c r="U1273" s="365">
        <f>N1273</f>
        <v>25835.774800000017</v>
      </c>
      <c r="V1273" s="365">
        <f>IF($Q1273="ekrk",IF($R1273="data",IFERROR(INDEX(data!$A:$ALL,MATCH($M1273,data!$A:$A,0),MATCH(V$2,data!$1:$1,0)),"#data"),IFERROR(U1273*INDEX(indexy_SDcast!$A:$ALI,MATCH($R1273,indexy_SDcast!$K:$K,0),MATCH(V$2,indexy_SDcast!$2:$2,0)),"#ekrk")),"#popis")</f>
        <v>26307.715542481772</v>
      </c>
      <c r="W1273" s="365">
        <f>IF($Q1273="ekrk",IF($R1273="data",IFERROR(INDEX(data!$A:$ALL,MATCH($M1273,data!$A:$A,0),MATCH(W$2,data!$1:$1,0)),"#data"),IFERROR(V1273*INDEX(indexy_SDcast!$A:$ALI,MATCH($R1273,indexy_SDcast!$K:$K,0),MATCH(W$2,indexy_SDcast!$2:$2,0)),"#ekrk")),"#popis")</f>
        <v>27067.044205105038</v>
      </c>
      <c r="X1273" s="365">
        <f>IF($Q1273="ekrk",IF($R1273="data",IFERROR(INDEX(data!$A:$ALL,MATCH($M1273,data!$A:$A,0),MATCH(X$2,data!$1:$1,0)),"#data"),IFERROR(W1273*INDEX(indexy_SDcast!$A:$ALI,MATCH($R1273,indexy_SDcast!$K:$K,0),MATCH(X$2,indexy_SDcast!$2:$2,0)),"#ekrk")),"#popis")</f>
        <v>27953.231876814352</v>
      </c>
      <c r="Y1273" s="362">
        <f>IF($Q1273="ekrk",IF($R1273="data",IFERROR(INDEX(data!$A:$ALL,MATCH($M1273,data!$A:$A,0),MATCH(Y$2,data!$1:$1,0)),"#data"),IFERROR(X1273*INDEX(indexy_SDcast!$A:$ALI,MATCH($R1273,indexy_SDcast!$K:$K,0),MATCH(Y$2,indexy_SDcast!$2:$2,0)),"#ekrk")),"#popis")</f>
        <v>28926.671918870365</v>
      </c>
    </row>
    <row r="1274" spans="1:44" x14ac:dyDescent="0.25">
      <c r="A1274" s="330">
        <v>341000</v>
      </c>
      <c r="B1274" s="329">
        <v>3652.0255399999996</v>
      </c>
      <c r="C1274" s="157"/>
      <c r="D1274" s="330">
        <v>341000</v>
      </c>
      <c r="E1274" s="329">
        <v>3652.0255399999996</v>
      </c>
      <c r="F1274" s="157"/>
      <c r="G1274" s="330">
        <v>341000</v>
      </c>
      <c r="H1274" s="329">
        <v>3652.0255399999996</v>
      </c>
      <c r="I1274" s="157"/>
      <c r="J1274" s="330">
        <v>341000</v>
      </c>
      <c r="K1274" s="329">
        <v>3652.0255399999996</v>
      </c>
      <c r="L1274" s="157"/>
      <c r="M1274" s="360">
        <f t="shared" si="139"/>
        <v>341000</v>
      </c>
      <c r="N1274" s="237">
        <f t="shared" si="138"/>
        <v>3652.0255399999996</v>
      </c>
      <c r="O1274" s="361"/>
      <c r="P1274" s="361"/>
      <c r="Q1274" s="361" t="s">
        <v>698</v>
      </c>
      <c r="R1274" s="362">
        <v>2</v>
      </c>
      <c r="S1274" s="236"/>
      <c r="T1274" s="364">
        <f t="shared" si="140"/>
        <v>341000</v>
      </c>
      <c r="U1274" s="365">
        <f>N1274</f>
        <v>3652.0255399999996</v>
      </c>
      <c r="V1274" s="365">
        <f>IF($Q1274="ekrk",IF($R1274="data",IFERROR(INDEX(data!$A:$ALL,MATCH($M1274,data!$A:$A,0),MATCH(V$2,data!$1:$1,0)),"#data"),IFERROR(U1274*INDEX(indexy_SDcast!$A:$ALI,MATCH($R1274,indexy_SDcast!$K:$K,0),MATCH(V$2,indexy_SDcast!$2:$2,0)),"#ekrk")),"#popis")</f>
        <v>0</v>
      </c>
      <c r="W1274" s="365">
        <f>IF($Q1274="ekrk",IF($R1274="data",IFERROR(INDEX(data!$A:$ALL,MATCH($M1274,data!$A:$A,0),MATCH(W$2,data!$1:$1,0)),"#data"),IFERROR(V1274*INDEX(indexy_SDcast!$A:$ALI,MATCH($R1274,indexy_SDcast!$K:$K,0),MATCH(W$2,indexy_SDcast!$2:$2,0)),"#ekrk")),"#popis")</f>
        <v>0</v>
      </c>
      <c r="X1274" s="365">
        <f>IF($Q1274="ekrk",IF($R1274="data",IFERROR(INDEX(data!$A:$ALL,MATCH($M1274,data!$A:$A,0),MATCH(X$2,data!$1:$1,0)),"#data"),IFERROR(W1274*INDEX(indexy_SDcast!$A:$ALI,MATCH($R1274,indexy_SDcast!$K:$K,0),MATCH(X$2,indexy_SDcast!$2:$2,0)),"#ekrk")),"#popis")</f>
        <v>0</v>
      </c>
      <c r="Y1274" s="362">
        <f>IF($Q1274="ekrk",IF($R1274="data",IFERROR(INDEX(data!$A:$ALL,MATCH($M1274,data!$A:$A,0),MATCH(Y$2,data!$1:$1,0)),"#data"),IFERROR(X1274*INDEX(indexy_SDcast!$A:$ALI,MATCH($R1274,indexy_SDcast!$K:$K,0),MATCH(Y$2,indexy_SDcast!$2:$2,0)),"#ekrk")),"#popis")</f>
        <v>0</v>
      </c>
    </row>
    <row r="1275" spans="1:44" s="18" customFormat="1" x14ac:dyDescent="0.25">
      <c r="A1275" s="333" t="s">
        <v>736</v>
      </c>
      <c r="B1275" s="334">
        <v>-637417.38527558628</v>
      </c>
      <c r="C1275" s="164"/>
      <c r="D1275" s="333" t="s">
        <v>736</v>
      </c>
      <c r="E1275" s="334">
        <v>-637417.38527558628</v>
      </c>
      <c r="F1275" s="164"/>
      <c r="G1275" s="333" t="s">
        <v>736</v>
      </c>
      <c r="H1275" s="334">
        <v>-637417.38527558628</v>
      </c>
      <c r="I1275" s="164"/>
      <c r="J1275" s="333" t="s">
        <v>736</v>
      </c>
      <c r="K1275" s="334">
        <v>-637417.38527558628</v>
      </c>
      <c r="L1275" s="164"/>
      <c r="M1275" s="358" t="str">
        <f t="shared" si="139"/>
        <v>D75PAY</v>
      </c>
      <c r="N1275" s="239">
        <f t="shared" si="138"/>
        <v>-637417.38527558628</v>
      </c>
      <c r="O1275" s="243"/>
      <c r="P1275" s="243">
        <f>MATCH(Q1275,Q1276:Q$1550,0)</f>
        <v>21</v>
      </c>
      <c r="Q1275" s="243" t="s">
        <v>697</v>
      </c>
      <c r="R1275" s="359" t="str">
        <f>IF(Q1275="ekrk",INDEX(indexy_SDcast!$A:$C,MATCH($M1275,indexy_SDcast!$A:$A,0),2),"")</f>
        <v/>
      </c>
      <c r="S1275" s="240"/>
      <c r="T1275" s="363" t="str">
        <f t="shared" si="140"/>
        <v>D75PAY</v>
      </c>
      <c r="U1275" s="244">
        <f>SUM(U1276:U1295)</f>
        <v>-637417.38527558628</v>
      </c>
      <c r="V1275" s="244">
        <f>SUM(V1276:V1295)</f>
        <v>-651354.32061576936</v>
      </c>
      <c r="W1275" s="244">
        <f>SUM(W1276:W1295)</f>
        <v>-680221.37525916856</v>
      </c>
      <c r="X1275" s="244">
        <f>SUM(X1276:X1295)</f>
        <v>-732226.28419953049</v>
      </c>
      <c r="Y1275" s="359">
        <f>SUM(Y1276:Y1295)</f>
        <v>-754196.27454366535</v>
      </c>
      <c r="Z1275" s="58"/>
      <c r="AA1275" s="58"/>
      <c r="AB1275" s="58"/>
      <c r="AC1275" s="58"/>
      <c r="AD1275" s="58"/>
      <c r="AE1275" s="58"/>
      <c r="AF1275" s="58"/>
      <c r="AG1275" s="58"/>
      <c r="AH1275" s="58"/>
      <c r="AI1275" s="58"/>
      <c r="AJ1275" s="58"/>
      <c r="AK1275" s="58"/>
      <c r="AL1275" s="58"/>
      <c r="AM1275" s="58"/>
      <c r="AN1275" s="58"/>
      <c r="AO1275" s="58"/>
      <c r="AP1275" s="58"/>
      <c r="AQ1275" s="58"/>
      <c r="AR1275" s="58"/>
    </row>
    <row r="1276" spans="1:44" x14ac:dyDescent="0.25">
      <c r="A1276" s="330">
        <v>637000</v>
      </c>
      <c r="B1276" s="329">
        <v>31.144120000000001</v>
      </c>
      <c r="C1276" s="157"/>
      <c r="D1276" s="330">
        <v>637000</v>
      </c>
      <c r="E1276" s="329">
        <v>31.144120000000001</v>
      </c>
      <c r="F1276" s="157"/>
      <c r="G1276" s="330">
        <v>637000</v>
      </c>
      <c r="H1276" s="329">
        <v>31.144120000000001</v>
      </c>
      <c r="I1276" s="157"/>
      <c r="J1276" s="330">
        <v>637000</v>
      </c>
      <c r="K1276" s="329">
        <v>31.144120000000001</v>
      </c>
      <c r="L1276" s="157"/>
      <c r="M1276" s="360">
        <f t="shared" si="139"/>
        <v>637000</v>
      </c>
      <c r="N1276" s="237">
        <f t="shared" si="138"/>
        <v>31.144120000000001</v>
      </c>
      <c r="O1276" s="361"/>
      <c r="P1276" s="361"/>
      <c r="Q1276" s="361" t="s">
        <v>698</v>
      </c>
      <c r="R1276" s="362">
        <f>IF(Q1276="ekrk",INDEX(indexy_SDcast!$A:$C,MATCH($M1276,indexy_SDcast!$A:$A,0),2),"")</f>
        <v>25</v>
      </c>
      <c r="S1276" s="236"/>
      <c r="T1276" s="364">
        <f t="shared" si="140"/>
        <v>637000</v>
      </c>
      <c r="U1276" s="365">
        <f t="shared" ref="U1276:U1293" si="141">N1276</f>
        <v>31.144120000000001</v>
      </c>
      <c r="V1276" s="365">
        <f>IF($Q1276="ekrk",IF($R1276="data",IFERROR(INDEX(data!$A:$ALL,MATCH($M1276,data!$A:$A,0),MATCH(V$2,data!$1:$1,0)),"#data"),IFERROR(U1276*INDEX(indexy_SDcast!$A:$ALI,MATCH($R1276,indexy_SDcast!$K:$K,0),MATCH(V$2,indexy_SDcast!$2:$2,0)),"#ekrk")),"#popis")</f>
        <v>31.379180074481351</v>
      </c>
      <c r="W1276" s="365">
        <f>IF($Q1276="ekrk",IF($R1276="data",IFERROR(INDEX(data!$A:$ALL,MATCH($M1276,data!$A:$A,0),MATCH(W$2,data!$1:$1,0)),"#data"),IFERROR(V1276*INDEX(indexy_SDcast!$A:$ALI,MATCH($R1276,indexy_SDcast!$K:$K,0),MATCH(W$2,indexy_SDcast!$2:$2,0)),"#ekrk")),"#popis")</f>
        <v>32.030286463099031</v>
      </c>
      <c r="X1276" s="365">
        <f>IF($Q1276="ekrk",IF($R1276="data",IFERROR(INDEX(data!$A:$ALL,MATCH($M1276,data!$A:$A,0),MATCH(X$2,data!$1:$1,0)),"#data"),IFERROR(W1276*INDEX(indexy_SDcast!$A:$ALI,MATCH($R1276,indexy_SDcast!$K:$K,0),MATCH(X$2,indexy_SDcast!$2:$2,0)),"#ekrk")),"#popis")</f>
        <v>32.758898969375188</v>
      </c>
      <c r="Y1276" s="362">
        <f>IF($Q1276="ekrk",IF($R1276="data",IFERROR(INDEX(data!$A:$ALL,MATCH($M1276,data!$A:$A,0),MATCH(Y$2,data!$1:$1,0)),"#data"),IFERROR(X1276*INDEX(indexy_SDcast!$A:$ALI,MATCH($R1276,indexy_SDcast!$K:$K,0),MATCH(Y$2,indexy_SDcast!$2:$2,0)),"#ekrk")),"#popis")</f>
        <v>33.530480849283599</v>
      </c>
    </row>
    <row r="1277" spans="1:44" x14ac:dyDescent="0.25">
      <c r="A1277" s="330">
        <v>637031</v>
      </c>
      <c r="B1277" s="329">
        <v>-4175.0780500000001</v>
      </c>
      <c r="C1277" s="157"/>
      <c r="D1277" s="330">
        <v>637031</v>
      </c>
      <c r="E1277" s="329">
        <v>-4175.0780500000001</v>
      </c>
      <c r="F1277" s="157"/>
      <c r="G1277" s="330">
        <v>637031</v>
      </c>
      <c r="H1277" s="329">
        <v>-4175.0780500000001</v>
      </c>
      <c r="I1277" s="157"/>
      <c r="J1277" s="330">
        <v>637031</v>
      </c>
      <c r="K1277" s="329">
        <v>-4175.0780500000001</v>
      </c>
      <c r="L1277" s="157"/>
      <c r="M1277" s="360">
        <f t="shared" si="139"/>
        <v>637031</v>
      </c>
      <c r="N1277" s="237">
        <f t="shared" si="138"/>
        <v>-4175.0780500000001</v>
      </c>
      <c r="O1277" s="361"/>
      <c r="P1277" s="361"/>
      <c r="Q1277" s="361" t="s">
        <v>698</v>
      </c>
      <c r="R1277" s="362">
        <f>IF(Q1277="ekrk",INDEX(indexy_SDcast!$A:$C,MATCH($M1277,indexy_SDcast!$A:$A,0),2),"")</f>
        <v>9</v>
      </c>
      <c r="S1277" s="236"/>
      <c r="T1277" s="364">
        <f t="shared" si="140"/>
        <v>637031</v>
      </c>
      <c r="U1277" s="365">
        <f t="shared" si="141"/>
        <v>-4175.0780500000001</v>
      </c>
      <c r="V1277" s="365">
        <f>IF($Q1277="ekrk",IF($R1277="data",IFERROR(INDEX(data!$A:$ALL,MATCH($M1277,data!$A:$A,0),MATCH(V$2,data!$1:$1,0)),"#data"),IFERROR(U1277*INDEX(indexy_SDcast!$A:$ALI,MATCH($R1277,indexy_SDcast!$K:$K,0),MATCH(V$2,indexy_SDcast!$2:$2,0)),"#ekrk")),"#popis")</f>
        <v>-4175.0780500000001</v>
      </c>
      <c r="W1277" s="365">
        <f>IF($Q1277="ekrk",IF($R1277="data",IFERROR(INDEX(data!$A:$ALL,MATCH($M1277,data!$A:$A,0),MATCH(W$2,data!$1:$1,0)),"#data"),IFERROR(V1277*INDEX(indexy_SDcast!$A:$ALI,MATCH($R1277,indexy_SDcast!$K:$K,0),MATCH(W$2,indexy_SDcast!$2:$2,0)),"#ekrk")),"#popis")</f>
        <v>-4175.0780500000001</v>
      </c>
      <c r="X1277" s="365">
        <f>IF($Q1277="ekrk",IF($R1277="data",IFERROR(INDEX(data!$A:$ALL,MATCH($M1277,data!$A:$A,0),MATCH(X$2,data!$1:$1,0)),"#data"),IFERROR(W1277*INDEX(indexy_SDcast!$A:$ALI,MATCH($R1277,indexy_SDcast!$K:$K,0),MATCH(X$2,indexy_SDcast!$2:$2,0)),"#ekrk")),"#popis")</f>
        <v>-4175.0780500000001</v>
      </c>
      <c r="Y1277" s="362">
        <f>IF($Q1277="ekrk",IF($R1277="data",IFERROR(INDEX(data!$A:$ALL,MATCH($M1277,data!$A:$A,0),MATCH(Y$2,data!$1:$1,0)),"#data"),IFERROR(X1277*INDEX(indexy_SDcast!$A:$ALI,MATCH($R1277,indexy_SDcast!$K:$K,0),MATCH(Y$2,indexy_SDcast!$2:$2,0)),"#ekrk")),"#popis")</f>
        <v>-4175.0780500000001</v>
      </c>
    </row>
    <row r="1278" spans="1:44" x14ac:dyDescent="0.25">
      <c r="A1278" s="330">
        <v>637034</v>
      </c>
      <c r="B1278" s="329">
        <v>-6649.2685300000039</v>
      </c>
      <c r="C1278" s="157"/>
      <c r="D1278" s="330">
        <v>637034</v>
      </c>
      <c r="E1278" s="329">
        <v>-6649.2685300000039</v>
      </c>
      <c r="F1278" s="157"/>
      <c r="G1278" s="330">
        <v>637034</v>
      </c>
      <c r="H1278" s="329">
        <v>-6649.2685300000039</v>
      </c>
      <c r="I1278" s="157"/>
      <c r="J1278" s="330">
        <v>637034</v>
      </c>
      <c r="K1278" s="329">
        <v>-6649.2685300000039</v>
      </c>
      <c r="L1278" s="157"/>
      <c r="M1278" s="360">
        <f t="shared" si="139"/>
        <v>637034</v>
      </c>
      <c r="N1278" s="237">
        <f t="shared" si="138"/>
        <v>-6649.2685300000039</v>
      </c>
      <c r="O1278" s="361"/>
      <c r="P1278" s="361"/>
      <c r="Q1278" s="361" t="s">
        <v>698</v>
      </c>
      <c r="R1278" s="362">
        <v>2</v>
      </c>
      <c r="S1278" s="236"/>
      <c r="T1278" s="364">
        <f t="shared" si="140"/>
        <v>637034</v>
      </c>
      <c r="U1278" s="365">
        <f t="shared" si="141"/>
        <v>-6649.2685300000039</v>
      </c>
      <c r="V1278" s="365">
        <f>IF($Q1278="ekrk",IF($R1278="data",IFERROR(INDEX(data!$A:$ALL,MATCH($M1278,data!$A:$A,0),MATCH(V$2,data!$1:$1,0)),"#data"),IFERROR(U1278*INDEX(indexy_SDcast!$A:$ALI,MATCH($R1278,indexy_SDcast!$K:$K,0),MATCH(V$2,indexy_SDcast!$2:$2,0)),"#ekrk")),"#popis")</f>
        <v>0</v>
      </c>
      <c r="W1278" s="365">
        <f>IF($Q1278="ekrk",IF($R1278="data",IFERROR(INDEX(data!$A:$ALL,MATCH($M1278,data!$A:$A,0),MATCH(W$2,data!$1:$1,0)),"#data"),IFERROR(V1278*INDEX(indexy_SDcast!$A:$ALI,MATCH($R1278,indexy_SDcast!$K:$K,0),MATCH(W$2,indexy_SDcast!$2:$2,0)),"#ekrk")),"#popis")</f>
        <v>0</v>
      </c>
      <c r="X1278" s="365">
        <f>IF($Q1278="ekrk",IF($R1278="data",IFERROR(INDEX(data!$A:$ALL,MATCH($M1278,data!$A:$A,0),MATCH(X$2,data!$1:$1,0)),"#data"),IFERROR(W1278*INDEX(indexy_SDcast!$A:$ALI,MATCH($R1278,indexy_SDcast!$K:$K,0),MATCH(X$2,indexy_SDcast!$2:$2,0)),"#ekrk")),"#popis")</f>
        <v>0</v>
      </c>
      <c r="Y1278" s="362">
        <f>IF($Q1278="ekrk",IF($R1278="data",IFERROR(INDEX(data!$A:$ALL,MATCH($M1278,data!$A:$A,0),MATCH(Y$2,data!$1:$1,0)),"#data"),IFERROR(X1278*INDEX(indexy_SDcast!$A:$ALI,MATCH($R1278,indexy_SDcast!$K:$K,0),MATCH(Y$2,indexy_SDcast!$2:$2,0)),"#ekrk")),"#popis")</f>
        <v>0</v>
      </c>
    </row>
    <row r="1279" spans="1:44" x14ac:dyDescent="0.25">
      <c r="A1279" s="330">
        <v>642000</v>
      </c>
      <c r="B1279" s="329">
        <v>0</v>
      </c>
      <c r="C1279" s="157"/>
      <c r="D1279" s="330">
        <v>642000</v>
      </c>
      <c r="E1279" s="329">
        <v>0</v>
      </c>
      <c r="F1279" s="157"/>
      <c r="G1279" s="330">
        <v>642000</v>
      </c>
      <c r="H1279" s="329">
        <v>0</v>
      </c>
      <c r="I1279" s="157"/>
      <c r="J1279" s="330">
        <v>642000</v>
      </c>
      <c r="K1279" s="329">
        <v>0</v>
      </c>
      <c r="L1279" s="157"/>
      <c r="M1279" s="360">
        <f t="shared" si="139"/>
        <v>642000</v>
      </c>
      <c r="N1279" s="237">
        <f t="shared" si="138"/>
        <v>0</v>
      </c>
      <c r="O1279" s="361"/>
      <c r="P1279" s="361"/>
      <c r="Q1279" s="361" t="s">
        <v>698</v>
      </c>
      <c r="R1279" s="362">
        <f>IF(Q1279="ekrk",INDEX(indexy_SDcast!$A:$C,MATCH($M1279,indexy_SDcast!$A:$A,0),2),"")</f>
        <v>25</v>
      </c>
      <c r="S1279" s="236"/>
      <c r="T1279" s="364">
        <f t="shared" si="140"/>
        <v>642000</v>
      </c>
      <c r="U1279" s="365">
        <f t="shared" si="141"/>
        <v>0</v>
      </c>
      <c r="V1279" s="365">
        <f>IF($Q1279="ekrk",IF($R1279="data",IFERROR(INDEX(data!$A:$ALL,MATCH($M1279,data!$A:$A,0),MATCH(V$2,data!$1:$1,0)),"#data"),IFERROR(U1279*INDEX(indexy_SDcast!$A:$ALI,MATCH($R1279,indexy_SDcast!$K:$K,0),MATCH(V$2,indexy_SDcast!$2:$2,0)),"#ekrk")),"#popis")</f>
        <v>0</v>
      </c>
      <c r="W1279" s="365">
        <f>IF($Q1279="ekrk",IF($R1279="data",IFERROR(INDEX(data!$A:$ALL,MATCH($M1279,data!$A:$A,0),MATCH(W$2,data!$1:$1,0)),"#data"),IFERROR(V1279*INDEX(indexy_SDcast!$A:$ALI,MATCH($R1279,indexy_SDcast!$K:$K,0),MATCH(W$2,indexy_SDcast!$2:$2,0)),"#ekrk")),"#popis")</f>
        <v>0</v>
      </c>
      <c r="X1279" s="365">
        <f>IF($Q1279="ekrk",IF($R1279="data",IFERROR(INDEX(data!$A:$ALL,MATCH($M1279,data!$A:$A,0),MATCH(X$2,data!$1:$1,0)),"#data"),IFERROR(W1279*INDEX(indexy_SDcast!$A:$ALI,MATCH($R1279,indexy_SDcast!$K:$K,0),MATCH(X$2,indexy_SDcast!$2:$2,0)),"#ekrk")),"#popis")</f>
        <v>0</v>
      </c>
      <c r="Y1279" s="362">
        <f>IF($Q1279="ekrk",IF($R1279="data",IFERROR(INDEX(data!$A:$ALL,MATCH($M1279,data!$A:$A,0),MATCH(Y$2,data!$1:$1,0)),"#data"),IFERROR(X1279*INDEX(indexy_SDcast!$A:$ALI,MATCH($R1279,indexy_SDcast!$K:$K,0),MATCH(Y$2,indexy_SDcast!$2:$2,0)),"#ekrk")),"#popis")</f>
        <v>0</v>
      </c>
    </row>
    <row r="1280" spans="1:44" x14ac:dyDescent="0.25">
      <c r="A1280" s="330">
        <v>642001</v>
      </c>
      <c r="B1280" s="329">
        <v>-80562.932631198506</v>
      </c>
      <c r="C1280" s="157"/>
      <c r="D1280" s="330">
        <v>642001</v>
      </c>
      <c r="E1280" s="329">
        <v>-80562.932631198506</v>
      </c>
      <c r="F1280" s="157"/>
      <c r="G1280" s="330">
        <v>642001</v>
      </c>
      <c r="H1280" s="329">
        <v>-80562.932631198506</v>
      </c>
      <c r="I1280" s="157"/>
      <c r="J1280" s="330">
        <v>642001</v>
      </c>
      <c r="K1280" s="329">
        <v>-80562.932631198506</v>
      </c>
      <c r="L1280" s="157"/>
      <c r="M1280" s="360">
        <f t="shared" si="139"/>
        <v>642001</v>
      </c>
      <c r="N1280" s="237">
        <f t="shared" si="138"/>
        <v>-80562.932631198506</v>
      </c>
      <c r="O1280" s="361"/>
      <c r="P1280" s="361"/>
      <c r="Q1280" s="361" t="s">
        <v>698</v>
      </c>
      <c r="R1280" s="362">
        <f>IF(Q1280="ekrk",INDEX(indexy_SDcast!$A:$C,MATCH($M1280,indexy_SDcast!$A:$A,0),2),"")</f>
        <v>6</v>
      </c>
      <c r="S1280" s="236"/>
      <c r="T1280" s="364">
        <f t="shared" si="140"/>
        <v>642001</v>
      </c>
      <c r="U1280" s="365">
        <f t="shared" si="141"/>
        <v>-80562.932631198506</v>
      </c>
      <c r="V1280" s="365">
        <f>IF($Q1280="ekrk",IF($R1280="data",IFERROR(INDEX(data!$A:$ALL,MATCH($M1280,data!$A:$A,0),MATCH(V$2,data!$1:$1,0)),"#data"),IFERROR(U1280*INDEX(indexy_SDcast!$A:$ALI,MATCH($R1280,indexy_SDcast!$K:$K,0),MATCH(V$2,indexy_SDcast!$2:$2,0)),"#ekrk")),"#popis")</f>
        <v>-82034.571493853218</v>
      </c>
      <c r="W1280" s="365">
        <f>IF($Q1280="ekrk",IF($R1280="data",IFERROR(INDEX(data!$A:$ALL,MATCH($M1280,data!$A:$A,0),MATCH(W$2,data!$1:$1,0)),"#data"),IFERROR(V1280*INDEX(indexy_SDcast!$A:$ALI,MATCH($R1280,indexy_SDcast!$K:$K,0),MATCH(W$2,indexy_SDcast!$2:$2,0)),"#ekrk")),"#popis")</f>
        <v>-84402.363610227301</v>
      </c>
      <c r="X1280" s="365">
        <f>IF($Q1280="ekrk",IF($R1280="data",IFERROR(INDEX(data!$A:$ALL,MATCH($M1280,data!$A:$A,0),MATCH(X$2,data!$1:$1,0)),"#data"),IFERROR(W1280*INDEX(indexy_SDcast!$A:$ALI,MATCH($R1280,indexy_SDcast!$K:$K,0),MATCH(X$2,indexy_SDcast!$2:$2,0)),"#ekrk")),"#popis")</f>
        <v>-87165.736423591356</v>
      </c>
      <c r="Y1280" s="362">
        <f>IF($Q1280="ekrk",IF($R1280="data",IFERROR(INDEX(data!$A:$ALL,MATCH($M1280,data!$A:$A,0),MATCH(Y$2,data!$1:$1,0)),"#data"),IFERROR(X1280*INDEX(indexy_SDcast!$A:$ALI,MATCH($R1280,indexy_SDcast!$K:$K,0),MATCH(Y$2,indexy_SDcast!$2:$2,0)),"#ekrk")),"#popis")</f>
        <v>-90201.185723477247</v>
      </c>
    </row>
    <row r="1281" spans="1:44" x14ac:dyDescent="0.25">
      <c r="A1281" s="330">
        <v>642002</v>
      </c>
      <c r="B1281" s="329">
        <v>-82123.257256864745</v>
      </c>
      <c r="C1281" s="157"/>
      <c r="D1281" s="330">
        <v>642002</v>
      </c>
      <c r="E1281" s="329">
        <v>-82123.257256864745</v>
      </c>
      <c r="F1281" s="157"/>
      <c r="G1281" s="330">
        <v>642002</v>
      </c>
      <c r="H1281" s="329">
        <v>-82123.257256864745</v>
      </c>
      <c r="I1281" s="157"/>
      <c r="J1281" s="330">
        <v>642002</v>
      </c>
      <c r="K1281" s="329">
        <v>-82123.257256864745</v>
      </c>
      <c r="L1281" s="157"/>
      <c r="M1281" s="360">
        <f t="shared" si="139"/>
        <v>642002</v>
      </c>
      <c r="N1281" s="237">
        <f t="shared" si="138"/>
        <v>-82123.257256864745</v>
      </c>
      <c r="O1281" s="361"/>
      <c r="P1281" s="361"/>
      <c r="Q1281" s="361" t="s">
        <v>698</v>
      </c>
      <c r="R1281" s="362">
        <f>IF(Q1281="ekrk",INDEX(indexy_SDcast!$A:$C,MATCH($M1281,indexy_SDcast!$A:$A,0),2),"")</f>
        <v>6</v>
      </c>
      <c r="S1281" s="236"/>
      <c r="T1281" s="364">
        <f t="shared" si="140"/>
        <v>642002</v>
      </c>
      <c r="U1281" s="365">
        <f t="shared" si="141"/>
        <v>-82123.257256864745</v>
      </c>
      <c r="V1281" s="365">
        <f>IF($Q1281="ekrk",IF($R1281="data",IFERROR(INDEX(data!$A:$ALL,MATCH($M1281,data!$A:$A,0),MATCH(V$2,data!$1:$1,0)),"#data"),IFERROR(U1281*INDEX(indexy_SDcast!$A:$ALI,MATCH($R1281,indexy_SDcast!$K:$K,0),MATCH(V$2,indexy_SDcast!$2:$2,0)),"#ekrk")),"#popis")</f>
        <v>-83623.398487574988</v>
      </c>
      <c r="W1281" s="365">
        <f>IF($Q1281="ekrk",IF($R1281="data",IFERROR(INDEX(data!$A:$ALL,MATCH($M1281,data!$A:$A,0),MATCH(W$2,data!$1:$1,0)),"#data"),IFERROR(V1281*INDEX(indexy_SDcast!$A:$ALI,MATCH($R1281,indexy_SDcast!$K:$K,0),MATCH(W$2,indexy_SDcast!$2:$2,0)),"#ekrk")),"#popis")</f>
        <v>-86037.049465176853</v>
      </c>
      <c r="X1281" s="365">
        <f>IF($Q1281="ekrk",IF($R1281="data",IFERROR(INDEX(data!$A:$ALL,MATCH($M1281,data!$A:$A,0),MATCH(X$2,data!$1:$1,0)),"#data"),IFERROR(W1281*INDEX(indexy_SDcast!$A:$ALI,MATCH($R1281,indexy_SDcast!$K:$K,0),MATCH(X$2,indexy_SDcast!$2:$2,0)),"#ekrk")),"#popis")</f>
        <v>-88853.942657079344</v>
      </c>
      <c r="Y1281" s="362">
        <f>IF($Q1281="ekrk",IF($R1281="data",IFERROR(INDEX(data!$A:$ALL,MATCH($M1281,data!$A:$A,0),MATCH(Y$2,data!$1:$1,0)),"#data"),IFERROR(X1281*INDEX(indexy_SDcast!$A:$ALI,MATCH($R1281,indexy_SDcast!$K:$K,0),MATCH(Y$2,indexy_SDcast!$2:$2,0)),"#ekrk")),"#popis")</f>
        <v>-91948.181851248941</v>
      </c>
    </row>
    <row r="1282" spans="1:44" x14ac:dyDescent="0.25">
      <c r="A1282" s="330">
        <v>642004</v>
      </c>
      <c r="B1282" s="329">
        <v>-291.21579999999994</v>
      </c>
      <c r="C1282" s="157"/>
      <c r="D1282" s="330">
        <v>642004</v>
      </c>
      <c r="E1282" s="329">
        <v>-291.21579999999994</v>
      </c>
      <c r="F1282" s="157"/>
      <c r="G1282" s="330">
        <v>642004</v>
      </c>
      <c r="H1282" s="329">
        <v>-291.21579999999994</v>
      </c>
      <c r="I1282" s="157"/>
      <c r="J1282" s="330">
        <v>642004</v>
      </c>
      <c r="K1282" s="329">
        <v>-291.21579999999994</v>
      </c>
      <c r="L1282" s="157"/>
      <c r="M1282" s="360">
        <f t="shared" si="139"/>
        <v>642004</v>
      </c>
      <c r="N1282" s="237">
        <f t="shared" si="138"/>
        <v>-291.21579999999994</v>
      </c>
      <c r="O1282" s="361"/>
      <c r="P1282" s="361"/>
      <c r="Q1282" s="361" t="s">
        <v>698</v>
      </c>
      <c r="R1282" s="362">
        <f>IF(Q1282="ekrk",INDEX(indexy_SDcast!$A:$C,MATCH($M1282,indexy_SDcast!$A:$A,0),2),"")</f>
        <v>24</v>
      </c>
      <c r="S1282" s="236"/>
      <c r="T1282" s="364">
        <f t="shared" si="140"/>
        <v>642004</v>
      </c>
      <c r="U1282" s="365">
        <f t="shared" si="141"/>
        <v>-291.21579999999994</v>
      </c>
      <c r="V1282" s="365">
        <f>IF($Q1282="ekrk",IF($R1282="data",IFERROR(INDEX(data!$A:$ALL,MATCH($M1282,data!$A:$A,0),MATCH(V$2,data!$1:$1,0)),"#data"),IFERROR(U1282*INDEX(indexy_SDcast!$A:$ALI,MATCH($R1282,indexy_SDcast!$K:$K,0),MATCH(V$2,indexy_SDcast!$2:$2,0)),"#ekrk")),"#popis")</f>
        <v>-292.13227805247288</v>
      </c>
      <c r="W1282" s="365">
        <f>IF($Q1282="ekrk",IF($R1282="data",IFERROR(INDEX(data!$A:$ALL,MATCH($M1282,data!$A:$A,0),MATCH(W$2,data!$1:$1,0)),"#data"),IFERROR(V1282*INDEX(indexy_SDcast!$A:$ALI,MATCH($R1282,indexy_SDcast!$K:$K,0),MATCH(W$2,indexy_SDcast!$2:$2,0)),"#ekrk")),"#popis")</f>
        <v>-299.00806055760722</v>
      </c>
      <c r="X1282" s="365">
        <f>IF($Q1282="ekrk",IF($R1282="data",IFERROR(INDEX(data!$A:$ALL,MATCH($M1282,data!$A:$A,0),MATCH(X$2,data!$1:$1,0)),"#data"),IFERROR(W1282*INDEX(indexy_SDcast!$A:$ALI,MATCH($R1282,indexy_SDcast!$K:$K,0),MATCH(X$2,indexy_SDcast!$2:$2,0)),"#ekrk")),"#popis")</f>
        <v>-310.45764293189848</v>
      </c>
      <c r="Y1282" s="362">
        <f>IF($Q1282="ekrk",IF($R1282="data",IFERROR(INDEX(data!$A:$ALL,MATCH($M1282,data!$A:$A,0),MATCH(Y$2,data!$1:$1,0)),"#data"),IFERROR(X1282*INDEX(indexy_SDcast!$A:$ALI,MATCH($R1282,indexy_SDcast!$K:$K,0),MATCH(Y$2,indexy_SDcast!$2:$2,0)),"#ekrk")),"#popis")</f>
        <v>-323.0091952954154</v>
      </c>
    </row>
    <row r="1283" spans="1:44" x14ac:dyDescent="0.25">
      <c r="A1283" s="330">
        <v>642005</v>
      </c>
      <c r="B1283" s="329">
        <v>-563.38248999999996</v>
      </c>
      <c r="C1283" s="157"/>
      <c r="D1283" s="330">
        <v>642005</v>
      </c>
      <c r="E1283" s="329">
        <v>-563.38248999999996</v>
      </c>
      <c r="F1283" s="157"/>
      <c r="G1283" s="330">
        <v>642005</v>
      </c>
      <c r="H1283" s="329">
        <v>-563.38248999999996</v>
      </c>
      <c r="I1283" s="157"/>
      <c r="J1283" s="330">
        <v>642005</v>
      </c>
      <c r="K1283" s="329">
        <v>-563.38248999999996</v>
      </c>
      <c r="L1283" s="157"/>
      <c r="M1283" s="360">
        <f t="shared" si="139"/>
        <v>642005</v>
      </c>
      <c r="N1283" s="237">
        <f t="shared" si="138"/>
        <v>-563.38248999999996</v>
      </c>
      <c r="O1283" s="361"/>
      <c r="P1283" s="361"/>
      <c r="Q1283" s="361" t="s">
        <v>698</v>
      </c>
      <c r="R1283" s="362">
        <f>IF(Q1283="ekrk",INDEX(indexy_SDcast!$A:$C,MATCH($M1283,indexy_SDcast!$A:$A,0),2),"")</f>
        <v>24</v>
      </c>
      <c r="S1283" s="236"/>
      <c r="T1283" s="364">
        <f t="shared" si="140"/>
        <v>642005</v>
      </c>
      <c r="U1283" s="365">
        <f t="shared" si="141"/>
        <v>-563.38248999999996</v>
      </c>
      <c r="V1283" s="365">
        <f>IF($Q1283="ekrk",IF($R1283="data",IFERROR(INDEX(data!$A:$ALL,MATCH($M1283,data!$A:$A,0),MATCH(V$2,data!$1:$1,0)),"#data"),IFERROR(U1283*INDEX(indexy_SDcast!$A:$ALI,MATCH($R1283,indexy_SDcast!$K:$K,0),MATCH(V$2,indexy_SDcast!$2:$2,0)),"#ekrk")),"#popis")</f>
        <v>-565.15549712129132</v>
      </c>
      <c r="W1283" s="365">
        <f>IF($Q1283="ekrk",IF($R1283="data",IFERROR(INDEX(data!$A:$ALL,MATCH($M1283,data!$A:$A,0),MATCH(W$2,data!$1:$1,0)),"#data"),IFERROR(V1283*INDEX(indexy_SDcast!$A:$ALI,MATCH($R1283,indexy_SDcast!$K:$K,0),MATCH(W$2,indexy_SDcast!$2:$2,0)),"#ekrk")),"#popis")</f>
        <v>-578.45730103591757</v>
      </c>
      <c r="X1283" s="365">
        <f>IF($Q1283="ekrk",IF($R1283="data",IFERROR(INDEX(data!$A:$ALL,MATCH($M1283,data!$A:$A,0),MATCH(X$2,data!$1:$1,0)),"#data"),IFERROR(W1283*INDEX(indexy_SDcast!$A:$ALI,MATCH($R1283,indexy_SDcast!$K:$K,0),MATCH(X$2,indexy_SDcast!$2:$2,0)),"#ekrk")),"#popis")</f>
        <v>-600.60752168839701</v>
      </c>
      <c r="Y1283" s="362">
        <f>IF($Q1283="ekrk",IF($R1283="data",IFERROR(INDEX(data!$A:$ALL,MATCH($M1283,data!$A:$A,0),MATCH(Y$2,data!$1:$1,0)),"#data"),IFERROR(X1283*INDEX(indexy_SDcast!$A:$ALI,MATCH($R1283,indexy_SDcast!$K:$K,0),MATCH(Y$2,indexy_SDcast!$2:$2,0)),"#ekrk")),"#popis")</f>
        <v>-624.8895998720792</v>
      </c>
    </row>
    <row r="1284" spans="1:44" x14ac:dyDescent="0.25">
      <c r="A1284" s="330">
        <v>642006</v>
      </c>
      <c r="B1284" s="329">
        <v>-16055.664920000005</v>
      </c>
      <c r="C1284" s="157"/>
      <c r="D1284" s="330">
        <v>642006</v>
      </c>
      <c r="E1284" s="329">
        <v>-16055.664920000005</v>
      </c>
      <c r="F1284" s="157"/>
      <c r="G1284" s="330">
        <v>642006</v>
      </c>
      <c r="H1284" s="356">
        <f>E1284+E1294</f>
        <v>-16128.664920000005</v>
      </c>
      <c r="I1284" s="157"/>
      <c r="J1284" s="330">
        <v>642006</v>
      </c>
      <c r="K1284" s="329">
        <f>H1284+H1294</f>
        <v>-16128.664920000005</v>
      </c>
      <c r="L1284" s="157"/>
      <c r="M1284" s="360">
        <f t="shared" si="139"/>
        <v>642006</v>
      </c>
      <c r="N1284" s="237">
        <f t="shared" si="138"/>
        <v>-16128.664920000005</v>
      </c>
      <c r="O1284" s="361"/>
      <c r="P1284" s="361"/>
      <c r="Q1284" s="361" t="s">
        <v>698</v>
      </c>
      <c r="R1284" s="362">
        <f>IF(Q1284="ekrk",INDEX(indexy_SDcast!$A:$C,MATCH($M1284,indexy_SDcast!$A:$A,0),2),"")</f>
        <v>25</v>
      </c>
      <c r="S1284" s="236"/>
      <c r="T1284" s="364">
        <f t="shared" si="140"/>
        <v>642006</v>
      </c>
      <c r="U1284" s="365">
        <f t="shared" si="141"/>
        <v>-16128.664920000005</v>
      </c>
      <c r="V1284" s="365">
        <f>IF($Q1284="ekrk",IF($R1284="data",IFERROR(INDEX(data!$A:$ALL,MATCH($M1284,data!$A:$A,0),MATCH(V$2,data!$1:$1,0)),"#data"),IFERROR(U1284*INDEX(indexy_SDcast!$A:$ALI,MATCH($R1284,indexy_SDcast!$K:$K,0),MATCH(V$2,indexy_SDcast!$2:$2,0)),"#ekrk")),"#popis")</f>
        <v>-16250.395929814375</v>
      </c>
      <c r="W1284" s="365">
        <f>IF($Q1284="ekrk",IF($R1284="data",IFERROR(INDEX(data!$A:$ALL,MATCH($M1284,data!$A:$A,0),MATCH(W$2,data!$1:$1,0)),"#data"),IFERROR(V1284*INDEX(indexy_SDcast!$A:$ALI,MATCH($R1284,indexy_SDcast!$K:$K,0),MATCH(W$2,indexy_SDcast!$2:$2,0)),"#ekrk")),"#popis")</f>
        <v>-16587.585639116991</v>
      </c>
      <c r="X1284" s="365">
        <f>IF($Q1284="ekrk",IF($R1284="data",IFERROR(INDEX(data!$A:$ALL,MATCH($M1284,data!$A:$A,0),MATCH(X$2,data!$1:$1,0)),"#data"),IFERROR(W1284*INDEX(indexy_SDcast!$A:$ALI,MATCH($R1284,indexy_SDcast!$K:$K,0),MATCH(X$2,indexy_SDcast!$2:$2,0)),"#ekrk")),"#popis")</f>
        <v>-16964.913589633798</v>
      </c>
      <c r="Y1284" s="362">
        <f>IF($Q1284="ekrk",IF($R1284="data",IFERROR(INDEX(data!$A:$ALL,MATCH($M1284,data!$A:$A,0),MATCH(Y$2,data!$1:$1,0)),"#data"),IFERROR(X1284*INDEX(indexy_SDcast!$A:$ALI,MATCH($R1284,indexy_SDcast!$K:$K,0),MATCH(Y$2,indexy_SDcast!$2:$2,0)),"#ekrk")),"#popis")</f>
        <v>-17364.494171759299</v>
      </c>
    </row>
    <row r="1285" spans="1:44" x14ac:dyDescent="0.25">
      <c r="A1285" s="330">
        <v>642007</v>
      </c>
      <c r="B1285" s="329">
        <v>-46309.447777522975</v>
      </c>
      <c r="C1285" s="157"/>
      <c r="D1285" s="330">
        <v>642007</v>
      </c>
      <c r="E1285" s="329">
        <v>-46309.447777522975</v>
      </c>
      <c r="F1285" s="157"/>
      <c r="G1285" s="330">
        <v>642007</v>
      </c>
      <c r="H1285" s="329">
        <v>-46309.447777522975</v>
      </c>
      <c r="I1285" s="157"/>
      <c r="J1285" s="330">
        <v>642007</v>
      </c>
      <c r="K1285" s="329">
        <v>-46309.447777522975</v>
      </c>
      <c r="L1285" s="157"/>
      <c r="M1285" s="360">
        <f t="shared" si="139"/>
        <v>642007</v>
      </c>
      <c r="N1285" s="237">
        <f t="shared" si="138"/>
        <v>-46309.447777522975</v>
      </c>
      <c r="O1285" s="361"/>
      <c r="P1285" s="361"/>
      <c r="Q1285" s="361" t="s">
        <v>698</v>
      </c>
      <c r="R1285" s="362">
        <f>IF(Q1285="ekrk",INDEX(indexy_SDcast!$A:$C,MATCH($M1285,indexy_SDcast!$A:$A,0),2),"")</f>
        <v>6</v>
      </c>
      <c r="S1285" s="236"/>
      <c r="T1285" s="364">
        <f t="shared" si="140"/>
        <v>642007</v>
      </c>
      <c r="U1285" s="365">
        <f t="shared" si="141"/>
        <v>-46309.447777522975</v>
      </c>
      <c r="V1285" s="365">
        <f>IF($Q1285="ekrk",IF($R1285="data",IFERROR(INDEX(data!$A:$ALL,MATCH($M1285,data!$A:$A,0),MATCH(V$2,data!$1:$1,0)),"#data"),IFERROR(U1285*INDEX(indexy_SDcast!$A:$ALI,MATCH($R1285,indexy_SDcast!$K:$K,0),MATCH(V$2,indexy_SDcast!$2:$2,0)),"#ekrk")),"#popis")</f>
        <v>-47155.380029883534</v>
      </c>
      <c r="W1285" s="365">
        <f>IF($Q1285="ekrk",IF($R1285="data",IFERROR(INDEX(data!$A:$ALL,MATCH($M1285,data!$A:$A,0),MATCH(W$2,data!$1:$1,0)),"#data"),IFERROR(V1285*INDEX(indexy_SDcast!$A:$ALI,MATCH($R1285,indexy_SDcast!$K:$K,0),MATCH(W$2,indexy_SDcast!$2:$2,0)),"#ekrk")),"#popis")</f>
        <v>-48516.44201931257</v>
      </c>
      <c r="X1285" s="365">
        <f>IF($Q1285="ekrk",IF($R1285="data",IFERROR(INDEX(data!$A:$ALL,MATCH($M1285,data!$A:$A,0),MATCH(X$2,data!$1:$1,0)),"#data"),IFERROR(W1285*INDEX(indexy_SDcast!$A:$ALI,MATCH($R1285,indexy_SDcast!$K:$K,0),MATCH(X$2,indexy_SDcast!$2:$2,0)),"#ekrk")),"#popis")</f>
        <v>-50104.892995596325</v>
      </c>
      <c r="Y1285" s="362">
        <f>IF($Q1285="ekrk",IF($R1285="data",IFERROR(INDEX(data!$A:$ALL,MATCH($M1285,data!$A:$A,0),MATCH(Y$2,data!$1:$1,0)),"#data"),IFERROR(X1285*INDEX(indexy_SDcast!$A:$ALI,MATCH($R1285,indexy_SDcast!$K:$K,0),MATCH(Y$2,indexy_SDcast!$2:$2,0)),"#ekrk")),"#popis")</f>
        <v>-51849.739865531985</v>
      </c>
    </row>
    <row r="1286" spans="1:44" x14ac:dyDescent="0.25">
      <c r="A1286" s="330">
        <v>642009</v>
      </c>
      <c r="B1286" s="329">
        <v>-4918.1867099999999</v>
      </c>
      <c r="C1286" s="157"/>
      <c r="D1286" s="330">
        <v>642009</v>
      </c>
      <c r="E1286" s="329">
        <v>-4918.1867099999999</v>
      </c>
      <c r="F1286" s="157"/>
      <c r="G1286" s="330">
        <v>642009</v>
      </c>
      <c r="H1286" s="329">
        <v>-4918.1867099999999</v>
      </c>
      <c r="I1286" s="157"/>
      <c r="J1286" s="330">
        <v>642009</v>
      </c>
      <c r="K1286" s="329">
        <v>-4918.1867099999999</v>
      </c>
      <c r="L1286" s="157"/>
      <c r="M1286" s="360">
        <f t="shared" si="139"/>
        <v>642009</v>
      </c>
      <c r="N1286" s="237">
        <f t="shared" si="138"/>
        <v>-4918.1867099999999</v>
      </c>
      <c r="O1286" s="361"/>
      <c r="P1286" s="361"/>
      <c r="Q1286" s="361" t="s">
        <v>698</v>
      </c>
      <c r="R1286" s="362">
        <f>IF(Q1286="ekrk",INDEX(indexy_SDcast!$A:$C,MATCH($M1286,indexy_SDcast!$A:$A,0),2),"")</f>
        <v>6</v>
      </c>
      <c r="S1286" s="236"/>
      <c r="T1286" s="364">
        <f t="shared" si="140"/>
        <v>642009</v>
      </c>
      <c r="U1286" s="365">
        <f t="shared" si="141"/>
        <v>-4918.1867099999999</v>
      </c>
      <c r="V1286" s="365">
        <f>IF($Q1286="ekrk",IF($R1286="data",IFERROR(INDEX(data!$A:$ALL,MATCH($M1286,data!$A:$A,0),MATCH(V$2,data!$1:$1,0)),"#data"),IFERROR(U1286*INDEX(indexy_SDcast!$A:$ALI,MATCH($R1286,indexy_SDcast!$K:$K,0),MATCH(V$2,indexy_SDcast!$2:$2,0)),"#ekrk")),"#popis")</f>
        <v>-5008.0269685387639</v>
      </c>
      <c r="W1286" s="365">
        <f>IF($Q1286="ekrk",IF($R1286="data",IFERROR(INDEX(data!$A:$ALL,MATCH($M1286,data!$A:$A,0),MATCH(W$2,data!$1:$1,0)),"#data"),IFERROR(V1286*INDEX(indexy_SDcast!$A:$ALI,MATCH($R1286,indexy_SDcast!$K:$K,0),MATCH(W$2,indexy_SDcast!$2:$2,0)),"#ekrk")),"#popis")</f>
        <v>-5152.5753773225333</v>
      </c>
      <c r="X1286" s="365">
        <f>IF($Q1286="ekrk",IF($R1286="data",IFERROR(INDEX(data!$A:$ALL,MATCH($M1286,data!$A:$A,0),MATCH(X$2,data!$1:$1,0)),"#data"),IFERROR(W1286*INDEX(indexy_SDcast!$A:$ALI,MATCH($R1286,indexy_SDcast!$K:$K,0),MATCH(X$2,indexy_SDcast!$2:$2,0)),"#ekrk")),"#popis")</f>
        <v>-5321.2731022139342</v>
      </c>
      <c r="Y1286" s="362">
        <f>IF($Q1286="ekrk",IF($R1286="data",IFERROR(INDEX(data!$A:$ALL,MATCH($M1286,data!$A:$A,0),MATCH(Y$2,data!$1:$1,0)),"#data"),IFERROR(X1286*INDEX(indexy_SDcast!$A:$ALI,MATCH($R1286,indexy_SDcast!$K:$K,0),MATCH(Y$2,indexy_SDcast!$2:$2,0)),"#ekrk")),"#popis")</f>
        <v>-5506.5804876081484</v>
      </c>
    </row>
    <row r="1287" spans="1:44" x14ac:dyDescent="0.25">
      <c r="A1287" s="330">
        <v>642010</v>
      </c>
      <c r="B1287" s="329">
        <v>-7534.4414500000012</v>
      </c>
      <c r="C1287" s="157"/>
      <c r="D1287" s="330">
        <v>642010</v>
      </c>
      <c r="E1287" s="329">
        <v>-7534.4414500000012</v>
      </c>
      <c r="F1287" s="157"/>
      <c r="G1287" s="330">
        <v>642010</v>
      </c>
      <c r="H1287" s="329">
        <v>-7534.4414500000012</v>
      </c>
      <c r="I1287" s="157"/>
      <c r="J1287" s="330">
        <v>642010</v>
      </c>
      <c r="K1287" s="329">
        <v>-7534.4414500000012</v>
      </c>
      <c r="L1287" s="157"/>
      <c r="M1287" s="360">
        <f t="shared" si="139"/>
        <v>642010</v>
      </c>
      <c r="N1287" s="237">
        <f t="shared" si="138"/>
        <v>-7534.4414500000012</v>
      </c>
      <c r="O1287" s="361"/>
      <c r="P1287" s="361"/>
      <c r="Q1287" s="361" t="s">
        <v>698</v>
      </c>
      <c r="R1287" s="362" t="str">
        <f>IF(Q1287="ekrk",INDEX(indexy_SDcast!$A:$C,MATCH($M1287,indexy_SDcast!$A:$A,0),2),"")</f>
        <v>data</v>
      </c>
      <c r="S1287" s="236"/>
      <c r="T1287" s="364">
        <f t="shared" si="140"/>
        <v>642010</v>
      </c>
      <c r="U1287" s="365">
        <f t="shared" si="141"/>
        <v>-7534.4414500000012</v>
      </c>
      <c r="V1287" s="365">
        <f>IF($Q1287="ekrk",IF($R1287="data",IFERROR(INDEX(data!$A:$ALL,MATCH($M1287,data!$A:$A,0),MATCH(V$2,data!$1:$1,0)),"#data"),IFERROR(U1287*INDEX(indexy_SDcast!$A:$ALI,MATCH($R1287,indexy_SDcast!$K:$K,0),MATCH(V$2,indexy_SDcast!$2:$2,0)),"#ekrk")),"#popis")</f>
        <v>-7722.6247040979861</v>
      </c>
      <c r="W1287" s="365">
        <f>IF($Q1287="ekrk",IF($R1287="data",IFERROR(INDEX(data!$A:$ALL,MATCH($M1287,data!$A:$A,0),MATCH(W$2,data!$1:$1,0)),"#data"),IFERROR(V1287*INDEX(indexy_SDcast!$A:$ALI,MATCH($R1287,indexy_SDcast!$K:$K,0),MATCH(W$2,indexy_SDcast!$2:$2,0)),"#ekrk")),"#popis")</f>
        <v>-7946.4757970155306</v>
      </c>
      <c r="X1287" s="365">
        <f>IF($Q1287="ekrk",IF($R1287="data",IFERROR(INDEX(data!$A:$ALL,MATCH($M1287,data!$A:$A,0),MATCH(X$2,data!$1:$1,0)),"#data"),IFERROR(W1287*INDEX(indexy_SDcast!$A:$ALI,MATCH($R1287,indexy_SDcast!$K:$K,0),MATCH(X$2,indexy_SDcast!$2:$2,0)),"#ekrk")),"#popis")</f>
        <v>-25819.842860817083</v>
      </c>
      <c r="Y1287" s="362">
        <f>IF($Q1287="ekrk",IF($R1287="data",IFERROR(INDEX(data!$A:$ALL,MATCH($M1287,data!$A:$A,0),MATCH(Y$2,data!$1:$1,0)),"#data"),IFERROR(X1287*INDEX(indexy_SDcast!$A:$ALI,MATCH($R1287,indexy_SDcast!$K:$K,0),MATCH(Y$2,indexy_SDcast!$2:$2,0)),"#ekrk")),"#popis")</f>
        <v>-8592.4490632885609</v>
      </c>
    </row>
    <row r="1288" spans="1:44" x14ac:dyDescent="0.25">
      <c r="A1288" s="330">
        <v>642011</v>
      </c>
      <c r="B1288" s="329">
        <v>-1083.1212899999996</v>
      </c>
      <c r="C1288" s="157"/>
      <c r="D1288" s="330">
        <v>642011</v>
      </c>
      <c r="E1288" s="329">
        <v>-1083.1212899999996</v>
      </c>
      <c r="F1288" s="157"/>
      <c r="G1288" s="330">
        <v>642011</v>
      </c>
      <c r="H1288" s="329">
        <v>-1083.1212899999996</v>
      </c>
      <c r="I1288" s="157"/>
      <c r="J1288" s="330">
        <v>642011</v>
      </c>
      <c r="K1288" s="329">
        <v>-1083.1212899999996</v>
      </c>
      <c r="L1288" s="157"/>
      <c r="M1288" s="360">
        <f t="shared" si="139"/>
        <v>642011</v>
      </c>
      <c r="N1288" s="237">
        <f t="shared" si="138"/>
        <v>-1083.1212899999996</v>
      </c>
      <c r="O1288" s="361"/>
      <c r="P1288" s="361"/>
      <c r="Q1288" s="361" t="s">
        <v>698</v>
      </c>
      <c r="R1288" s="362">
        <f>IF(Q1288="ekrk",INDEX(indexy_SDcast!$A:$C,MATCH($M1288,indexy_SDcast!$A:$A,0),2),"")</f>
        <v>25</v>
      </c>
      <c r="S1288" s="236"/>
      <c r="T1288" s="364">
        <f t="shared" si="140"/>
        <v>642011</v>
      </c>
      <c r="U1288" s="365">
        <f t="shared" si="141"/>
        <v>-1083.1212899999996</v>
      </c>
      <c r="V1288" s="365">
        <f>IF($Q1288="ekrk",IF($R1288="data",IFERROR(INDEX(data!$A:$ALL,MATCH($M1288,data!$A:$A,0),MATCH(V$2,data!$1:$1,0)),"#data"),IFERROR(U1288*INDEX(indexy_SDcast!$A:$ALI,MATCH($R1288,indexy_SDcast!$K:$K,0),MATCH(V$2,indexy_SDcast!$2:$2,0)),"#ekrk")),"#popis")</f>
        <v>-1091.2961419816813</v>
      </c>
      <c r="W1288" s="365">
        <f>IF($Q1288="ekrk",IF($R1288="data",IFERROR(INDEX(data!$A:$ALL,MATCH($M1288,data!$A:$A,0),MATCH(W$2,data!$1:$1,0)),"#data"),IFERROR(V1288*INDEX(indexy_SDcast!$A:$ALI,MATCH($R1288,indexy_SDcast!$K:$K,0),MATCH(W$2,indexy_SDcast!$2:$2,0)),"#ekrk")),"#popis")</f>
        <v>-1113.940133578388</v>
      </c>
      <c r="X1288" s="365">
        <f>IF($Q1288="ekrk",IF($R1288="data",IFERROR(INDEX(data!$A:$ALL,MATCH($M1288,data!$A:$A,0),MATCH(X$2,data!$1:$1,0)),"#data"),IFERROR(W1288*INDEX(indexy_SDcast!$A:$ALI,MATCH($R1288,indexy_SDcast!$K:$K,0),MATCH(X$2,indexy_SDcast!$2:$2,0)),"#ekrk")),"#popis")</f>
        <v>-1139.2796107480099</v>
      </c>
      <c r="Y1288" s="362">
        <f>IF($Q1288="ekrk",IF($R1288="data",IFERROR(INDEX(data!$A:$ALL,MATCH($M1288,data!$A:$A,0),MATCH(Y$2,data!$1:$1,0)),"#data"),IFERROR(X1288*INDEX(indexy_SDcast!$A:$ALI,MATCH($R1288,indexy_SDcast!$K:$K,0),MATCH(Y$2,indexy_SDcast!$2:$2,0)),"#ekrk")),"#popis")</f>
        <v>-1166.1134644933404</v>
      </c>
    </row>
    <row r="1289" spans="1:44" x14ac:dyDescent="0.25">
      <c r="A1289" s="330">
        <v>642036</v>
      </c>
      <c r="B1289" s="329">
        <v>-103.845</v>
      </c>
      <c r="C1289" s="157"/>
      <c r="D1289" s="330">
        <v>642036</v>
      </c>
      <c r="E1289" s="329">
        <v>-103.845</v>
      </c>
      <c r="F1289" s="157"/>
      <c r="G1289" s="330">
        <v>642036</v>
      </c>
      <c r="H1289" s="329">
        <v>-103.845</v>
      </c>
      <c r="I1289" s="157"/>
      <c r="J1289" s="330">
        <v>642036</v>
      </c>
      <c r="K1289" s="329">
        <v>-103.845</v>
      </c>
      <c r="L1289" s="157"/>
      <c r="M1289" s="360">
        <f t="shared" si="139"/>
        <v>642036</v>
      </c>
      <c r="N1289" s="237">
        <f t="shared" si="138"/>
        <v>-103.845</v>
      </c>
      <c r="O1289" s="361"/>
      <c r="P1289" s="361"/>
      <c r="Q1289" s="361" t="s">
        <v>698</v>
      </c>
      <c r="R1289" s="362">
        <f>IF(Q1289="ekrk",INDEX(indexy_SDcast!$A:$C,MATCH($M1289,indexy_SDcast!$A:$A,0),2),"")</f>
        <v>27</v>
      </c>
      <c r="S1289" s="236"/>
      <c r="T1289" s="364">
        <f t="shared" si="140"/>
        <v>642036</v>
      </c>
      <c r="U1289" s="365">
        <f t="shared" si="141"/>
        <v>-103.845</v>
      </c>
      <c r="V1289" s="365">
        <f>IF($Q1289="ekrk",IF($R1289="data",IFERROR(INDEX(data!$A:$ALL,MATCH($M1289,data!$A:$A,0),MATCH(V$2,data!$1:$1,0)),"#data"),IFERROR(U1289*INDEX(indexy_SDcast!$A:$ALI,MATCH($R1289,indexy_SDcast!$K:$K,0),MATCH(V$2,indexy_SDcast!$2:$2,0)),"#ekrk")),"#popis")</f>
        <v>-101.59644818153915</v>
      </c>
      <c r="W1289" s="365">
        <f>IF($Q1289="ekrk",IF($R1289="data",IFERROR(INDEX(data!$A:$ALL,MATCH($M1289,data!$A:$A,0),MATCH(W$2,data!$1:$1,0)),"#data"),IFERROR(V1289*INDEX(indexy_SDcast!$A:$ALI,MATCH($R1289,indexy_SDcast!$K:$K,0),MATCH(W$2,indexy_SDcast!$2:$2,0)),"#ekrk")),"#popis")</f>
        <v>-100.57301761455211</v>
      </c>
      <c r="X1289" s="365">
        <f>IF($Q1289="ekrk",IF($R1289="data",IFERROR(INDEX(data!$A:$ALL,MATCH($M1289,data!$A:$A,0),MATCH(X$2,data!$1:$1,0)),"#data"),IFERROR(W1289*INDEX(indexy_SDcast!$A:$ALI,MATCH($R1289,indexy_SDcast!$K:$K,0),MATCH(X$2,indexy_SDcast!$2:$2,0)),"#ekrk")),"#popis")</f>
        <v>-99.865727815102574</v>
      </c>
      <c r="Y1289" s="362">
        <f>IF($Q1289="ekrk",IF($R1289="data",IFERROR(INDEX(data!$A:$ALL,MATCH($M1289,data!$A:$A,0),MATCH(Y$2,data!$1:$1,0)),"#data"),IFERROR(X1289*INDEX(indexy_SDcast!$A:$ALI,MATCH($R1289,indexy_SDcast!$K:$K,0),MATCH(Y$2,indexy_SDcast!$2:$2,0)),"#ekrk")),"#popis")</f>
        <v>-98.640859395687428</v>
      </c>
    </row>
    <row r="1290" spans="1:44" x14ac:dyDescent="0.25">
      <c r="A1290" s="330">
        <v>642200</v>
      </c>
      <c r="B1290" s="329">
        <v>-6494.2091399999999</v>
      </c>
      <c r="C1290" s="157"/>
      <c r="D1290" s="330">
        <v>642200</v>
      </c>
      <c r="E1290" s="329">
        <v>-6494.2091399999999</v>
      </c>
      <c r="F1290" s="157"/>
      <c r="G1290" s="330">
        <v>642200</v>
      </c>
      <c r="H1290" s="329">
        <v>-6494.2091399999999</v>
      </c>
      <c r="I1290" s="157"/>
      <c r="J1290" s="330">
        <v>642200</v>
      </c>
      <c r="K1290" s="329">
        <v>-6494.2091399999999</v>
      </c>
      <c r="L1290" s="157"/>
      <c r="M1290" s="360">
        <f t="shared" si="139"/>
        <v>642200</v>
      </c>
      <c r="N1290" s="237">
        <f t="shared" si="138"/>
        <v>-6494.2091399999999</v>
      </c>
      <c r="O1290" s="361"/>
      <c r="P1290" s="361"/>
      <c r="Q1290" s="361" t="s">
        <v>698</v>
      </c>
      <c r="R1290" s="362">
        <f>IF(Q1290="ekrk",INDEX(indexy_SDcast!$A:$C,MATCH($M1290,indexy_SDcast!$A:$A,0),2),"")</f>
        <v>25</v>
      </c>
      <c r="S1290" s="236"/>
      <c r="T1290" s="364">
        <f t="shared" si="140"/>
        <v>642200</v>
      </c>
      <c r="U1290" s="365">
        <f t="shared" si="141"/>
        <v>-6494.2091399999999</v>
      </c>
      <c r="V1290" s="365">
        <f>IF($Q1290="ekrk",IF($R1290="data",IFERROR(INDEX(data!$A:$ALL,MATCH($M1290,data!$A:$A,0),MATCH(V$2,data!$1:$1,0)),"#data"),IFERROR(U1290*INDEX(indexy_SDcast!$A:$ALI,MATCH($R1290,indexy_SDcast!$K:$K,0),MATCH(V$2,indexy_SDcast!$2:$2,0)),"#ekrk")),"#popis")</f>
        <v>-6543.2241477814323</v>
      </c>
      <c r="W1290" s="365">
        <f>IF($Q1290="ekrk",IF($R1290="data",IFERROR(INDEX(data!$A:$ALL,MATCH($M1290,data!$A:$A,0),MATCH(W$2,data!$1:$1,0)),"#data"),IFERROR(V1290*INDEX(indexy_SDcast!$A:$ALI,MATCH($R1290,indexy_SDcast!$K:$K,0),MATCH(W$2,indexy_SDcast!$2:$2,0)),"#ekrk")),"#popis")</f>
        <v>-6678.9936304341227</v>
      </c>
      <c r="X1290" s="365">
        <f>IF($Q1290="ekrk",IF($R1290="data",IFERROR(INDEX(data!$A:$ALL,MATCH($M1290,data!$A:$A,0),MATCH(X$2,data!$1:$1,0)),"#data"),IFERROR(W1290*INDEX(indexy_SDcast!$A:$ALI,MATCH($R1290,indexy_SDcast!$K:$K,0),MATCH(X$2,indexy_SDcast!$2:$2,0)),"#ekrk")),"#popis")</f>
        <v>-6830.9247814114788</v>
      </c>
      <c r="Y1290" s="362">
        <f>IF($Q1290="ekrk",IF($R1290="data",IFERROR(INDEX(data!$A:$ALL,MATCH($M1290,data!$A:$A,0),MATCH(Y$2,data!$1:$1,0)),"#data"),IFERROR(X1290*INDEX(indexy_SDcast!$A:$ALI,MATCH($R1290,indexy_SDcast!$K:$K,0),MATCH(Y$2,indexy_SDcast!$2:$2,0)),"#ekrk")),"#popis")</f>
        <v>-6991.815957555149</v>
      </c>
    </row>
    <row r="1291" spans="1:44" x14ac:dyDescent="0.25">
      <c r="A1291" s="330">
        <v>649002</v>
      </c>
      <c r="B1291" s="329">
        <v>-1811.4923000000003</v>
      </c>
      <c r="C1291" s="157"/>
      <c r="D1291" s="330">
        <v>649002</v>
      </c>
      <c r="E1291" s="329">
        <v>-1811.4923000000003</v>
      </c>
      <c r="F1291" s="157"/>
      <c r="G1291" s="330">
        <v>649002</v>
      </c>
      <c r="H1291" s="329">
        <v>-1811.4923000000003</v>
      </c>
      <c r="I1291" s="157"/>
      <c r="J1291" s="330">
        <v>649002</v>
      </c>
      <c r="K1291" s="329">
        <v>-1811.4923000000003</v>
      </c>
      <c r="L1291" s="157"/>
      <c r="M1291" s="360">
        <f t="shared" si="139"/>
        <v>649002</v>
      </c>
      <c r="N1291" s="237">
        <f t="shared" si="138"/>
        <v>-1811.4923000000003</v>
      </c>
      <c r="O1291" s="361"/>
      <c r="P1291" s="361"/>
      <c r="Q1291" s="361" t="s">
        <v>698</v>
      </c>
      <c r="R1291" s="362">
        <f>IF(Q1291="ekrk",INDEX(indexy_SDcast!$A:$C,MATCH($M1291,indexy_SDcast!$A:$A,0),2),"")</f>
        <v>25</v>
      </c>
      <c r="S1291" s="236"/>
      <c r="T1291" s="364">
        <f t="shared" si="140"/>
        <v>649002</v>
      </c>
      <c r="U1291" s="365">
        <f t="shared" si="141"/>
        <v>-1811.4923000000003</v>
      </c>
      <c r="V1291" s="365">
        <f>IF($Q1291="ekrk",IF($R1291="data",IFERROR(INDEX(data!$A:$ALL,MATCH($M1291,data!$A:$A,0),MATCH(V$2,data!$1:$1,0)),"#data"),IFERROR(U1291*INDEX(indexy_SDcast!$A:$ALI,MATCH($R1291,indexy_SDcast!$K:$K,0),MATCH(V$2,indexy_SDcast!$2:$2,0)),"#ekrk")),"#popis")</f>
        <v>-1825.1645281753474</v>
      </c>
      <c r="W1291" s="365">
        <f>IF($Q1291="ekrk",IF($R1291="data",IFERROR(INDEX(data!$A:$ALL,MATCH($M1291,data!$A:$A,0),MATCH(W$2,data!$1:$1,0)),"#data"),IFERROR(V1291*INDEX(indexy_SDcast!$A:$ALI,MATCH($R1291,indexy_SDcast!$K:$K,0),MATCH(W$2,indexy_SDcast!$2:$2,0)),"#ekrk")),"#popis")</f>
        <v>-1863.0360175435405</v>
      </c>
      <c r="X1291" s="365">
        <f>IF($Q1291="ekrk",IF($R1291="data",IFERROR(INDEX(data!$A:$ALL,MATCH($M1291,data!$A:$A,0),MATCH(X$2,data!$1:$1,0)),"#data"),IFERROR(W1291*INDEX(indexy_SDcast!$A:$ALI,MATCH($R1291,indexy_SDcast!$K:$K,0),MATCH(X$2,indexy_SDcast!$2:$2,0)),"#ekrk")),"#popis")</f>
        <v>-1905.4156367077023</v>
      </c>
      <c r="Y1291" s="362">
        <f>IF($Q1291="ekrk",IF($R1291="data",IFERROR(INDEX(data!$A:$ALL,MATCH($M1291,data!$A:$A,0),MATCH(Y$2,data!$1:$1,0)),"#data"),IFERROR(X1291*INDEX(indexy_SDcast!$A:$ALI,MATCH($R1291,indexy_SDcast!$K:$K,0),MATCH(Y$2,indexy_SDcast!$2:$2,0)),"#ekrk")),"#popis")</f>
        <v>-1950.2945619839218</v>
      </c>
    </row>
    <row r="1292" spans="1:44" x14ac:dyDescent="0.25">
      <c r="A1292" s="330">
        <v>649005</v>
      </c>
      <c r="B1292" s="329">
        <v>-645517.98605000007</v>
      </c>
      <c r="C1292" s="157"/>
      <c r="D1292" s="330">
        <v>649005</v>
      </c>
      <c r="E1292" s="329">
        <v>-645517.98605000007</v>
      </c>
      <c r="F1292" s="157"/>
      <c r="G1292" s="330">
        <v>649005</v>
      </c>
      <c r="H1292" s="329">
        <v>-645517.98605000007</v>
      </c>
      <c r="I1292" s="157"/>
      <c r="J1292" s="330">
        <v>649005</v>
      </c>
      <c r="K1292" s="329">
        <v>-645517.98605000007</v>
      </c>
      <c r="L1292" s="157"/>
      <c r="M1292" s="360">
        <f t="shared" si="139"/>
        <v>649005</v>
      </c>
      <c r="N1292" s="237">
        <f t="shared" si="138"/>
        <v>-645517.98605000007</v>
      </c>
      <c r="O1292" s="361"/>
      <c r="P1292" s="361"/>
      <c r="Q1292" s="361" t="s">
        <v>698</v>
      </c>
      <c r="R1292" s="362">
        <f>IF(Q1292="ekrk",INDEX(indexy_SDcast!$A:$C,MATCH($M1292,indexy_SDcast!$A:$A,0),2),"")</f>
        <v>37</v>
      </c>
      <c r="S1292" s="236"/>
      <c r="T1292" s="364">
        <f t="shared" si="140"/>
        <v>649005</v>
      </c>
      <c r="U1292" s="365">
        <f t="shared" si="141"/>
        <v>-645517.98605000007</v>
      </c>
      <c r="V1292" s="365">
        <f>IF($Q1292="ekrk",IF($R1292="data",IFERROR(INDEX(data!$A:$ALL,MATCH($M1292,data!$A:$A,0),MATCH(V$2,data!$1:$1,0)),"#data"),IFERROR(U1292*INDEX(indexy_SDcast!$A:$ALI,MATCH($R1292,indexy_SDcast!$K:$K,0),MATCH(V$2,indexy_SDcast!$2:$2,0)),"#ekrk")),"#popis")</f>
        <v>-666475.57017645985</v>
      </c>
      <c r="W1292" s="365">
        <f>IF($Q1292="ekrk",IF($R1292="data",IFERROR(INDEX(data!$A:$ALL,MATCH($M1292,data!$A:$A,0),MATCH(W$2,data!$1:$1,0)),"#data"),IFERROR(V1292*INDEX(indexy_SDcast!$A:$ALI,MATCH($R1292,indexy_SDcast!$K:$K,0),MATCH(W$2,indexy_SDcast!$2:$2,0)),"#ekrk")),"#popis")</f>
        <v>-695952.27388317848</v>
      </c>
      <c r="X1292" s="365">
        <f>IF($Q1292="ekrk",IF($R1292="data",IFERROR(INDEX(data!$A:$ALL,MATCH($M1292,data!$A:$A,0),MATCH(X$2,data!$1:$1,0)),"#data"),IFERROR(W1292*INDEX(indexy_SDcast!$A:$ALI,MATCH($R1292,indexy_SDcast!$K:$K,0),MATCH(X$2,indexy_SDcast!$2:$2,0)),"#ekrk")),"#popis")</f>
        <v>-731051.57032676949</v>
      </c>
      <c r="Y1292" s="362">
        <f>IF($Q1292="ekrk",IF($R1292="data",IFERROR(INDEX(data!$A:$ALL,MATCH($M1292,data!$A:$A,0),MATCH(Y$2,data!$1:$1,0)),"#data"),IFERROR(X1292*INDEX(indexy_SDcast!$A:$ALI,MATCH($R1292,indexy_SDcast!$K:$K,0),MATCH(Y$2,indexy_SDcast!$2:$2,0)),"#ekrk")),"#popis")</f>
        <v>-771317.61294215079</v>
      </c>
    </row>
    <row r="1293" spans="1:44" x14ac:dyDescent="0.25">
      <c r="A1293" s="330" t="s">
        <v>718</v>
      </c>
      <c r="B1293" s="329">
        <v>19967</v>
      </c>
      <c r="C1293" s="157"/>
      <c r="D1293" s="348">
        <v>637035</v>
      </c>
      <c r="E1293" s="329">
        <v>19967</v>
      </c>
      <c r="F1293" s="157"/>
      <c r="G1293" s="330">
        <v>637035</v>
      </c>
      <c r="H1293" s="329">
        <v>19967</v>
      </c>
      <c r="I1293" s="157"/>
      <c r="J1293" s="330">
        <v>637035</v>
      </c>
      <c r="K1293" s="329">
        <v>19967</v>
      </c>
      <c r="L1293" s="157"/>
      <c r="M1293" s="360">
        <f t="shared" si="139"/>
        <v>637035</v>
      </c>
      <c r="N1293" s="237">
        <f t="shared" si="138"/>
        <v>19967</v>
      </c>
      <c r="O1293" s="361"/>
      <c r="P1293" s="361"/>
      <c r="Q1293" s="361" t="s">
        <v>698</v>
      </c>
      <c r="R1293" s="362">
        <f>IF(Q1293="ekrk",INDEX(indexy_SDcast!$A:$C,MATCH($M1293,indexy_SDcast!$A:$A,0),2),"")</f>
        <v>25</v>
      </c>
      <c r="S1293" s="236"/>
      <c r="T1293" s="364">
        <f t="shared" si="140"/>
        <v>637035</v>
      </c>
      <c r="U1293" s="365">
        <f t="shared" si="141"/>
        <v>19967</v>
      </c>
      <c r="V1293" s="365">
        <f>IF($Q1293="ekrk",IF($R1293="data",IFERROR(INDEX(data!$A:$ALL,MATCH($M1293,data!$A:$A,0),MATCH(V$2,data!$1:$1,0)),"#data"),IFERROR(U1293*INDEX(indexy_SDcast!$A:$ALI,MATCH($R1293,indexy_SDcast!$K:$K,0),MATCH(V$2,indexy_SDcast!$2:$2,0)),"#ekrk")),"#popis")</f>
        <v>20117.700822728948</v>
      </c>
      <c r="W1293" s="365">
        <f>IF($Q1293="ekrk",IF($R1293="data",IFERROR(INDEX(data!$A:$ALL,MATCH($M1293,data!$A:$A,0),MATCH(W$2,data!$1:$1,0)),"#data"),IFERROR(V1293*INDEX(indexy_SDcast!$A:$ALI,MATCH($R1293,indexy_SDcast!$K:$K,0),MATCH(W$2,indexy_SDcast!$2:$2,0)),"#ekrk")),"#popis")</f>
        <v>20535.135679181119</v>
      </c>
      <c r="X1293" s="365">
        <f>IF($Q1293="ekrk",IF($R1293="data",IFERROR(INDEX(data!$A:$ALL,MATCH($M1293,data!$A:$A,0),MATCH(X$2,data!$1:$1,0)),"#data"),IFERROR(W1293*INDEX(indexy_SDcast!$A:$ALI,MATCH($R1293,indexy_SDcast!$K:$K,0),MATCH(X$2,indexy_SDcast!$2:$2,0)),"#ekrk")),"#popis")</f>
        <v>21002.260963594868</v>
      </c>
      <c r="Y1293" s="362">
        <f>IF($Q1293="ekrk",IF($R1293="data",IFERROR(INDEX(data!$A:$ALL,MATCH($M1293,data!$A:$A,0),MATCH(Y$2,data!$1:$1,0)),"#data"),IFERROR(X1293*INDEX(indexy_SDcast!$A:$ALI,MATCH($R1293,indexy_SDcast!$K:$K,0),MATCH(Y$2,indexy_SDcast!$2:$2,0)),"#ekrk")),"#popis")</f>
        <v>21496.934609731965</v>
      </c>
    </row>
    <row r="1294" spans="1:44" x14ac:dyDescent="0.25">
      <c r="A1294" s="330" t="s">
        <v>699</v>
      </c>
      <c r="B1294" s="329">
        <v>-73</v>
      </c>
      <c r="C1294" s="157"/>
      <c r="D1294" s="348">
        <v>642006</v>
      </c>
      <c r="E1294" s="329">
        <v>-73</v>
      </c>
      <c r="F1294" s="157"/>
      <c r="G1294" s="330"/>
      <c r="H1294" s="329"/>
      <c r="I1294" s="157"/>
      <c r="J1294" s="330"/>
      <c r="K1294" s="329"/>
      <c r="L1294" s="157"/>
      <c r="M1294" s="360"/>
      <c r="N1294" s="237"/>
      <c r="O1294" s="361"/>
      <c r="P1294" s="361"/>
      <c r="Q1294" s="361"/>
      <c r="R1294" s="362"/>
      <c r="S1294" s="236"/>
      <c r="T1294" s="364"/>
      <c r="U1294" s="365"/>
      <c r="V1294" s="365"/>
      <c r="W1294" s="365"/>
      <c r="X1294" s="365"/>
      <c r="Y1294" s="362"/>
    </row>
    <row r="1295" spans="1:44" x14ac:dyDescent="0.25">
      <c r="A1295" s="330" t="s">
        <v>993</v>
      </c>
      <c r="B1295" s="329">
        <v>246851</v>
      </c>
      <c r="C1295" s="157"/>
      <c r="D1295" s="355">
        <v>637005</v>
      </c>
      <c r="E1295" s="329">
        <v>246851</v>
      </c>
      <c r="F1295" s="157"/>
      <c r="G1295" s="330">
        <v>637005</v>
      </c>
      <c r="H1295" s="329">
        <v>246851</v>
      </c>
      <c r="I1295" s="157"/>
      <c r="J1295" s="330">
        <v>637005</v>
      </c>
      <c r="K1295" s="329">
        <v>246851</v>
      </c>
      <c r="L1295" s="157"/>
      <c r="M1295" s="360">
        <f t="shared" ref="M1295:M1317" si="142">J1295</f>
        <v>637005</v>
      </c>
      <c r="N1295" s="237">
        <f t="shared" ref="N1295:N1317" si="143">K1295</f>
        <v>246851</v>
      </c>
      <c r="O1295" s="361"/>
      <c r="P1295" s="361"/>
      <c r="Q1295" s="361" t="s">
        <v>698</v>
      </c>
      <c r="R1295" s="362">
        <f>IF(Q1295="ekrk",INDEX(indexy_SDcast!$A:$C,MATCH($M1295,indexy_SDcast!$A:$A,0),2),"")</f>
        <v>6</v>
      </c>
      <c r="S1295" s="236"/>
      <c r="T1295" s="364">
        <f>M1295</f>
        <v>637005</v>
      </c>
      <c r="U1295" s="365">
        <f>N1295</f>
        <v>246851</v>
      </c>
      <c r="V1295" s="365">
        <f>IF($Q1295="ekrk",IF($R1295="data",IFERROR(INDEX(data!$A:$ALL,MATCH($M1295,data!$A:$A,0),MATCH(V$2,data!$1:$1,0)),"#data"),IFERROR(U1295*INDEX(indexy_SDcast!$A:$ALI,MATCH($R1295,indexy_SDcast!$K:$K,0),MATCH(V$2,indexy_SDcast!$2:$2,0)),"#ekrk")),"#popis")</f>
        <v>251360.21426294377</v>
      </c>
      <c r="W1295" s="365">
        <f>IF($Q1295="ekrk",IF($R1295="data",IFERROR(INDEX(data!$A:$ALL,MATCH($M1295,data!$A:$A,0),MATCH(W$2,data!$1:$1,0)),"#data"),IFERROR(V1295*INDEX(indexy_SDcast!$A:$ALI,MATCH($R1295,indexy_SDcast!$K:$K,0),MATCH(W$2,indexy_SDcast!$2:$2,0)),"#ekrk")),"#popis")</f>
        <v>258615.31077730167</v>
      </c>
      <c r="X1295" s="365">
        <f>IF($Q1295="ekrk",IF($R1295="data",IFERROR(INDEX(data!$A:$ALL,MATCH($M1295,data!$A:$A,0),MATCH(X$2,data!$1:$1,0)),"#data"),IFERROR(W1295*INDEX(indexy_SDcast!$A:$ALI,MATCH($R1295,indexy_SDcast!$K:$K,0),MATCH(X$2,indexy_SDcast!$2:$2,0)),"#ekrk")),"#popis")</f>
        <v>267082.49686490902</v>
      </c>
      <c r="Y1295" s="362">
        <f>IF($Q1295="ekrk",IF($R1295="data",IFERROR(INDEX(data!$A:$ALL,MATCH($M1295,data!$A:$A,0),MATCH(Y$2,data!$1:$1,0)),"#data"),IFERROR(X1295*INDEX(indexy_SDcast!$A:$ALI,MATCH($R1295,indexy_SDcast!$K:$K,0),MATCH(Y$2,indexy_SDcast!$2:$2,0)),"#ekrk")),"#popis")</f>
        <v>276383.34615941398</v>
      </c>
    </row>
    <row r="1296" spans="1:44" s="18" customFormat="1" x14ac:dyDescent="0.25">
      <c r="A1296" s="333" t="s">
        <v>737</v>
      </c>
      <c r="B1296" s="334">
        <v>327293.57820000604</v>
      </c>
      <c r="C1296" s="164"/>
      <c r="D1296" s="333" t="s">
        <v>737</v>
      </c>
      <c r="E1296" s="334">
        <v>327293.57820000604</v>
      </c>
      <c r="F1296" s="164"/>
      <c r="G1296" s="333" t="s">
        <v>737</v>
      </c>
      <c r="H1296" s="334">
        <v>327293.57820000598</v>
      </c>
      <c r="I1296" s="164"/>
      <c r="J1296" s="333" t="s">
        <v>737</v>
      </c>
      <c r="K1296" s="334">
        <f>327293.578200006-(H1315-K1315)</f>
        <v>297293.57820000598</v>
      </c>
      <c r="L1296" s="164"/>
      <c r="M1296" s="358" t="str">
        <f t="shared" si="142"/>
        <v>D75REC</v>
      </c>
      <c r="N1296" s="239">
        <f t="shared" si="143"/>
        <v>297293.57820000598</v>
      </c>
      <c r="O1296" s="243"/>
      <c r="P1296" s="243">
        <f>MATCH(Q1296,Q1297:Q$1550,0)</f>
        <v>37</v>
      </c>
      <c r="Q1296" s="243" t="s">
        <v>697</v>
      </c>
      <c r="R1296" s="359" t="str">
        <f>IF(Q1296="ekrk",INDEX(indexy_SDcast!$A:$C,MATCH($M1296,indexy_SDcast!$A:$A,0),2),"")</f>
        <v/>
      </c>
      <c r="S1296" s="240"/>
      <c r="T1296" s="363" t="str">
        <f>M1296</f>
        <v>D75REC</v>
      </c>
      <c r="U1296" s="244">
        <f>SUM(U1297:U1332)</f>
        <v>297293.57820000616</v>
      </c>
      <c r="V1296" s="244">
        <f>SUM(V1297:V1332)</f>
        <v>254249.21515261394</v>
      </c>
      <c r="W1296" s="244">
        <f>SUM(W1297:W1332)</f>
        <v>270297.91285637993</v>
      </c>
      <c r="X1296" s="244">
        <f>SUM(X1297:X1332)</f>
        <v>284007.35927480075</v>
      </c>
      <c r="Y1296" s="359">
        <f>SUM(Y1297:Y1332)</f>
        <v>288472.78896404768</v>
      </c>
      <c r="Z1296" s="58"/>
      <c r="AA1296" s="58"/>
      <c r="AB1296" s="58"/>
      <c r="AC1296" s="58"/>
      <c r="AD1296" s="58"/>
      <c r="AE1296" s="58"/>
      <c r="AF1296" s="58"/>
      <c r="AG1296" s="58"/>
      <c r="AH1296" s="58"/>
      <c r="AI1296" s="58"/>
      <c r="AJ1296" s="58"/>
      <c r="AK1296" s="58"/>
      <c r="AL1296" s="58"/>
      <c r="AM1296" s="58"/>
      <c r="AN1296" s="58"/>
      <c r="AO1296" s="58"/>
      <c r="AP1296" s="58"/>
      <c r="AQ1296" s="58"/>
      <c r="AR1296" s="58"/>
    </row>
    <row r="1297" spans="1:25" x14ac:dyDescent="0.25">
      <c r="A1297" s="330">
        <v>160000</v>
      </c>
      <c r="B1297" s="329">
        <v>23642.113010000001</v>
      </c>
      <c r="C1297" s="157"/>
      <c r="D1297" s="330">
        <v>160000</v>
      </c>
      <c r="E1297" s="329">
        <v>23642.113010000001</v>
      </c>
      <c r="F1297" s="157"/>
      <c r="G1297" s="330">
        <v>160000</v>
      </c>
      <c r="H1297" s="329">
        <v>23642.113010000001</v>
      </c>
      <c r="I1297" s="157"/>
      <c r="J1297" s="330">
        <v>160000</v>
      </c>
      <c r="K1297" s="329">
        <v>23642.113010000001</v>
      </c>
      <c r="L1297" s="157"/>
      <c r="M1297" s="360">
        <f t="shared" si="142"/>
        <v>160000</v>
      </c>
      <c r="N1297" s="237">
        <f t="shared" si="143"/>
        <v>23642.113010000001</v>
      </c>
      <c r="O1297" s="361"/>
      <c r="P1297" s="361"/>
      <c r="Q1297" s="361" t="s">
        <v>698</v>
      </c>
      <c r="R1297" s="362">
        <f>IF(Q1297="ekrk",INDEX(indexy_SDcast!$A:$C,MATCH($M1297,indexy_SDcast!$A:$A,0),2),"")</f>
        <v>22</v>
      </c>
      <c r="S1297" s="236"/>
      <c r="T1297" s="364">
        <f>M1297</f>
        <v>160000</v>
      </c>
      <c r="U1297" s="365">
        <f t="shared" ref="U1297:U1326" si="144">N1297</f>
        <v>23642.113010000001</v>
      </c>
      <c r="V1297" s="365">
        <f>IF($Q1297="ekrk",IF($R1297="data",IFERROR(INDEX(data!$A:$ALL,MATCH($M1297,data!$A:$A,0),MATCH(V$2,data!$1:$1,0)),"#data"),IFERROR(U1297*INDEX(indexy_SDcast!$A:$ALI,MATCH($R1297,indexy_SDcast!$K:$K,0),MATCH(V$2,indexy_SDcast!$2:$2,0)),"#ekrk")),"#popis")</f>
        <v>23642.113010000001</v>
      </c>
      <c r="W1297" s="365">
        <f>IF($Q1297="ekrk",IF($R1297="data",IFERROR(INDEX(data!$A:$ALL,MATCH($M1297,data!$A:$A,0),MATCH(W$2,data!$1:$1,0)),"#data"),IFERROR(V1297*INDEX(indexy_SDcast!$A:$ALI,MATCH($R1297,indexy_SDcast!$K:$K,0),MATCH(W$2,indexy_SDcast!$2:$2,0)),"#ekrk")),"#popis")</f>
        <v>23642.113010000001</v>
      </c>
      <c r="X1297" s="365">
        <f>IF($Q1297="ekrk",IF($R1297="data",IFERROR(INDEX(data!$A:$ALL,MATCH($M1297,data!$A:$A,0),MATCH(X$2,data!$1:$1,0)),"#data"),IFERROR(W1297*INDEX(indexy_SDcast!$A:$ALI,MATCH($R1297,indexy_SDcast!$K:$K,0),MATCH(X$2,indexy_SDcast!$2:$2,0)),"#ekrk")),"#popis")</f>
        <v>23642.113010000001</v>
      </c>
      <c r="Y1297" s="362">
        <f>IF($Q1297="ekrk",IF($R1297="data",IFERROR(INDEX(data!$A:$ALL,MATCH($M1297,data!$A:$A,0),MATCH(Y$2,data!$1:$1,0)),"#data"),IFERROR(X1297*INDEX(indexy_SDcast!$A:$ALI,MATCH($R1297,indexy_SDcast!$K:$K,0),MATCH(Y$2,indexy_SDcast!$2:$2,0)),"#ekrk")),"#popis")</f>
        <v>23642.113010000001</v>
      </c>
    </row>
    <row r="1298" spans="1:25" x14ac:dyDescent="0.25">
      <c r="A1298" s="330">
        <v>170000</v>
      </c>
      <c r="B1298" s="329">
        <v>16309.236100000002</v>
      </c>
      <c r="C1298" s="157"/>
      <c r="D1298" s="330">
        <v>170000</v>
      </c>
      <c r="E1298" s="329">
        <v>16309.236100000002</v>
      </c>
      <c r="F1298" s="157"/>
      <c r="G1298" s="330">
        <v>170000</v>
      </c>
      <c r="H1298" s="329">
        <v>16309.236100000002</v>
      </c>
      <c r="I1298" s="157"/>
      <c r="J1298" s="330">
        <v>170000</v>
      </c>
      <c r="K1298" s="329">
        <v>16309.236100000002</v>
      </c>
      <c r="L1298" s="157"/>
      <c r="M1298" s="360">
        <f t="shared" si="142"/>
        <v>170000</v>
      </c>
      <c r="N1298" s="237">
        <f t="shared" si="143"/>
        <v>16309.236100000002</v>
      </c>
      <c r="O1298" s="361"/>
      <c r="P1298" s="361"/>
      <c r="Q1298" s="361" t="s">
        <v>698</v>
      </c>
      <c r="R1298" s="362">
        <f>IF(Q1298="ekrk",INDEX(indexy_SDcast!$A:$C,MATCH($M1298,indexy_SDcast!$A:$A,0),2),"")</f>
        <v>22</v>
      </c>
      <c r="S1298" s="236"/>
      <c r="T1298" s="364">
        <f>M1298</f>
        <v>170000</v>
      </c>
      <c r="U1298" s="365">
        <f t="shared" si="144"/>
        <v>16309.236100000002</v>
      </c>
      <c r="V1298" s="365">
        <f>IF($Q1298="ekrk",IF($R1298="data",IFERROR(INDEX(data!$A:$ALL,MATCH($M1298,data!$A:$A,0),MATCH(V$2,data!$1:$1,0)),"#data"),IFERROR(U1298*INDEX(indexy_SDcast!$A:$ALI,MATCH($R1298,indexy_SDcast!$K:$K,0),MATCH(V$2,indexy_SDcast!$2:$2,0)),"#ekrk")),"#popis")</f>
        <v>16309.236100000002</v>
      </c>
      <c r="W1298" s="365">
        <f>IF($Q1298="ekrk",IF($R1298="data",IFERROR(INDEX(data!$A:$ALL,MATCH($M1298,data!$A:$A,0),MATCH(W$2,data!$1:$1,0)),"#data"),IFERROR(V1298*INDEX(indexy_SDcast!$A:$ALI,MATCH($R1298,indexy_SDcast!$K:$K,0),MATCH(W$2,indexy_SDcast!$2:$2,0)),"#ekrk")),"#popis")</f>
        <v>16309.236100000002</v>
      </c>
      <c r="X1298" s="365">
        <f>IF($Q1298="ekrk",IF($R1298="data",IFERROR(INDEX(data!$A:$ALL,MATCH($M1298,data!$A:$A,0),MATCH(X$2,data!$1:$1,0)),"#data"),IFERROR(W1298*INDEX(indexy_SDcast!$A:$ALI,MATCH($R1298,indexy_SDcast!$K:$K,0),MATCH(X$2,indexy_SDcast!$2:$2,0)),"#ekrk")),"#popis")</f>
        <v>16309.236100000002</v>
      </c>
      <c r="Y1298" s="362">
        <f>IF($Q1298="ekrk",IF($R1298="data",IFERROR(INDEX(data!$A:$ALL,MATCH($M1298,data!$A:$A,0),MATCH(Y$2,data!$1:$1,0)),"#data"),IFERROR(X1298*INDEX(indexy_SDcast!$A:$ALI,MATCH($R1298,indexy_SDcast!$K:$K,0),MATCH(Y$2,indexy_SDcast!$2:$2,0)),"#ekrk")),"#popis")</f>
        <v>16309.236100000002</v>
      </c>
    </row>
    <row r="1299" spans="1:25" x14ac:dyDescent="0.25">
      <c r="A1299" s="330">
        <v>193000</v>
      </c>
      <c r="B1299" s="329">
        <v>3313.3451599999999</v>
      </c>
      <c r="C1299" s="157"/>
      <c r="D1299" s="330">
        <v>193000</v>
      </c>
      <c r="E1299" s="329">
        <v>3313.3451599999999</v>
      </c>
      <c r="F1299" s="157"/>
      <c r="G1299" s="330">
        <v>193000</v>
      </c>
      <c r="H1299" s="329">
        <v>3313.3451599999999</v>
      </c>
      <c r="I1299" s="157"/>
      <c r="J1299" s="330">
        <v>193000</v>
      </c>
      <c r="K1299" s="329">
        <v>3313.3451599999999</v>
      </c>
      <c r="L1299" s="157"/>
      <c r="M1299" s="360">
        <f t="shared" si="142"/>
        <v>193000</v>
      </c>
      <c r="N1299" s="237">
        <f t="shared" si="143"/>
        <v>3313.3451599999999</v>
      </c>
      <c r="O1299" s="361"/>
      <c r="P1299" s="361"/>
      <c r="Q1299" s="361" t="s">
        <v>698</v>
      </c>
      <c r="R1299" s="362">
        <f>IF(Q1299="ekrk",INDEX(indexy_SDcast!$A:$C,MATCH($M1299,indexy_SDcast!$A:$A,0),2),"")</f>
        <v>9</v>
      </c>
      <c r="S1299" s="236"/>
      <c r="T1299" s="364">
        <f>M1299</f>
        <v>193000</v>
      </c>
      <c r="U1299" s="365">
        <f t="shared" si="144"/>
        <v>3313.3451599999999</v>
      </c>
      <c r="V1299" s="365">
        <f>IF($Q1299="ekrk",IF($R1299="data",IFERROR(INDEX(data!$A:$ALL,MATCH($M1299,data!$A:$A,0),MATCH(V$2,data!$1:$1,0)),"#data"),IFERROR(U1299*INDEX(indexy_SDcast!$A:$ALI,MATCH($R1299,indexy_SDcast!$K:$K,0),MATCH(V$2,indexy_SDcast!$2:$2,0)),"#ekrk")),"#popis")</f>
        <v>3313.3451599999999</v>
      </c>
      <c r="W1299" s="365">
        <f>IF($Q1299="ekrk",IF($R1299="data",IFERROR(INDEX(data!$A:$ALL,MATCH($M1299,data!$A:$A,0),MATCH(W$2,data!$1:$1,0)),"#data"),IFERROR(V1299*INDEX(indexy_SDcast!$A:$ALI,MATCH($R1299,indexy_SDcast!$K:$K,0),MATCH(W$2,indexy_SDcast!$2:$2,0)),"#ekrk")),"#popis")</f>
        <v>3313.3451599999999</v>
      </c>
      <c r="X1299" s="365">
        <f>IF($Q1299="ekrk",IF($R1299="data",IFERROR(INDEX(data!$A:$ALL,MATCH($M1299,data!$A:$A,0),MATCH(X$2,data!$1:$1,0)),"#data"),IFERROR(W1299*INDEX(indexy_SDcast!$A:$ALI,MATCH($R1299,indexy_SDcast!$K:$K,0),MATCH(X$2,indexy_SDcast!$2:$2,0)),"#ekrk")),"#popis")</f>
        <v>3313.3451599999999</v>
      </c>
      <c r="Y1299" s="362">
        <f>IF($Q1299="ekrk",IF($R1299="data",IFERROR(INDEX(data!$A:$ALL,MATCH($M1299,data!$A:$A,0),MATCH(Y$2,data!$1:$1,0)),"#data"),IFERROR(X1299*INDEX(indexy_SDcast!$A:$ALI,MATCH($R1299,indexy_SDcast!$K:$K,0),MATCH(Y$2,indexy_SDcast!$2:$2,0)),"#ekrk")),"#popis")</f>
        <v>3313.3451599999999</v>
      </c>
    </row>
    <row r="1300" spans="1:25" x14ac:dyDescent="0.25">
      <c r="A1300" s="330">
        <v>194000</v>
      </c>
      <c r="B1300" s="329">
        <v>-1833.6645799999999</v>
      </c>
      <c r="C1300" s="157"/>
      <c r="D1300" s="330">
        <v>194000</v>
      </c>
      <c r="E1300" s="329">
        <v>-1833.6645799999999</v>
      </c>
      <c r="F1300" s="157"/>
      <c r="G1300" s="330">
        <v>194000</v>
      </c>
      <c r="H1300" s="329">
        <v>-1833.6645799999999</v>
      </c>
      <c r="I1300" s="157"/>
      <c r="J1300" s="330">
        <v>194000</v>
      </c>
      <c r="K1300" s="329">
        <v>-1833.6645799999999</v>
      </c>
      <c r="L1300" s="157"/>
      <c r="M1300" s="360">
        <f t="shared" si="142"/>
        <v>194000</v>
      </c>
      <c r="N1300" s="237">
        <f t="shared" si="143"/>
        <v>-1833.6645799999999</v>
      </c>
      <c r="O1300" s="361"/>
      <c r="P1300" s="361"/>
      <c r="Q1300" s="361" t="s">
        <v>698</v>
      </c>
      <c r="R1300" s="362">
        <f>IF(Q1300="ekrk",INDEX(indexy_SDcast!$A:$C,MATCH($M1300,indexy_SDcast!$A:$A,0),2),"")</f>
        <v>38</v>
      </c>
      <c r="S1300" s="236"/>
      <c r="T1300" s="364">
        <f t="shared" ref="T1300:T1363" si="145">M1300</f>
        <v>194000</v>
      </c>
      <c r="U1300" s="365">
        <f t="shared" si="144"/>
        <v>-1833.6645799999999</v>
      </c>
      <c r="V1300" s="365">
        <f>IF($Q1300="ekrk",IF($R1300="data",IFERROR(INDEX(data!$A:$ALL,MATCH($M1300,data!$A:$A,0),MATCH(V$2,data!$1:$1,0)),"#data"),IFERROR(U1300*INDEX(indexy_SDcast!$A:$ALI,MATCH($R1300,indexy_SDcast!$K:$K,0),MATCH(V$2,indexy_SDcast!$2:$2,0)),"#ekrk")),"#popis")</f>
        <v>-1898.3776079159261</v>
      </c>
      <c r="W1300" s="365">
        <f>IF($Q1300="ekrk",IF($R1300="data",IFERROR(INDEX(data!$A:$ALL,MATCH($M1300,data!$A:$A,0),MATCH(W$2,data!$1:$1,0)),"#data"),IFERROR(V1300*INDEX(indexy_SDcast!$A:$ALI,MATCH($R1300,indexy_SDcast!$K:$K,0),MATCH(W$2,indexy_SDcast!$2:$2,0)),"#ekrk")),"#popis")</f>
        <v>-1985.970453065215</v>
      </c>
      <c r="X1300" s="365">
        <f>IF($Q1300="ekrk",IF($R1300="data",IFERROR(INDEX(data!$A:$ALL,MATCH($M1300,data!$A:$A,0),MATCH(X$2,data!$1:$1,0)),"#data"),IFERROR(W1300*INDEX(indexy_SDcast!$A:$ALI,MATCH($R1300,indexy_SDcast!$K:$K,0),MATCH(X$2,indexy_SDcast!$2:$2,0)),"#ekrk")),"#popis")</f>
        <v>-2088.7659927567029</v>
      </c>
      <c r="Y1300" s="362">
        <f>IF($Q1300="ekrk",IF($R1300="data",IFERROR(INDEX(data!$A:$ALL,MATCH($M1300,data!$A:$A,0),MATCH(Y$2,data!$1:$1,0)),"#data"),IFERROR(X1300*INDEX(indexy_SDcast!$A:$ALI,MATCH($R1300,indexy_SDcast!$K:$K,0),MATCH(Y$2,indexy_SDcast!$2:$2,0)),"#ekrk")),"#popis")</f>
        <v>-2204.6432946438022</v>
      </c>
    </row>
    <row r="1301" spans="1:25" x14ac:dyDescent="0.25">
      <c r="A1301" s="330">
        <v>222000</v>
      </c>
      <c r="B1301" s="329">
        <v>310.84354999999999</v>
      </c>
      <c r="C1301" s="157"/>
      <c r="D1301" s="330">
        <v>222000</v>
      </c>
      <c r="E1301" s="329">
        <v>310.84354999999999</v>
      </c>
      <c r="F1301" s="157"/>
      <c r="G1301" s="330">
        <v>222000</v>
      </c>
      <c r="H1301" s="329">
        <v>310.84354999999999</v>
      </c>
      <c r="I1301" s="157"/>
      <c r="J1301" s="330">
        <v>222000</v>
      </c>
      <c r="K1301" s="329">
        <v>310.84354999999999</v>
      </c>
      <c r="L1301" s="157"/>
      <c r="M1301" s="360">
        <f t="shared" si="142"/>
        <v>222000</v>
      </c>
      <c r="N1301" s="237">
        <f t="shared" si="143"/>
        <v>310.84354999999999</v>
      </c>
      <c r="O1301" s="361"/>
      <c r="P1301" s="361"/>
      <c r="Q1301" s="361" t="s">
        <v>698</v>
      </c>
      <c r="R1301" s="362">
        <f>IF(Q1301="ekrk",INDEX(indexy_SDcast!$A:$C,MATCH($M1301,indexy_SDcast!$A:$A,0),2),"")</f>
        <v>9</v>
      </c>
      <c r="S1301" s="236"/>
      <c r="T1301" s="364">
        <f t="shared" si="145"/>
        <v>222000</v>
      </c>
      <c r="U1301" s="365">
        <f t="shared" si="144"/>
        <v>310.84354999999999</v>
      </c>
      <c r="V1301" s="365">
        <f>IF($Q1301="ekrk",IF($R1301="data",IFERROR(INDEX(data!$A:$ALL,MATCH($M1301,data!$A:$A,0),MATCH(V$2,data!$1:$1,0)),"#data"),IFERROR(U1301*INDEX(indexy_SDcast!$A:$ALI,MATCH($R1301,indexy_SDcast!$K:$K,0),MATCH(V$2,indexy_SDcast!$2:$2,0)),"#ekrk")),"#popis")</f>
        <v>310.84354999999999</v>
      </c>
      <c r="W1301" s="365">
        <f>IF($Q1301="ekrk",IF($R1301="data",IFERROR(INDEX(data!$A:$ALL,MATCH($M1301,data!$A:$A,0),MATCH(W$2,data!$1:$1,0)),"#data"),IFERROR(V1301*INDEX(indexy_SDcast!$A:$ALI,MATCH($R1301,indexy_SDcast!$K:$K,0),MATCH(W$2,indexy_SDcast!$2:$2,0)),"#ekrk")),"#popis")</f>
        <v>310.84354999999999</v>
      </c>
      <c r="X1301" s="365">
        <f>IF($Q1301="ekrk",IF($R1301="data",IFERROR(INDEX(data!$A:$ALL,MATCH($M1301,data!$A:$A,0),MATCH(X$2,data!$1:$1,0)),"#data"),IFERROR(W1301*INDEX(indexy_SDcast!$A:$ALI,MATCH($R1301,indexy_SDcast!$K:$K,0),MATCH(X$2,indexy_SDcast!$2:$2,0)),"#ekrk")),"#popis")</f>
        <v>310.84354999999999</v>
      </c>
      <c r="Y1301" s="362">
        <f>IF($Q1301="ekrk",IF($R1301="data",IFERROR(INDEX(data!$A:$ALL,MATCH($M1301,data!$A:$A,0),MATCH(Y$2,data!$1:$1,0)),"#data"),IFERROR(X1301*INDEX(indexy_SDcast!$A:$ALI,MATCH($R1301,indexy_SDcast!$K:$K,0),MATCH(Y$2,indexy_SDcast!$2:$2,0)),"#ekrk")),"#popis")</f>
        <v>310.84354999999999</v>
      </c>
    </row>
    <row r="1302" spans="1:25" x14ac:dyDescent="0.25">
      <c r="A1302" s="330">
        <v>222001</v>
      </c>
      <c r="B1302" s="329">
        <v>776.3962700000003</v>
      </c>
      <c r="C1302" s="157"/>
      <c r="D1302" s="330">
        <v>222001</v>
      </c>
      <c r="E1302" s="329">
        <v>776.3962700000003</v>
      </c>
      <c r="F1302" s="157"/>
      <c r="G1302" s="330">
        <v>222001</v>
      </c>
      <c r="H1302" s="329">
        <v>776.3962700000003</v>
      </c>
      <c r="I1302" s="157"/>
      <c r="J1302" s="330">
        <v>222001</v>
      </c>
      <c r="K1302" s="329">
        <v>776.3962700000003</v>
      </c>
      <c r="L1302" s="157"/>
      <c r="M1302" s="360">
        <f t="shared" si="142"/>
        <v>222001</v>
      </c>
      <c r="N1302" s="237">
        <f t="shared" si="143"/>
        <v>776.3962700000003</v>
      </c>
      <c r="O1302" s="361"/>
      <c r="P1302" s="361"/>
      <c r="Q1302" s="361" t="s">
        <v>698</v>
      </c>
      <c r="R1302" s="362">
        <f>IF(Q1302="ekrk",INDEX(indexy_SDcast!$A:$C,MATCH($M1302,indexy_SDcast!$A:$A,0),2),"")</f>
        <v>9</v>
      </c>
      <c r="S1302" s="236"/>
      <c r="T1302" s="364">
        <f t="shared" si="145"/>
        <v>222001</v>
      </c>
      <c r="U1302" s="365">
        <f t="shared" si="144"/>
        <v>776.3962700000003</v>
      </c>
      <c r="V1302" s="365">
        <f>IF($Q1302="ekrk",IF($R1302="data",IFERROR(INDEX(data!$A:$ALL,MATCH($M1302,data!$A:$A,0),MATCH(V$2,data!$1:$1,0)),"#data"),IFERROR(U1302*INDEX(indexy_SDcast!$A:$ALI,MATCH($R1302,indexy_SDcast!$K:$K,0),MATCH(V$2,indexy_SDcast!$2:$2,0)),"#ekrk")),"#popis")</f>
        <v>776.3962700000003</v>
      </c>
      <c r="W1302" s="365">
        <f>IF($Q1302="ekrk",IF($R1302="data",IFERROR(INDEX(data!$A:$ALL,MATCH($M1302,data!$A:$A,0),MATCH(W$2,data!$1:$1,0)),"#data"),IFERROR(V1302*INDEX(indexy_SDcast!$A:$ALI,MATCH($R1302,indexy_SDcast!$K:$K,0),MATCH(W$2,indexy_SDcast!$2:$2,0)),"#ekrk")),"#popis")</f>
        <v>776.3962700000003</v>
      </c>
      <c r="X1302" s="365">
        <f>IF($Q1302="ekrk",IF($R1302="data",IFERROR(INDEX(data!$A:$ALL,MATCH($M1302,data!$A:$A,0),MATCH(X$2,data!$1:$1,0)),"#data"),IFERROR(W1302*INDEX(indexy_SDcast!$A:$ALI,MATCH($R1302,indexy_SDcast!$K:$K,0),MATCH(X$2,indexy_SDcast!$2:$2,0)),"#ekrk")),"#popis")</f>
        <v>776.3962700000003</v>
      </c>
      <c r="Y1302" s="362">
        <f>IF($Q1302="ekrk",IF($R1302="data",IFERROR(INDEX(data!$A:$ALL,MATCH($M1302,data!$A:$A,0),MATCH(Y$2,data!$1:$1,0)),"#data"),IFERROR(X1302*INDEX(indexy_SDcast!$A:$ALI,MATCH($R1302,indexy_SDcast!$K:$K,0),MATCH(Y$2,indexy_SDcast!$2:$2,0)),"#ekrk")),"#popis")</f>
        <v>776.3962700000003</v>
      </c>
    </row>
    <row r="1303" spans="1:25" x14ac:dyDescent="0.25">
      <c r="A1303" s="330">
        <v>222002</v>
      </c>
      <c r="B1303" s="329">
        <v>31.01286</v>
      </c>
      <c r="C1303" s="157"/>
      <c r="D1303" s="330">
        <v>222002</v>
      </c>
      <c r="E1303" s="329">
        <v>31.01286</v>
      </c>
      <c r="F1303" s="157"/>
      <c r="G1303" s="330">
        <v>222002</v>
      </c>
      <c r="H1303" s="329">
        <v>31.01286</v>
      </c>
      <c r="I1303" s="157"/>
      <c r="J1303" s="330">
        <v>222002</v>
      </c>
      <c r="K1303" s="329">
        <v>31.01286</v>
      </c>
      <c r="L1303" s="157"/>
      <c r="M1303" s="360">
        <f t="shared" si="142"/>
        <v>222002</v>
      </c>
      <c r="N1303" s="237">
        <f t="shared" si="143"/>
        <v>31.01286</v>
      </c>
      <c r="O1303" s="361"/>
      <c r="P1303" s="361"/>
      <c r="Q1303" s="361" t="s">
        <v>698</v>
      </c>
      <c r="R1303" s="362">
        <f>IF(Q1303="ekrk",INDEX(indexy_SDcast!$A:$C,MATCH($M1303,indexy_SDcast!$A:$A,0),2),"")</f>
        <v>9</v>
      </c>
      <c r="S1303" s="236"/>
      <c r="T1303" s="364">
        <f t="shared" si="145"/>
        <v>222002</v>
      </c>
      <c r="U1303" s="365">
        <f t="shared" si="144"/>
        <v>31.01286</v>
      </c>
      <c r="V1303" s="365">
        <f>IF($Q1303="ekrk",IF($R1303="data",IFERROR(INDEX(data!$A:$ALL,MATCH($M1303,data!$A:$A,0),MATCH(V$2,data!$1:$1,0)),"#data"),IFERROR(U1303*INDEX(indexy_SDcast!$A:$ALI,MATCH($R1303,indexy_SDcast!$K:$K,0),MATCH(V$2,indexy_SDcast!$2:$2,0)),"#ekrk")),"#popis")</f>
        <v>31.01286</v>
      </c>
      <c r="W1303" s="365">
        <f>IF($Q1303="ekrk",IF($R1303="data",IFERROR(INDEX(data!$A:$ALL,MATCH($M1303,data!$A:$A,0),MATCH(W$2,data!$1:$1,0)),"#data"),IFERROR(V1303*INDEX(indexy_SDcast!$A:$ALI,MATCH($R1303,indexy_SDcast!$K:$K,0),MATCH(W$2,indexy_SDcast!$2:$2,0)),"#ekrk")),"#popis")</f>
        <v>31.01286</v>
      </c>
      <c r="X1303" s="365">
        <f>IF($Q1303="ekrk",IF($R1303="data",IFERROR(INDEX(data!$A:$ALL,MATCH($M1303,data!$A:$A,0),MATCH(X$2,data!$1:$1,0)),"#data"),IFERROR(W1303*INDEX(indexy_SDcast!$A:$ALI,MATCH($R1303,indexy_SDcast!$K:$K,0),MATCH(X$2,indexy_SDcast!$2:$2,0)),"#ekrk")),"#popis")</f>
        <v>31.01286</v>
      </c>
      <c r="Y1303" s="362">
        <f>IF($Q1303="ekrk",IF($R1303="data",IFERROR(INDEX(data!$A:$ALL,MATCH($M1303,data!$A:$A,0),MATCH(Y$2,data!$1:$1,0)),"#data"),IFERROR(X1303*INDEX(indexy_SDcast!$A:$ALI,MATCH($R1303,indexy_SDcast!$K:$K,0),MATCH(Y$2,indexy_SDcast!$2:$2,0)),"#ekrk")),"#popis")</f>
        <v>31.01286</v>
      </c>
    </row>
    <row r="1304" spans="1:25" x14ac:dyDescent="0.25">
      <c r="A1304" s="330">
        <v>222003</v>
      </c>
      <c r="B1304" s="329">
        <v>80997.454069999963</v>
      </c>
      <c r="C1304" s="157"/>
      <c r="D1304" s="330">
        <v>222003</v>
      </c>
      <c r="E1304" s="329">
        <v>80997.454069999963</v>
      </c>
      <c r="F1304" s="157"/>
      <c r="G1304" s="330">
        <v>222003</v>
      </c>
      <c r="H1304" s="329">
        <v>80997.454069999963</v>
      </c>
      <c r="I1304" s="157"/>
      <c r="J1304" s="330">
        <v>222003</v>
      </c>
      <c r="K1304" s="329">
        <v>80997.454069999963</v>
      </c>
      <c r="L1304" s="157"/>
      <c r="M1304" s="360">
        <f t="shared" si="142"/>
        <v>222003</v>
      </c>
      <c r="N1304" s="237">
        <f t="shared" si="143"/>
        <v>80997.454069999963</v>
      </c>
      <c r="O1304" s="361"/>
      <c r="P1304" s="361"/>
      <c r="Q1304" s="361" t="s">
        <v>698</v>
      </c>
      <c r="R1304" s="362">
        <f>IF(Q1304="ekrk",INDEX(indexy_SDcast!$A:$C,MATCH($M1304,indexy_SDcast!$A:$A,0),2),"")</f>
        <v>9</v>
      </c>
      <c r="S1304" s="236"/>
      <c r="T1304" s="364">
        <f t="shared" si="145"/>
        <v>222003</v>
      </c>
      <c r="U1304" s="365">
        <f t="shared" si="144"/>
        <v>80997.454069999963</v>
      </c>
      <c r="V1304" s="365">
        <f>IF($Q1304="ekrk",IF($R1304="data",IFERROR(INDEX(data!$A:$ALL,MATCH($M1304,data!$A:$A,0),MATCH(V$2,data!$1:$1,0)),"#data"),IFERROR(U1304*INDEX(indexy_SDcast!$A:$ALI,MATCH($R1304,indexy_SDcast!$K:$K,0),MATCH(V$2,indexy_SDcast!$2:$2,0)),"#ekrk")),"#popis")</f>
        <v>80997.454069999963</v>
      </c>
      <c r="W1304" s="365">
        <f>IF($Q1304="ekrk",IF($R1304="data",IFERROR(INDEX(data!$A:$ALL,MATCH($M1304,data!$A:$A,0),MATCH(W$2,data!$1:$1,0)),"#data"),IFERROR(V1304*INDEX(indexy_SDcast!$A:$ALI,MATCH($R1304,indexy_SDcast!$K:$K,0),MATCH(W$2,indexy_SDcast!$2:$2,0)),"#ekrk")),"#popis")</f>
        <v>80997.454069999963</v>
      </c>
      <c r="X1304" s="365">
        <f>IF($Q1304="ekrk",IF($R1304="data",IFERROR(INDEX(data!$A:$ALL,MATCH($M1304,data!$A:$A,0),MATCH(X$2,data!$1:$1,0)),"#data"),IFERROR(W1304*INDEX(indexy_SDcast!$A:$ALI,MATCH($R1304,indexy_SDcast!$K:$K,0),MATCH(X$2,indexy_SDcast!$2:$2,0)),"#ekrk")),"#popis")</f>
        <v>80997.454069999963</v>
      </c>
      <c r="Y1304" s="362">
        <f>IF($Q1304="ekrk",IF($R1304="data",IFERROR(INDEX(data!$A:$ALL,MATCH($M1304,data!$A:$A,0),MATCH(Y$2,data!$1:$1,0)),"#data"),IFERROR(X1304*INDEX(indexy_SDcast!$A:$ALI,MATCH($R1304,indexy_SDcast!$K:$K,0),MATCH(Y$2,indexy_SDcast!$2:$2,0)),"#ekrk")),"#popis")</f>
        <v>80997.454069999963</v>
      </c>
    </row>
    <row r="1305" spans="1:25" x14ac:dyDescent="0.25">
      <c r="A1305" s="330">
        <v>290000</v>
      </c>
      <c r="B1305" s="329">
        <v>1275.5233800000001</v>
      </c>
      <c r="C1305" s="157"/>
      <c r="D1305" s="330">
        <v>290000</v>
      </c>
      <c r="E1305" s="329">
        <v>1275.5233800000001</v>
      </c>
      <c r="F1305" s="157"/>
      <c r="G1305" s="330">
        <v>290000</v>
      </c>
      <c r="H1305" s="329">
        <v>1275.5233800000001</v>
      </c>
      <c r="I1305" s="157"/>
      <c r="J1305" s="330">
        <v>290000</v>
      </c>
      <c r="K1305" s="329">
        <v>1275.5233800000001</v>
      </c>
      <c r="L1305" s="157"/>
      <c r="M1305" s="360">
        <f t="shared" si="142"/>
        <v>290000</v>
      </c>
      <c r="N1305" s="237">
        <f t="shared" si="143"/>
        <v>1275.5233800000001</v>
      </c>
      <c r="O1305" s="361"/>
      <c r="P1305" s="361"/>
      <c r="Q1305" s="361" t="s">
        <v>698</v>
      </c>
      <c r="R1305" s="362">
        <f>IF(Q1305="ekrk",INDEX(indexy_SDcast!$A:$C,MATCH($M1305,indexy_SDcast!$A:$A,0),2),"")</f>
        <v>9</v>
      </c>
      <c r="S1305" s="236"/>
      <c r="T1305" s="364">
        <f t="shared" si="145"/>
        <v>290000</v>
      </c>
      <c r="U1305" s="365">
        <f t="shared" si="144"/>
        <v>1275.5233800000001</v>
      </c>
      <c r="V1305" s="365">
        <f>IF($Q1305="ekrk",IF($R1305="data",IFERROR(INDEX(data!$A:$ALL,MATCH($M1305,data!$A:$A,0),MATCH(V$2,data!$1:$1,0)),"#data"),IFERROR(U1305*INDEX(indexy_SDcast!$A:$ALI,MATCH($R1305,indexy_SDcast!$K:$K,0),MATCH(V$2,indexy_SDcast!$2:$2,0)),"#ekrk")),"#popis")</f>
        <v>1275.5233800000001</v>
      </c>
      <c r="W1305" s="365">
        <f>IF($Q1305="ekrk",IF($R1305="data",IFERROR(INDEX(data!$A:$ALL,MATCH($M1305,data!$A:$A,0),MATCH(W$2,data!$1:$1,0)),"#data"),IFERROR(V1305*INDEX(indexy_SDcast!$A:$ALI,MATCH($R1305,indexy_SDcast!$K:$K,0),MATCH(W$2,indexy_SDcast!$2:$2,0)),"#ekrk")),"#popis")</f>
        <v>1275.5233800000001</v>
      </c>
      <c r="X1305" s="365">
        <f>IF($Q1305="ekrk",IF($R1305="data",IFERROR(INDEX(data!$A:$ALL,MATCH($M1305,data!$A:$A,0),MATCH(X$2,data!$1:$1,0)),"#data"),IFERROR(W1305*INDEX(indexy_SDcast!$A:$ALI,MATCH($R1305,indexy_SDcast!$K:$K,0),MATCH(X$2,indexy_SDcast!$2:$2,0)),"#ekrk")),"#popis")</f>
        <v>1275.5233800000001</v>
      </c>
      <c r="Y1305" s="362">
        <f>IF($Q1305="ekrk",IF($R1305="data",IFERROR(INDEX(data!$A:$ALL,MATCH($M1305,data!$A:$A,0),MATCH(Y$2,data!$1:$1,0)),"#data"),IFERROR(X1305*INDEX(indexy_SDcast!$A:$ALI,MATCH($R1305,indexy_SDcast!$K:$K,0),MATCH(Y$2,indexy_SDcast!$2:$2,0)),"#ekrk")),"#popis")</f>
        <v>1275.5233800000001</v>
      </c>
    </row>
    <row r="1306" spans="1:25" x14ac:dyDescent="0.25">
      <c r="A1306" s="330">
        <v>291001</v>
      </c>
      <c r="B1306" s="329">
        <v>207.80871999999999</v>
      </c>
      <c r="C1306" s="157"/>
      <c r="D1306" s="330">
        <v>291001</v>
      </c>
      <c r="E1306" s="329">
        <v>207.80871999999999</v>
      </c>
      <c r="F1306" s="157"/>
      <c r="G1306" s="330">
        <v>291001</v>
      </c>
      <c r="H1306" s="329">
        <v>207.80871999999999</v>
      </c>
      <c r="I1306" s="157"/>
      <c r="J1306" s="330">
        <v>291001</v>
      </c>
      <c r="K1306" s="329">
        <v>207.80871999999999</v>
      </c>
      <c r="L1306" s="157"/>
      <c r="M1306" s="360">
        <f t="shared" si="142"/>
        <v>291001</v>
      </c>
      <c r="N1306" s="237">
        <f t="shared" si="143"/>
        <v>207.80871999999999</v>
      </c>
      <c r="O1306" s="361"/>
      <c r="P1306" s="361"/>
      <c r="Q1306" s="361" t="s">
        <v>698</v>
      </c>
      <c r="R1306" s="362">
        <f>IF(Q1306="ekrk",INDEX(indexy_SDcast!$A:$C,MATCH($M1306,indexy_SDcast!$A:$A,0),2),"")</f>
        <v>9</v>
      </c>
      <c r="S1306" s="236"/>
      <c r="T1306" s="364">
        <f t="shared" si="145"/>
        <v>291001</v>
      </c>
      <c r="U1306" s="365">
        <f t="shared" si="144"/>
        <v>207.80871999999999</v>
      </c>
      <c r="V1306" s="365">
        <f>IF($Q1306="ekrk",IF($R1306="data",IFERROR(INDEX(data!$A:$ALL,MATCH($M1306,data!$A:$A,0),MATCH(V$2,data!$1:$1,0)),"#data"),IFERROR(U1306*INDEX(indexy_SDcast!$A:$ALI,MATCH($R1306,indexy_SDcast!$K:$K,0),MATCH(V$2,indexy_SDcast!$2:$2,0)),"#ekrk")),"#popis")</f>
        <v>207.80871999999999</v>
      </c>
      <c r="W1306" s="365">
        <f>IF($Q1306="ekrk",IF($R1306="data",IFERROR(INDEX(data!$A:$ALL,MATCH($M1306,data!$A:$A,0),MATCH(W$2,data!$1:$1,0)),"#data"),IFERROR(V1306*INDEX(indexy_SDcast!$A:$ALI,MATCH($R1306,indexy_SDcast!$K:$K,0),MATCH(W$2,indexy_SDcast!$2:$2,0)),"#ekrk")),"#popis")</f>
        <v>207.80871999999999</v>
      </c>
      <c r="X1306" s="365">
        <f>IF($Q1306="ekrk",IF($R1306="data",IFERROR(INDEX(data!$A:$ALL,MATCH($M1306,data!$A:$A,0),MATCH(X$2,data!$1:$1,0)),"#data"),IFERROR(W1306*INDEX(indexy_SDcast!$A:$ALI,MATCH($R1306,indexy_SDcast!$K:$K,0),MATCH(X$2,indexy_SDcast!$2:$2,0)),"#ekrk")),"#popis")</f>
        <v>207.80871999999999</v>
      </c>
      <c r="Y1306" s="362">
        <f>IF($Q1306="ekrk",IF($R1306="data",IFERROR(INDEX(data!$A:$ALL,MATCH($M1306,data!$A:$A,0),MATCH(Y$2,data!$1:$1,0)),"#data"),IFERROR(X1306*INDEX(indexy_SDcast!$A:$ALI,MATCH($R1306,indexy_SDcast!$K:$K,0),MATCH(Y$2,indexy_SDcast!$2:$2,0)),"#ekrk")),"#popis")</f>
        <v>207.80871999999999</v>
      </c>
    </row>
    <row r="1307" spans="1:25" x14ac:dyDescent="0.25">
      <c r="A1307" s="330">
        <v>291003</v>
      </c>
      <c r="B1307" s="329">
        <v>190.08708999999999</v>
      </c>
      <c r="C1307" s="157"/>
      <c r="D1307" s="330">
        <v>291003</v>
      </c>
      <c r="E1307" s="329">
        <v>190.08708999999999</v>
      </c>
      <c r="F1307" s="157"/>
      <c r="G1307" s="330">
        <v>291003</v>
      </c>
      <c r="H1307" s="329">
        <v>190.08708999999999</v>
      </c>
      <c r="I1307" s="157"/>
      <c r="J1307" s="330">
        <v>291003</v>
      </c>
      <c r="K1307" s="329">
        <v>190.08708999999999</v>
      </c>
      <c r="L1307" s="157"/>
      <c r="M1307" s="360">
        <f t="shared" si="142"/>
        <v>291003</v>
      </c>
      <c r="N1307" s="237">
        <f t="shared" si="143"/>
        <v>190.08708999999999</v>
      </c>
      <c r="O1307" s="361"/>
      <c r="P1307" s="361"/>
      <c r="Q1307" s="361" t="s">
        <v>698</v>
      </c>
      <c r="R1307" s="362">
        <f>IF(Q1307="ekrk",INDEX(indexy_SDcast!$A:$C,MATCH($M1307,indexy_SDcast!$A:$A,0),2),"")</f>
        <v>9</v>
      </c>
      <c r="S1307" s="236"/>
      <c r="T1307" s="364">
        <f t="shared" si="145"/>
        <v>291003</v>
      </c>
      <c r="U1307" s="365">
        <f t="shared" si="144"/>
        <v>190.08708999999999</v>
      </c>
      <c r="V1307" s="365">
        <f>IF($Q1307="ekrk",IF($R1307="data",IFERROR(INDEX(data!$A:$ALL,MATCH($M1307,data!$A:$A,0),MATCH(V$2,data!$1:$1,0)),"#data"),IFERROR(U1307*INDEX(indexy_SDcast!$A:$ALI,MATCH($R1307,indexy_SDcast!$K:$K,0),MATCH(V$2,indexy_SDcast!$2:$2,0)),"#ekrk")),"#popis")</f>
        <v>190.08708999999999</v>
      </c>
      <c r="W1307" s="365">
        <f>IF($Q1307="ekrk",IF($R1307="data",IFERROR(INDEX(data!$A:$ALL,MATCH($M1307,data!$A:$A,0),MATCH(W$2,data!$1:$1,0)),"#data"),IFERROR(V1307*INDEX(indexy_SDcast!$A:$ALI,MATCH($R1307,indexy_SDcast!$K:$K,0),MATCH(W$2,indexy_SDcast!$2:$2,0)),"#ekrk")),"#popis")</f>
        <v>190.08708999999999</v>
      </c>
      <c r="X1307" s="365">
        <f>IF($Q1307="ekrk",IF($R1307="data",IFERROR(INDEX(data!$A:$ALL,MATCH($M1307,data!$A:$A,0),MATCH(X$2,data!$1:$1,0)),"#data"),IFERROR(W1307*INDEX(indexy_SDcast!$A:$ALI,MATCH($R1307,indexy_SDcast!$K:$K,0),MATCH(X$2,indexy_SDcast!$2:$2,0)),"#ekrk")),"#popis")</f>
        <v>190.08708999999999</v>
      </c>
      <c r="Y1307" s="362">
        <f>IF($Q1307="ekrk",IF($R1307="data",IFERROR(INDEX(data!$A:$ALL,MATCH($M1307,data!$A:$A,0),MATCH(Y$2,data!$1:$1,0)),"#data"),IFERROR(X1307*INDEX(indexy_SDcast!$A:$ALI,MATCH($R1307,indexy_SDcast!$K:$K,0),MATCH(Y$2,indexy_SDcast!$2:$2,0)),"#ekrk")),"#popis")</f>
        <v>190.08708999999999</v>
      </c>
    </row>
    <row r="1308" spans="1:25" x14ac:dyDescent="0.25">
      <c r="A1308" s="330">
        <v>291004</v>
      </c>
      <c r="B1308" s="329">
        <v>6026.9684100000013</v>
      </c>
      <c r="C1308" s="157"/>
      <c r="D1308" s="330">
        <v>291004</v>
      </c>
      <c r="E1308" s="329">
        <v>6026.9684100000013</v>
      </c>
      <c r="F1308" s="157"/>
      <c r="G1308" s="330">
        <v>291004</v>
      </c>
      <c r="H1308" s="329">
        <v>6026.9684100000013</v>
      </c>
      <c r="I1308" s="157"/>
      <c r="J1308" s="330">
        <v>291004</v>
      </c>
      <c r="K1308" s="329">
        <v>6026.9684100000013</v>
      </c>
      <c r="L1308" s="157"/>
      <c r="M1308" s="360">
        <f t="shared" si="142"/>
        <v>291004</v>
      </c>
      <c r="N1308" s="237">
        <f t="shared" si="143"/>
        <v>6026.9684100000013</v>
      </c>
      <c r="O1308" s="361"/>
      <c r="P1308" s="361"/>
      <c r="Q1308" s="361" t="s">
        <v>698</v>
      </c>
      <c r="R1308" s="362">
        <f>IF(Q1308="ekrk",INDEX(indexy_SDcast!$A:$C,MATCH($M1308,indexy_SDcast!$A:$A,0),2),"")</f>
        <v>9</v>
      </c>
      <c r="S1308" s="236"/>
      <c r="T1308" s="364">
        <f t="shared" si="145"/>
        <v>291004</v>
      </c>
      <c r="U1308" s="365">
        <f t="shared" si="144"/>
        <v>6026.9684100000013</v>
      </c>
      <c r="V1308" s="365">
        <f>IF($Q1308="ekrk",IF($R1308="data",IFERROR(INDEX(data!$A:$ALL,MATCH($M1308,data!$A:$A,0),MATCH(V$2,data!$1:$1,0)),"#data"),IFERROR(U1308*INDEX(indexy_SDcast!$A:$ALI,MATCH($R1308,indexy_SDcast!$K:$K,0),MATCH(V$2,indexy_SDcast!$2:$2,0)),"#ekrk")),"#popis")</f>
        <v>6026.9684100000013</v>
      </c>
      <c r="W1308" s="365">
        <f>IF($Q1308="ekrk",IF($R1308="data",IFERROR(INDEX(data!$A:$ALL,MATCH($M1308,data!$A:$A,0),MATCH(W$2,data!$1:$1,0)),"#data"),IFERROR(V1308*INDEX(indexy_SDcast!$A:$ALI,MATCH($R1308,indexy_SDcast!$K:$K,0),MATCH(W$2,indexy_SDcast!$2:$2,0)),"#ekrk")),"#popis")</f>
        <v>6026.9684100000013</v>
      </c>
      <c r="X1308" s="365">
        <f>IF($Q1308="ekrk",IF($R1308="data",IFERROR(INDEX(data!$A:$ALL,MATCH($M1308,data!$A:$A,0),MATCH(X$2,data!$1:$1,0)),"#data"),IFERROR(W1308*INDEX(indexy_SDcast!$A:$ALI,MATCH($R1308,indexy_SDcast!$K:$K,0),MATCH(X$2,indexy_SDcast!$2:$2,0)),"#ekrk")),"#popis")</f>
        <v>6026.9684100000013</v>
      </c>
      <c r="Y1308" s="362">
        <f>IF($Q1308="ekrk",IF($R1308="data",IFERROR(INDEX(data!$A:$ALL,MATCH($M1308,data!$A:$A,0),MATCH(Y$2,data!$1:$1,0)),"#data"),IFERROR(X1308*INDEX(indexy_SDcast!$A:$ALI,MATCH($R1308,indexy_SDcast!$K:$K,0),MATCH(Y$2,indexy_SDcast!$2:$2,0)),"#ekrk")),"#popis")</f>
        <v>6026.9684100000013</v>
      </c>
    </row>
    <row r="1309" spans="1:25" x14ac:dyDescent="0.25">
      <c r="A1309" s="330">
        <v>291007</v>
      </c>
      <c r="B1309" s="329">
        <v>314.43706000000003</v>
      </c>
      <c r="C1309" s="157"/>
      <c r="D1309" s="330">
        <v>291007</v>
      </c>
      <c r="E1309" s="329">
        <v>314.43706000000003</v>
      </c>
      <c r="F1309" s="157"/>
      <c r="G1309" s="330">
        <v>291007</v>
      </c>
      <c r="H1309" s="329">
        <v>314.43706000000003</v>
      </c>
      <c r="I1309" s="157"/>
      <c r="J1309" s="330">
        <v>291007</v>
      </c>
      <c r="K1309" s="329">
        <v>314.43706000000003</v>
      </c>
      <c r="L1309" s="157"/>
      <c r="M1309" s="360">
        <f t="shared" si="142"/>
        <v>291007</v>
      </c>
      <c r="N1309" s="237">
        <f t="shared" si="143"/>
        <v>314.43706000000003</v>
      </c>
      <c r="O1309" s="361"/>
      <c r="P1309" s="361"/>
      <c r="Q1309" s="361" t="s">
        <v>698</v>
      </c>
      <c r="R1309" s="362">
        <f>IF(Q1309="ekrk",INDEX(indexy_SDcast!$A:$C,MATCH($M1309,indexy_SDcast!$A:$A,0),2),"")</f>
        <v>9</v>
      </c>
      <c r="S1309" s="236"/>
      <c r="T1309" s="364">
        <f t="shared" si="145"/>
        <v>291007</v>
      </c>
      <c r="U1309" s="365">
        <f t="shared" si="144"/>
        <v>314.43706000000003</v>
      </c>
      <c r="V1309" s="365">
        <f>IF($Q1309="ekrk",IF($R1309="data",IFERROR(INDEX(data!$A:$ALL,MATCH($M1309,data!$A:$A,0),MATCH(V$2,data!$1:$1,0)),"#data"),IFERROR(U1309*INDEX(indexy_SDcast!$A:$ALI,MATCH($R1309,indexy_SDcast!$K:$K,0),MATCH(V$2,indexy_SDcast!$2:$2,0)),"#ekrk")),"#popis")</f>
        <v>314.43706000000003</v>
      </c>
      <c r="W1309" s="365">
        <f>IF($Q1309="ekrk",IF($R1309="data",IFERROR(INDEX(data!$A:$ALL,MATCH($M1309,data!$A:$A,0),MATCH(W$2,data!$1:$1,0)),"#data"),IFERROR(V1309*INDEX(indexy_SDcast!$A:$ALI,MATCH($R1309,indexy_SDcast!$K:$K,0),MATCH(W$2,indexy_SDcast!$2:$2,0)),"#ekrk")),"#popis")</f>
        <v>314.43706000000003</v>
      </c>
      <c r="X1309" s="365">
        <f>IF($Q1309="ekrk",IF($R1309="data",IFERROR(INDEX(data!$A:$ALL,MATCH($M1309,data!$A:$A,0),MATCH(X$2,data!$1:$1,0)),"#data"),IFERROR(W1309*INDEX(indexy_SDcast!$A:$ALI,MATCH($R1309,indexy_SDcast!$K:$K,0),MATCH(X$2,indexy_SDcast!$2:$2,0)),"#ekrk")),"#popis")</f>
        <v>314.43706000000003</v>
      </c>
      <c r="Y1309" s="362">
        <f>IF($Q1309="ekrk",IF($R1309="data",IFERROR(INDEX(data!$A:$ALL,MATCH($M1309,data!$A:$A,0),MATCH(Y$2,data!$1:$1,0)),"#data"),IFERROR(X1309*INDEX(indexy_SDcast!$A:$ALI,MATCH($R1309,indexy_SDcast!$K:$K,0),MATCH(Y$2,indexy_SDcast!$2:$2,0)),"#ekrk")),"#popis")</f>
        <v>314.43706000000003</v>
      </c>
    </row>
    <row r="1310" spans="1:25" x14ac:dyDescent="0.25">
      <c r="A1310" s="330">
        <v>292000</v>
      </c>
      <c r="B1310" s="329">
        <v>-149050.19815000001</v>
      </c>
      <c r="C1310" s="157"/>
      <c r="D1310" s="330">
        <v>292000</v>
      </c>
      <c r="E1310" s="329">
        <v>-149050.19815000001</v>
      </c>
      <c r="F1310" s="157"/>
      <c r="G1310" s="330">
        <v>292000</v>
      </c>
      <c r="H1310" s="349">
        <f>E1310+E1328+E1329+E1330+E1331+E1332+E1317+E1318+E1319+E1320+E1321+E1322+E1323+E1324-H1317</f>
        <v>-579957.77386999992</v>
      </c>
      <c r="I1310" s="157"/>
      <c r="J1310" s="330">
        <v>292000</v>
      </c>
      <c r="K1310" s="329">
        <f>H1310+H1328+H1329+H1330+H1331+H1332</f>
        <v>-579957.77386999992</v>
      </c>
      <c r="L1310" s="157"/>
      <c r="M1310" s="360">
        <f t="shared" si="142"/>
        <v>292000</v>
      </c>
      <c r="N1310" s="237">
        <f t="shared" si="143"/>
        <v>-579957.77386999992</v>
      </c>
      <c r="O1310" s="361"/>
      <c r="P1310" s="361"/>
      <c r="Q1310" s="361" t="s">
        <v>698</v>
      </c>
      <c r="R1310" s="362">
        <f>IF(Q1310="ekrk",INDEX(indexy_SDcast!$A:$C,MATCH($M1310,indexy_SDcast!$A:$A,0),2),"")</f>
        <v>22</v>
      </c>
      <c r="S1310" s="236"/>
      <c r="T1310" s="364">
        <f t="shared" si="145"/>
        <v>292000</v>
      </c>
      <c r="U1310" s="365">
        <f t="shared" si="144"/>
        <v>-579957.77386999992</v>
      </c>
      <c r="V1310" s="365">
        <f>IF($Q1310="ekrk",IF($R1310="data",IFERROR(INDEX(data!$A:$ALL,MATCH($M1310,data!$A:$A,0),MATCH(V$2,data!$1:$1,0)),"#data"),IFERROR(U1310*INDEX(indexy_SDcast!$A:$ALI,MATCH($R1310,indexy_SDcast!$K:$K,0),MATCH(V$2,indexy_SDcast!$2:$2,0)),"#ekrk")),"#popis")</f>
        <v>-579957.77386999992</v>
      </c>
      <c r="W1310" s="365">
        <f>IF($Q1310="ekrk",IF($R1310="data",IFERROR(INDEX(data!$A:$ALL,MATCH($M1310,data!$A:$A,0),MATCH(W$2,data!$1:$1,0)),"#data"),IFERROR(V1310*INDEX(indexy_SDcast!$A:$ALI,MATCH($R1310,indexy_SDcast!$K:$K,0),MATCH(W$2,indexy_SDcast!$2:$2,0)),"#ekrk")),"#popis")</f>
        <v>-579957.77386999992</v>
      </c>
      <c r="X1310" s="365">
        <f>IF($Q1310="ekrk",IF($R1310="data",IFERROR(INDEX(data!$A:$ALL,MATCH($M1310,data!$A:$A,0),MATCH(X$2,data!$1:$1,0)),"#data"),IFERROR(W1310*INDEX(indexy_SDcast!$A:$ALI,MATCH($R1310,indexy_SDcast!$K:$K,0),MATCH(X$2,indexy_SDcast!$2:$2,0)),"#ekrk")),"#popis")</f>
        <v>-579957.77386999992</v>
      </c>
      <c r="Y1310" s="362">
        <f>IF($Q1310="ekrk",IF($R1310="data",IFERROR(INDEX(data!$A:$ALL,MATCH($M1310,data!$A:$A,0),MATCH(Y$2,data!$1:$1,0)),"#data"),IFERROR(X1310*INDEX(indexy_SDcast!$A:$ALI,MATCH($R1310,indexy_SDcast!$K:$K,0),MATCH(Y$2,indexy_SDcast!$2:$2,0)),"#ekrk")),"#popis")</f>
        <v>-579957.77386999992</v>
      </c>
    </row>
    <row r="1311" spans="1:25" x14ac:dyDescent="0.25">
      <c r="A1311" s="330">
        <v>292012</v>
      </c>
      <c r="B1311" s="329">
        <v>14198.482469999995</v>
      </c>
      <c r="C1311" s="157"/>
      <c r="D1311" s="330">
        <v>292012</v>
      </c>
      <c r="E1311" s="329">
        <v>14198.482469999995</v>
      </c>
      <c r="F1311" s="157"/>
      <c r="G1311" s="330">
        <v>292012</v>
      </c>
      <c r="H1311" s="329">
        <v>14198.482469999995</v>
      </c>
      <c r="I1311" s="157"/>
      <c r="J1311" s="330">
        <v>292012</v>
      </c>
      <c r="K1311" s="329">
        <v>14198.482469999995</v>
      </c>
      <c r="L1311" s="157"/>
      <c r="M1311" s="360">
        <f t="shared" si="142"/>
        <v>292012</v>
      </c>
      <c r="N1311" s="237">
        <f t="shared" si="143"/>
        <v>14198.482469999995</v>
      </c>
      <c r="O1311" s="361"/>
      <c r="P1311" s="361"/>
      <c r="Q1311" s="361" t="s">
        <v>698</v>
      </c>
      <c r="R1311" s="362">
        <f>IF(Q1311="ekrk",INDEX(indexy_SDcast!$A:$C,MATCH($M1311,indexy_SDcast!$A:$A,0),2),"")</f>
        <v>25</v>
      </c>
      <c r="S1311" s="236"/>
      <c r="T1311" s="364">
        <f t="shared" si="145"/>
        <v>292012</v>
      </c>
      <c r="U1311" s="365">
        <f t="shared" si="144"/>
        <v>14198.482469999995</v>
      </c>
      <c r="V1311" s="365">
        <f>IF($Q1311="ekrk",IF($R1311="data",IFERROR(INDEX(data!$A:$ALL,MATCH($M1311,data!$A:$A,0),MATCH(V$2,data!$1:$1,0)),"#data"),IFERROR(U1311*INDEX(indexy_SDcast!$A:$ALI,MATCH($R1311,indexy_SDcast!$K:$K,0),MATCH(V$2,indexy_SDcast!$2:$2,0)),"#ekrk")),"#popis")</f>
        <v>14305.645438384407</v>
      </c>
      <c r="W1311" s="365">
        <f>IF($Q1311="ekrk",IF($R1311="data",IFERROR(INDEX(data!$A:$ALL,MATCH($M1311,data!$A:$A,0),MATCH(W$2,data!$1:$1,0)),"#data"),IFERROR(V1311*INDEX(indexy_SDcast!$A:$ALI,MATCH($R1311,indexy_SDcast!$K:$K,0),MATCH(W$2,indexy_SDcast!$2:$2,0)),"#ekrk")),"#popis")</f>
        <v>14602.482293780966</v>
      </c>
      <c r="X1311" s="365">
        <f>IF($Q1311="ekrk",IF($R1311="data",IFERROR(INDEX(data!$A:$ALL,MATCH($M1311,data!$A:$A,0),MATCH(X$2,data!$1:$1,0)),"#data"),IFERROR(W1311*INDEX(indexy_SDcast!$A:$ALI,MATCH($R1311,indexy_SDcast!$K:$K,0),MATCH(X$2,indexy_SDcast!$2:$2,0)),"#ekrk")),"#popis")</f>
        <v>14934.653885008611</v>
      </c>
      <c r="Y1311" s="362">
        <f>IF($Q1311="ekrk",IF($R1311="data",IFERROR(INDEX(data!$A:$ALL,MATCH($M1311,data!$A:$A,0),MATCH(Y$2,data!$1:$1,0)),"#data"),IFERROR(X1311*INDEX(indexy_SDcast!$A:$ALI,MATCH($R1311,indexy_SDcast!$K:$K,0),MATCH(Y$2,indexy_SDcast!$2:$2,0)),"#ekrk")),"#popis")</f>
        <v>15286.415045575974</v>
      </c>
    </row>
    <row r="1312" spans="1:25" x14ac:dyDescent="0.25">
      <c r="A1312" s="330">
        <v>292017</v>
      </c>
      <c r="B1312" s="329">
        <v>54487.906319999951</v>
      </c>
      <c r="C1312" s="157"/>
      <c r="D1312" s="330">
        <v>292017</v>
      </c>
      <c r="E1312" s="329">
        <v>54487.906319999951</v>
      </c>
      <c r="F1312" s="157"/>
      <c r="G1312" s="330">
        <v>292017</v>
      </c>
      <c r="H1312" s="329">
        <v>54487.906319999951</v>
      </c>
      <c r="I1312" s="157"/>
      <c r="J1312" s="330">
        <v>292017</v>
      </c>
      <c r="K1312" s="329">
        <v>54487.906319999951</v>
      </c>
      <c r="L1312" s="157"/>
      <c r="M1312" s="360">
        <f t="shared" si="142"/>
        <v>292017</v>
      </c>
      <c r="N1312" s="237">
        <f t="shared" si="143"/>
        <v>54487.906319999951</v>
      </c>
      <c r="O1312" s="361"/>
      <c r="P1312" s="361"/>
      <c r="Q1312" s="361" t="s">
        <v>698</v>
      </c>
      <c r="R1312" s="362">
        <f>IF(Q1312="ekrk",INDEX(indexy_SDcast!$A:$C,MATCH($M1312,indexy_SDcast!$A:$A,0),2),"")</f>
        <v>9</v>
      </c>
      <c r="S1312" s="236"/>
      <c r="T1312" s="364">
        <f t="shared" si="145"/>
        <v>292017</v>
      </c>
      <c r="U1312" s="365">
        <f t="shared" si="144"/>
        <v>54487.906319999951</v>
      </c>
      <c r="V1312" s="365">
        <f>IF($Q1312="ekrk",IF($R1312="data",IFERROR(INDEX(data!$A:$ALL,MATCH($M1312,data!$A:$A,0),MATCH(V$2,data!$1:$1,0)),"#data"),IFERROR(U1312*INDEX(indexy_SDcast!$A:$ALI,MATCH($R1312,indexy_SDcast!$K:$K,0),MATCH(V$2,indexy_SDcast!$2:$2,0)),"#ekrk")),"#popis")</f>
        <v>54487.906319999951</v>
      </c>
      <c r="W1312" s="365">
        <f>IF($Q1312="ekrk",IF($R1312="data",IFERROR(INDEX(data!$A:$ALL,MATCH($M1312,data!$A:$A,0),MATCH(W$2,data!$1:$1,0)),"#data"),IFERROR(V1312*INDEX(indexy_SDcast!$A:$ALI,MATCH($R1312,indexy_SDcast!$K:$K,0),MATCH(W$2,indexy_SDcast!$2:$2,0)),"#ekrk")),"#popis")</f>
        <v>54487.906319999951</v>
      </c>
      <c r="X1312" s="365">
        <f>IF($Q1312="ekrk",IF($R1312="data",IFERROR(INDEX(data!$A:$ALL,MATCH($M1312,data!$A:$A,0),MATCH(X$2,data!$1:$1,0)),"#data"),IFERROR(W1312*INDEX(indexy_SDcast!$A:$ALI,MATCH($R1312,indexy_SDcast!$K:$K,0),MATCH(X$2,indexy_SDcast!$2:$2,0)),"#ekrk")),"#popis")</f>
        <v>54487.906319999951</v>
      </c>
      <c r="Y1312" s="362">
        <f>IF($Q1312="ekrk",IF($R1312="data",IFERROR(INDEX(data!$A:$ALL,MATCH($M1312,data!$A:$A,0),MATCH(Y$2,data!$1:$1,0)),"#data"),IFERROR(X1312*INDEX(indexy_SDcast!$A:$ALI,MATCH($R1312,indexy_SDcast!$K:$K,0),MATCH(Y$2,indexy_SDcast!$2:$2,0)),"#ekrk")),"#popis")</f>
        <v>54487.906319999951</v>
      </c>
    </row>
    <row r="1313" spans="1:25" x14ac:dyDescent="0.25">
      <c r="A1313" s="330">
        <v>292019</v>
      </c>
      <c r="B1313" s="329">
        <v>18100.369620000005</v>
      </c>
      <c r="C1313" s="157"/>
      <c r="D1313" s="330">
        <v>292019</v>
      </c>
      <c r="E1313" s="329">
        <v>18100.369620000005</v>
      </c>
      <c r="F1313" s="157"/>
      <c r="G1313" s="330">
        <v>292019</v>
      </c>
      <c r="H1313" s="329">
        <v>18100.369620000005</v>
      </c>
      <c r="I1313" s="157"/>
      <c r="J1313" s="330">
        <v>292019</v>
      </c>
      <c r="K1313" s="329">
        <v>18100.369620000005</v>
      </c>
      <c r="L1313" s="157"/>
      <c r="M1313" s="360">
        <f t="shared" si="142"/>
        <v>292019</v>
      </c>
      <c r="N1313" s="237">
        <f t="shared" si="143"/>
        <v>18100.369620000005</v>
      </c>
      <c r="O1313" s="361"/>
      <c r="P1313" s="361"/>
      <c r="Q1313" s="361" t="s">
        <v>698</v>
      </c>
      <c r="R1313" s="362">
        <f>IF(Q1313="ekrk",INDEX(indexy_SDcast!$A:$C,MATCH($M1313,indexy_SDcast!$A:$A,0),2),"")</f>
        <v>25</v>
      </c>
      <c r="S1313" s="236"/>
      <c r="T1313" s="364">
        <f t="shared" si="145"/>
        <v>292019</v>
      </c>
      <c r="U1313" s="365">
        <f t="shared" si="144"/>
        <v>18100.369620000005</v>
      </c>
      <c r="V1313" s="365">
        <f>IF($Q1313="ekrk",IF($R1313="data",IFERROR(INDEX(data!$A:$ALL,MATCH($M1313,data!$A:$A,0),MATCH(V$2,data!$1:$1,0)),"#data"),IFERROR(U1313*INDEX(indexy_SDcast!$A:$ALI,MATCH($R1313,indexy_SDcast!$K:$K,0),MATCH(V$2,indexy_SDcast!$2:$2,0)),"#ekrk")),"#popis")</f>
        <v>18236.982060197934</v>
      </c>
      <c r="W1313" s="365">
        <f>IF($Q1313="ekrk",IF($R1313="data",IFERROR(INDEX(data!$A:$ALL,MATCH($M1313,data!$A:$A,0),MATCH(W$2,data!$1:$1,0)),"#data"),IFERROR(V1313*INDEX(indexy_SDcast!$A:$ALI,MATCH($R1313,indexy_SDcast!$K:$K,0),MATCH(W$2,indexy_SDcast!$2:$2,0)),"#ekrk")),"#popis")</f>
        <v>18615.3926974522</v>
      </c>
      <c r="X1313" s="365">
        <f>IF($Q1313="ekrk",IF($R1313="data",IFERROR(INDEX(data!$A:$ALL,MATCH($M1313,data!$A:$A,0),MATCH(X$2,data!$1:$1,0)),"#data"),IFERROR(W1313*INDEX(indexy_SDcast!$A:$ALI,MATCH($R1313,indexy_SDcast!$K:$K,0),MATCH(X$2,indexy_SDcast!$2:$2,0)),"#ekrk")),"#popis")</f>
        <v>19038.848414722521</v>
      </c>
      <c r="Y1313" s="362">
        <f>IF($Q1313="ekrk",IF($R1313="data",IFERROR(INDEX(data!$A:$ALL,MATCH($M1313,data!$A:$A,0),MATCH(Y$2,data!$1:$1,0)),"#data"),IFERROR(X1313*INDEX(indexy_SDcast!$A:$ALI,MATCH($R1313,indexy_SDcast!$K:$K,0),MATCH(Y$2,indexy_SDcast!$2:$2,0)),"#ekrk")),"#popis")</f>
        <v>19487.277113893881</v>
      </c>
    </row>
    <row r="1314" spans="1:25" x14ac:dyDescent="0.25">
      <c r="A1314" s="330">
        <v>292027</v>
      </c>
      <c r="B1314" s="329">
        <v>732249.17408999952</v>
      </c>
      <c r="C1314" s="157"/>
      <c r="D1314" s="330">
        <v>292027</v>
      </c>
      <c r="E1314" s="329">
        <v>732249.17408999952</v>
      </c>
      <c r="F1314" s="157"/>
      <c r="G1314" s="330">
        <v>292027</v>
      </c>
      <c r="H1314" s="329">
        <v>732249.17408999952</v>
      </c>
      <c r="I1314" s="157"/>
      <c r="J1314" s="330">
        <v>292027</v>
      </c>
      <c r="K1314" s="329">
        <v>732249.17408999952</v>
      </c>
      <c r="L1314" s="157"/>
      <c r="M1314" s="360">
        <f t="shared" si="142"/>
        <v>292027</v>
      </c>
      <c r="N1314" s="237">
        <f t="shared" si="143"/>
        <v>732249.17408999952</v>
      </c>
      <c r="O1314" s="361"/>
      <c r="P1314" s="361"/>
      <c r="Q1314" s="361" t="s">
        <v>698</v>
      </c>
      <c r="R1314" s="362" t="str">
        <f>IF(Q1314="ekrk",INDEX(indexy_SDcast!$A:$C,MATCH($M1314,indexy_SDcast!$A:$A,0),2),"")</f>
        <v>data</v>
      </c>
      <c r="S1314" s="236"/>
      <c r="T1314" s="364">
        <f t="shared" si="145"/>
        <v>292027</v>
      </c>
      <c r="U1314" s="365">
        <f t="shared" si="144"/>
        <v>732249.17408999952</v>
      </c>
      <c r="V1314" s="365">
        <f>IF($Q1314="ekrk",IF($R1314="data",IFERROR(INDEX(data!$A:$ALL,MATCH($M1314,data!$A:$A,0),MATCH(V$2,data!$1:$1,0)),"#data"),IFERROR(U1314*INDEX(indexy_SDcast!$A:$ALI,MATCH($R1314,indexy_SDcast!$K:$K,0),MATCH(V$2,indexy_SDcast!$2:$2,0)),"#ekrk")),"#popis")</f>
        <v>689258.06029619998</v>
      </c>
      <c r="W1314" s="365">
        <f>IF($Q1314="ekrk",IF($R1314="data",IFERROR(INDEX(data!$A:$ALL,MATCH($M1314,data!$A:$A,0),MATCH(W$2,data!$1:$1,0)),"#data"),IFERROR(V1314*INDEX(indexy_SDcast!$A:$ALI,MATCH($R1314,indexy_SDcast!$K:$K,0),MATCH(W$2,indexy_SDcast!$2:$2,0)),"#ekrk")),"#popis")</f>
        <v>692777.09009832202</v>
      </c>
      <c r="X1314" s="365">
        <f>IF($Q1314="ekrk",IF($R1314="data",IFERROR(INDEX(data!$A:$ALL,MATCH($M1314,data!$A:$A,0),MATCH(X$2,data!$1:$1,0)),"#data"),IFERROR(W1314*INDEX(indexy_SDcast!$A:$ALI,MATCH($R1314,indexy_SDcast!$K:$K,0),MATCH(X$2,indexy_SDcast!$2:$2,0)),"#ekrk")),"#popis")</f>
        <v>694380.73932388402</v>
      </c>
      <c r="Y1314" s="362">
        <f>IF($Q1314="ekrk",IF($R1314="data",IFERROR(INDEX(data!$A:$ALL,MATCH($M1314,data!$A:$A,0),MATCH(Y$2,data!$1:$1,0)),"#data"),IFERROR(X1314*INDEX(indexy_SDcast!$A:$ALI,MATCH($R1314,indexy_SDcast!$K:$K,0),MATCH(Y$2,indexy_SDcast!$2:$2,0)),"#ekrk")),"#popis")</f>
        <v>695956.60504830244</v>
      </c>
    </row>
    <row r="1315" spans="1:25" x14ac:dyDescent="0.25">
      <c r="A1315" s="330">
        <v>311000</v>
      </c>
      <c r="B1315" s="329">
        <v>71842.455110000024</v>
      </c>
      <c r="C1315" s="157"/>
      <c r="D1315" s="330">
        <v>311000</v>
      </c>
      <c r="E1315" s="329">
        <v>71842.455110000024</v>
      </c>
      <c r="F1315" s="157"/>
      <c r="G1315" s="330">
        <v>311000</v>
      </c>
      <c r="H1315" s="356">
        <f>E1315+E1327</f>
        <v>74617.252230006779</v>
      </c>
      <c r="I1315" s="157"/>
      <c r="J1315" s="352">
        <v>311000</v>
      </c>
      <c r="K1315" s="353">
        <f>H1315+H1327-30000</f>
        <v>44617.252230006779</v>
      </c>
      <c r="L1315" s="157"/>
      <c r="M1315" s="360">
        <f t="shared" si="142"/>
        <v>311000</v>
      </c>
      <c r="N1315" s="237">
        <f t="shared" si="143"/>
        <v>44617.252230006779</v>
      </c>
      <c r="O1315" s="361"/>
      <c r="P1315" s="361"/>
      <c r="Q1315" s="361" t="s">
        <v>698</v>
      </c>
      <c r="R1315" s="362">
        <f>IF(Q1315="ekrk",INDEX(indexy_SDcast!$A:$C,MATCH($M1315,indexy_SDcast!$A:$A,0),2),"")</f>
        <v>6</v>
      </c>
      <c r="S1315" s="236"/>
      <c r="T1315" s="364">
        <f t="shared" si="145"/>
        <v>311000</v>
      </c>
      <c r="U1315" s="365">
        <f t="shared" si="144"/>
        <v>44617.252230006779</v>
      </c>
      <c r="V1315" s="365">
        <f>IF($Q1315="ekrk",IF($R1315="data",IFERROR(INDEX(data!$A:$ALL,MATCH($M1315,data!$A:$A,0),MATCH(V$2,data!$1:$1,0)),"#data"),IFERROR(U1315*INDEX(indexy_SDcast!$A:$ALI,MATCH($R1315,indexy_SDcast!$K:$K,0),MATCH(V$2,indexy_SDcast!$2:$2,0)),"#ekrk")),"#popis")</f>
        <v>45432.273235102592</v>
      </c>
      <c r="W1315" s="365">
        <f>IF($Q1315="ekrk",IF($R1315="data",IFERROR(INDEX(data!$A:$ALL,MATCH($M1315,data!$A:$A,0),MATCH(W$2,data!$1:$1,0)),"#data"),IFERROR(V1315*INDEX(indexy_SDcast!$A:$ALI,MATCH($R1315,indexy_SDcast!$K:$K,0),MATCH(W$2,indexy_SDcast!$2:$2,0)),"#ekrk")),"#popis")</f>
        <v>46743.600599116304</v>
      </c>
      <c r="X1315" s="365">
        <f>IF($Q1315="ekrk",IF($R1315="data",IFERROR(INDEX(data!$A:$ALL,MATCH($M1315,data!$A:$A,0),MATCH(X$2,data!$1:$1,0)),"#data"),IFERROR(W1315*INDEX(indexy_SDcast!$A:$ALI,MATCH($R1315,indexy_SDcast!$K:$K,0),MATCH(X$2,indexy_SDcast!$2:$2,0)),"#ekrk")),"#popis")</f>
        <v>48274.007919115742</v>
      </c>
      <c r="Y1315" s="362">
        <f>IF($Q1315="ekrk",IF($R1315="data",IFERROR(INDEX(data!$A:$ALL,MATCH($M1315,data!$A:$A,0),MATCH(Y$2,data!$1:$1,0)),"#data"),IFERROR(X1315*INDEX(indexy_SDcast!$A:$ALI,MATCH($R1315,indexy_SDcast!$K:$K,0),MATCH(Y$2,indexy_SDcast!$2:$2,0)),"#ekrk")),"#popis")</f>
        <v>49955.096263607797</v>
      </c>
    </row>
    <row r="1316" spans="1:25" x14ac:dyDescent="0.25">
      <c r="A1316" s="330">
        <v>314000</v>
      </c>
      <c r="B1316" s="329">
        <v>-191048.44646000012</v>
      </c>
      <c r="C1316" s="157"/>
      <c r="D1316" s="330">
        <v>314000</v>
      </c>
      <c r="E1316" s="329">
        <v>-191048.44646000012</v>
      </c>
      <c r="F1316" s="157"/>
      <c r="G1316" s="330">
        <v>314000</v>
      </c>
      <c r="H1316" s="329">
        <v>-191048.44646000012</v>
      </c>
      <c r="I1316" s="157"/>
      <c r="J1316" s="330">
        <v>314000</v>
      </c>
      <c r="K1316" s="329">
        <v>-191048.44646000012</v>
      </c>
      <c r="L1316" s="157"/>
      <c r="M1316" s="360">
        <f t="shared" si="142"/>
        <v>314000</v>
      </c>
      <c r="N1316" s="237">
        <f t="shared" si="143"/>
        <v>-191048.44646000012</v>
      </c>
      <c r="O1316" s="361"/>
      <c r="P1316" s="361"/>
      <c r="Q1316" s="361" t="s">
        <v>698</v>
      </c>
      <c r="R1316" s="362">
        <f>IF(Q1316="ekrk",INDEX(indexy_SDcast!$A:$C,MATCH($M1316,indexy_SDcast!$A:$A,0),2),"")</f>
        <v>6</v>
      </c>
      <c r="S1316" s="236"/>
      <c r="T1316" s="364">
        <f t="shared" si="145"/>
        <v>314000</v>
      </c>
      <c r="U1316" s="365">
        <f t="shared" si="144"/>
        <v>-191048.44646000012</v>
      </c>
      <c r="V1316" s="365">
        <f>IF($Q1316="ekrk",IF($R1316="data",IFERROR(INDEX(data!$A:$ALL,MATCH($M1316,data!$A:$A,0),MATCH(V$2,data!$1:$1,0)),"#data"),IFERROR(U1316*INDEX(indexy_SDcast!$A:$ALI,MATCH($R1316,indexy_SDcast!$K:$K,0),MATCH(V$2,indexy_SDcast!$2:$2,0)),"#ekrk")),"#popis")</f>
        <v>-194538.31840579206</v>
      </c>
      <c r="W1316" s="365">
        <f>IF($Q1316="ekrk",IF($R1316="data",IFERROR(INDEX(data!$A:$ALL,MATCH($M1316,data!$A:$A,0),MATCH(W$2,data!$1:$1,0)),"#data"),IFERROR(V1316*INDEX(indexy_SDcast!$A:$ALI,MATCH($R1316,indexy_SDcast!$K:$K,0),MATCH(W$2,indexy_SDcast!$2:$2,0)),"#ekrk")),"#popis")</f>
        <v>-200153.34495211125</v>
      </c>
      <c r="X1316" s="365">
        <f>IF($Q1316="ekrk",IF($R1316="data",IFERROR(INDEX(data!$A:$ALL,MATCH($M1316,data!$A:$A,0),MATCH(X$2,data!$1:$1,0)),"#data"),IFERROR(W1316*INDEX(indexy_SDcast!$A:$ALI,MATCH($R1316,indexy_SDcast!$K:$K,0),MATCH(X$2,indexy_SDcast!$2:$2,0)),"#ekrk")),"#popis")</f>
        <v>-206706.45896795526</v>
      </c>
      <c r="Y1316" s="362">
        <f>IF($Q1316="ekrk",IF($R1316="data",IFERROR(INDEX(data!$A:$ALL,MATCH($M1316,data!$A:$A,0),MATCH(Y$2,data!$1:$1,0)),"#data"),IFERROR(X1316*INDEX(indexy_SDcast!$A:$ALI,MATCH($R1316,indexy_SDcast!$K:$K,0),MATCH(Y$2,indexy_SDcast!$2:$2,0)),"#ekrk")),"#popis")</f>
        <v>-213904.78025680463</v>
      </c>
    </row>
    <row r="1317" spans="1:25" x14ac:dyDescent="0.25">
      <c r="A1317" s="330">
        <v>321000</v>
      </c>
      <c r="B1317" s="329">
        <v>11460.851140000001</v>
      </c>
      <c r="C1317" s="157"/>
      <c r="D1317" s="355">
        <v>292000</v>
      </c>
      <c r="E1317" s="329">
        <v>11460.851140000001</v>
      </c>
      <c r="F1317" s="157"/>
      <c r="G1317" s="355">
        <v>292009</v>
      </c>
      <c r="H1317" s="356">
        <v>82848</v>
      </c>
      <c r="I1317" s="157"/>
      <c r="J1317" s="330">
        <v>292009</v>
      </c>
      <c r="K1317" s="329">
        <f>H1317</f>
        <v>82848</v>
      </c>
      <c r="L1317" s="157"/>
      <c r="M1317" s="360">
        <f t="shared" si="142"/>
        <v>292009</v>
      </c>
      <c r="N1317" s="237">
        <f t="shared" si="143"/>
        <v>82848</v>
      </c>
      <c r="O1317" s="361"/>
      <c r="P1317" s="361"/>
      <c r="Q1317" s="361" t="s">
        <v>698</v>
      </c>
      <c r="R1317" s="362" t="str">
        <f>IF(Q1317="ekrk",INDEX(indexy_SDcast!$A:$C,MATCH($M1317,indexy_SDcast!$A:$A,0),2),"")</f>
        <v>data</v>
      </c>
      <c r="S1317" s="236"/>
      <c r="T1317" s="364">
        <f t="shared" si="145"/>
        <v>292009</v>
      </c>
      <c r="U1317" s="365">
        <f t="shared" si="144"/>
        <v>82848</v>
      </c>
      <c r="V1317" s="365">
        <f>IF($Q1317="ekrk",IF($R1317="data",IFERROR(INDEX(data!$A:$ALL,MATCH($M1317,data!$A:$A,0),MATCH(V$2,data!$1:$1,0)),"#data"),IFERROR(U1317*INDEX(indexy_SDcast!$A:$ALI,MATCH($R1317,indexy_SDcast!$K:$K,0),MATCH(V$2,indexy_SDcast!$2:$2,0)),"#ekrk")),"#popis")</f>
        <v>85570.382509999996</v>
      </c>
      <c r="W1317" s="365">
        <f>IF($Q1317="ekrk",IF($R1317="data",IFERROR(INDEX(data!$A:$ALL,MATCH($M1317,data!$A:$A,0),MATCH(W$2,data!$1:$1,0)),"#data"),IFERROR(V1317*INDEX(indexy_SDcast!$A:$ALI,MATCH($R1317,indexy_SDcast!$K:$K,0),MATCH(W$2,indexy_SDcast!$2:$2,0)),"#ekrk")),"#popis")</f>
        <v>102180.67250999999</v>
      </c>
      <c r="X1317" s="365">
        <f>IF($Q1317="ekrk",IF($R1317="data",IFERROR(INDEX(data!$A:$ALL,MATCH($M1317,data!$A:$A,0),MATCH(X$2,data!$1:$1,0)),"#data"),IFERROR(W1317*INDEX(indexy_SDcast!$A:$ALI,MATCH($R1317,indexy_SDcast!$K:$K,0),MATCH(X$2,indexy_SDcast!$2:$2,0)),"#ekrk")),"#popis")</f>
        <v>119093.57251</v>
      </c>
      <c r="Y1317" s="362">
        <f>IF($Q1317="ekrk",IF($R1317="data",IFERROR(INDEX(data!$A:$ALL,MATCH($M1317,data!$A:$A,0),MATCH(Y$2,data!$1:$1,0)),"#data"),IFERROR(X1317*INDEX(indexy_SDcast!$A:$ALI,MATCH($R1317,indexy_SDcast!$K:$K,0),MATCH(Y$2,indexy_SDcast!$2:$2,0)),"#ekrk")),"#popis")</f>
        <v>127306.72250999999</v>
      </c>
    </row>
    <row r="1318" spans="1:25" x14ac:dyDescent="0.25">
      <c r="A1318" s="330">
        <v>322001</v>
      </c>
      <c r="B1318" s="329">
        <v>84657.650060000014</v>
      </c>
      <c r="C1318" s="157"/>
      <c r="D1318" s="355">
        <v>292000</v>
      </c>
      <c r="E1318" s="329">
        <v>84657.650060000014</v>
      </c>
      <c r="F1318" s="157"/>
      <c r="G1318" s="330"/>
      <c r="H1318" s="329"/>
      <c r="I1318" s="157"/>
      <c r="J1318" s="330"/>
      <c r="K1318" s="329"/>
      <c r="L1318" s="157"/>
      <c r="M1318" s="360"/>
      <c r="N1318" s="237"/>
      <c r="O1318" s="361"/>
      <c r="P1318" s="361"/>
      <c r="Q1318" s="361"/>
      <c r="R1318" s="362"/>
      <c r="S1318" s="236"/>
      <c r="T1318" s="364"/>
      <c r="U1318" s="365"/>
      <c r="V1318" s="365"/>
      <c r="W1318" s="365"/>
      <c r="X1318" s="365"/>
      <c r="Y1318" s="362"/>
    </row>
    <row r="1319" spans="1:25" x14ac:dyDescent="0.25">
      <c r="A1319" s="330">
        <v>322002</v>
      </c>
      <c r="B1319" s="329">
        <v>19750.485409999998</v>
      </c>
      <c r="C1319" s="157"/>
      <c r="D1319" s="355">
        <v>292000</v>
      </c>
      <c r="E1319" s="329">
        <v>19750.485409999998</v>
      </c>
      <c r="F1319" s="157"/>
      <c r="G1319" s="330"/>
      <c r="H1319" s="329"/>
      <c r="I1319" s="157"/>
      <c r="J1319" s="330"/>
      <c r="K1319" s="329"/>
      <c r="L1319" s="157"/>
      <c r="M1319" s="360"/>
      <c r="N1319" s="237"/>
      <c r="O1319" s="361"/>
      <c r="P1319" s="361"/>
      <c r="Q1319" s="361"/>
      <c r="R1319" s="362"/>
      <c r="S1319" s="236"/>
      <c r="T1319" s="364"/>
      <c r="U1319" s="365"/>
      <c r="V1319" s="365"/>
      <c r="W1319" s="365"/>
      <c r="X1319" s="365"/>
      <c r="Y1319" s="362"/>
    </row>
    <row r="1320" spans="1:25" x14ac:dyDescent="0.25">
      <c r="A1320" s="330">
        <v>322003</v>
      </c>
      <c r="B1320" s="329">
        <v>2100</v>
      </c>
      <c r="C1320" s="157"/>
      <c r="D1320" s="355">
        <v>292000</v>
      </c>
      <c r="E1320" s="329">
        <v>2100</v>
      </c>
      <c r="F1320" s="157"/>
      <c r="G1320" s="330"/>
      <c r="H1320" s="329"/>
      <c r="I1320" s="157"/>
      <c r="J1320" s="330"/>
      <c r="K1320" s="329"/>
      <c r="L1320" s="157"/>
      <c r="M1320" s="360"/>
      <c r="N1320" s="237"/>
      <c r="O1320" s="361"/>
      <c r="P1320" s="361"/>
      <c r="Q1320" s="361"/>
      <c r="R1320" s="362"/>
      <c r="S1320" s="236"/>
      <c r="T1320" s="364"/>
      <c r="U1320" s="365"/>
      <c r="V1320" s="365"/>
      <c r="W1320" s="365"/>
      <c r="X1320" s="365"/>
      <c r="Y1320" s="362"/>
    </row>
    <row r="1321" spans="1:25" x14ac:dyDescent="0.25">
      <c r="A1321" s="330">
        <v>322004</v>
      </c>
      <c r="B1321" s="329">
        <v>79.663910000000001</v>
      </c>
      <c r="C1321" s="157"/>
      <c r="D1321" s="355">
        <v>292000</v>
      </c>
      <c r="E1321" s="329">
        <v>79.663910000000001</v>
      </c>
      <c r="F1321" s="157"/>
      <c r="G1321" s="330"/>
      <c r="H1321" s="329"/>
      <c r="I1321" s="157"/>
      <c r="J1321" s="330"/>
      <c r="K1321" s="329"/>
      <c r="L1321" s="157"/>
      <c r="M1321" s="360"/>
      <c r="N1321" s="237"/>
      <c r="O1321" s="361"/>
      <c r="P1321" s="361"/>
      <c r="Q1321" s="361"/>
      <c r="R1321" s="362"/>
      <c r="S1321" s="236"/>
      <c r="T1321" s="364"/>
      <c r="U1321" s="365"/>
      <c r="V1321" s="365"/>
      <c r="W1321" s="365"/>
      <c r="X1321" s="365"/>
      <c r="Y1321" s="362"/>
    </row>
    <row r="1322" spans="1:25" x14ac:dyDescent="0.25">
      <c r="A1322" s="330">
        <v>322005</v>
      </c>
      <c r="B1322" s="329">
        <v>7970.2563600000012</v>
      </c>
      <c r="C1322" s="157"/>
      <c r="D1322" s="355">
        <v>292000</v>
      </c>
      <c r="E1322" s="329">
        <v>7970.2563600000012</v>
      </c>
      <c r="F1322" s="157"/>
      <c r="G1322" s="330"/>
      <c r="H1322" s="329"/>
      <c r="I1322" s="157"/>
      <c r="J1322" s="330"/>
      <c r="K1322" s="329"/>
      <c r="L1322" s="157"/>
      <c r="M1322" s="360"/>
      <c r="N1322" s="237"/>
      <c r="O1322" s="361"/>
      <c r="P1322" s="361"/>
      <c r="Q1322" s="361"/>
      <c r="R1322" s="362"/>
      <c r="S1322" s="236"/>
      <c r="T1322" s="364"/>
      <c r="U1322" s="365"/>
      <c r="V1322" s="365"/>
      <c r="W1322" s="365"/>
      <c r="X1322" s="365"/>
      <c r="Y1322" s="362"/>
    </row>
    <row r="1323" spans="1:25" x14ac:dyDescent="0.25">
      <c r="A1323" s="330">
        <v>322006</v>
      </c>
      <c r="B1323" s="329">
        <v>7042.5545399999974</v>
      </c>
      <c r="C1323" s="157"/>
      <c r="D1323" s="355">
        <v>292000</v>
      </c>
      <c r="E1323" s="329">
        <v>7042.5545399999974</v>
      </c>
      <c r="F1323" s="157"/>
      <c r="G1323" s="330"/>
      <c r="H1323" s="329"/>
      <c r="I1323" s="157"/>
      <c r="J1323" s="330"/>
      <c r="K1323" s="329"/>
      <c r="L1323" s="157"/>
      <c r="M1323" s="360"/>
      <c r="N1323" s="237"/>
      <c r="O1323" s="361"/>
      <c r="P1323" s="361"/>
      <c r="Q1323" s="361"/>
      <c r="R1323" s="362"/>
      <c r="S1323" s="236"/>
      <c r="T1323" s="364"/>
      <c r="U1323" s="365"/>
      <c r="V1323" s="365"/>
      <c r="W1323" s="365"/>
      <c r="X1323" s="365"/>
      <c r="Y1323" s="362"/>
    </row>
    <row r="1324" spans="1:25" x14ac:dyDescent="0.25">
      <c r="A1324" s="330">
        <v>322008</v>
      </c>
      <c r="B1324" s="329">
        <v>1977.9628600000001</v>
      </c>
      <c r="C1324" s="157"/>
      <c r="D1324" s="355">
        <v>292000</v>
      </c>
      <c r="E1324" s="329">
        <v>1977.9628600000001</v>
      </c>
      <c r="F1324" s="157"/>
      <c r="G1324" s="330"/>
      <c r="H1324" s="329"/>
      <c r="I1324" s="157"/>
      <c r="J1324" s="330"/>
      <c r="K1324" s="329"/>
      <c r="L1324" s="157"/>
      <c r="M1324" s="360"/>
      <c r="N1324" s="237"/>
      <c r="O1324" s="361"/>
      <c r="P1324" s="361"/>
      <c r="Q1324" s="361"/>
      <c r="R1324" s="362"/>
      <c r="S1324" s="236"/>
      <c r="T1324" s="364"/>
      <c r="U1324" s="365"/>
      <c r="V1324" s="365"/>
      <c r="W1324" s="365"/>
      <c r="X1324" s="365"/>
      <c r="Y1324" s="362"/>
    </row>
    <row r="1325" spans="1:25" x14ac:dyDescent="0.25">
      <c r="A1325" s="330">
        <v>324000</v>
      </c>
      <c r="B1325" s="329">
        <v>905.05269999999996</v>
      </c>
      <c r="C1325" s="157"/>
      <c r="D1325" s="330">
        <v>324000</v>
      </c>
      <c r="E1325" s="329">
        <v>905.05269999999996</v>
      </c>
      <c r="F1325" s="157"/>
      <c r="G1325" s="330">
        <v>324000</v>
      </c>
      <c r="H1325" s="329">
        <v>905.05269999999996</v>
      </c>
      <c r="I1325" s="157"/>
      <c r="J1325" s="330">
        <v>324000</v>
      </c>
      <c r="K1325" s="329">
        <v>905.05269999999996</v>
      </c>
      <c r="L1325" s="157"/>
      <c r="M1325" s="360">
        <f t="shared" ref="M1325:M1388" si="146">J1325</f>
        <v>324000</v>
      </c>
      <c r="N1325" s="237">
        <f t="shared" ref="N1325:N1388" si="147">K1325</f>
        <v>905.05269999999996</v>
      </c>
      <c r="O1325" s="361"/>
      <c r="P1325" s="361"/>
      <c r="Q1325" s="361" t="s">
        <v>698</v>
      </c>
      <c r="R1325" s="362">
        <f>IF(Q1325="ekrk",INDEX(indexy_SDcast!$A:$C,MATCH($M1325,indexy_SDcast!$A:$A,0),2),"")</f>
        <v>37</v>
      </c>
      <c r="S1325" s="236"/>
      <c r="T1325" s="364">
        <f t="shared" si="145"/>
        <v>324000</v>
      </c>
      <c r="U1325" s="365">
        <f t="shared" si="144"/>
        <v>905.05269999999996</v>
      </c>
      <c r="V1325" s="365">
        <f>IF($Q1325="ekrk",IF($R1325="data",IFERROR(INDEX(data!$A:$ALL,MATCH($M1325,data!$A:$A,0),MATCH(V$2,data!$1:$1,0)),"#data"),IFERROR(U1325*INDEX(indexy_SDcast!$A:$ALI,MATCH($R1325,indexy_SDcast!$K:$K,0),MATCH(V$2,indexy_SDcast!$2:$2,0)),"#ekrk")),"#popis")</f>
        <v>934.43641743163232</v>
      </c>
      <c r="W1325" s="365">
        <f>IF($Q1325="ekrk",IF($R1325="data",IFERROR(INDEX(data!$A:$ALL,MATCH($M1325,data!$A:$A,0),MATCH(W$2,data!$1:$1,0)),"#data"),IFERROR(V1325*INDEX(indexy_SDcast!$A:$ALI,MATCH($R1325,indexy_SDcast!$K:$K,0),MATCH(W$2,indexy_SDcast!$2:$2,0)),"#ekrk")),"#popis")</f>
        <v>975.76442200066276</v>
      </c>
      <c r="X1325" s="365">
        <f>IF($Q1325="ekrk",IF($R1325="data",IFERROR(INDEX(data!$A:$ALL,MATCH($M1325,data!$A:$A,0),MATCH(X$2,data!$1:$1,0)),"#data"),IFERROR(W1325*INDEX(indexy_SDcast!$A:$ALI,MATCH($R1325,indexy_SDcast!$K:$K,0),MATCH(X$2,indexy_SDcast!$2:$2,0)),"#ekrk")),"#popis")</f>
        <v>1024.9756193659859</v>
      </c>
      <c r="Y1325" s="362">
        <f>IF($Q1325="ekrk",IF($R1325="data",IFERROR(INDEX(data!$A:$ALL,MATCH($M1325,data!$A:$A,0),MATCH(Y$2,data!$1:$1,0)),"#data"),IFERROR(X1325*INDEX(indexy_SDcast!$A:$ALI,MATCH($R1325,indexy_SDcast!$K:$K,0),MATCH(Y$2,indexy_SDcast!$2:$2,0)),"#ekrk")),"#popis")</f>
        <v>1081.4308868796988</v>
      </c>
    </row>
    <row r="1326" spans="1:25" x14ac:dyDescent="0.25">
      <c r="A1326" s="330">
        <v>611000</v>
      </c>
      <c r="B1326" s="329">
        <v>-10668</v>
      </c>
      <c r="C1326" s="157"/>
      <c r="D1326" s="330">
        <v>611000</v>
      </c>
      <c r="E1326" s="329">
        <v>-10668</v>
      </c>
      <c r="F1326" s="157"/>
      <c r="G1326" s="330">
        <v>611000</v>
      </c>
      <c r="H1326" s="329">
        <v>-10668</v>
      </c>
      <c r="I1326" s="157"/>
      <c r="J1326" s="330">
        <v>611000</v>
      </c>
      <c r="K1326" s="329">
        <v>-10668</v>
      </c>
      <c r="L1326" s="157"/>
      <c r="M1326" s="360">
        <f t="shared" si="146"/>
        <v>611000</v>
      </c>
      <c r="N1326" s="237">
        <f t="shared" si="147"/>
        <v>-10668</v>
      </c>
      <c r="O1326" s="361"/>
      <c r="P1326" s="361"/>
      <c r="Q1326" s="361" t="s">
        <v>698</v>
      </c>
      <c r="R1326" s="362">
        <f>IF(Q1326="ekrk",INDEX(indexy_SDcast!$A:$C,MATCH($M1326,indexy_SDcast!$A:$A,0),2),"")</f>
        <v>39</v>
      </c>
      <c r="S1326" s="236"/>
      <c r="T1326" s="364">
        <f t="shared" si="145"/>
        <v>611000</v>
      </c>
      <c r="U1326" s="365">
        <f t="shared" si="144"/>
        <v>-10668</v>
      </c>
      <c r="V1326" s="365">
        <f>IF($Q1326="ekrk",IF($R1326="data",IFERROR(INDEX(data!$A:$ALL,MATCH($M1326,data!$A:$A,0),MATCH(V$2,data!$1:$1,0)),"#data"),IFERROR(U1326*INDEX(indexy_SDcast!$A:$ALI,MATCH($R1326,indexy_SDcast!$K:$K,0),MATCH(V$2,indexy_SDcast!$2:$2,0)),"#ekrk")),"#popis")</f>
        <v>-10977.22692099451</v>
      </c>
      <c r="W1326" s="365">
        <f>IF($Q1326="ekrk",IF($R1326="data",IFERROR(INDEX(data!$A:$ALL,MATCH($M1326,data!$A:$A,0),MATCH(W$2,data!$1:$1,0)),"#data"),IFERROR(V1326*INDEX(indexy_SDcast!$A:$ALI,MATCH($R1326,indexy_SDcast!$K:$K,0),MATCH(W$2,indexy_SDcast!$2:$2,0)),"#ekrk")),"#popis")</f>
        <v>-11383.132489115811</v>
      </c>
      <c r="X1326" s="365">
        <f>IF($Q1326="ekrk",IF($R1326="data",IFERROR(INDEX(data!$A:$ALL,MATCH($M1326,data!$A:$A,0),MATCH(X$2,data!$1:$1,0)),"#data"),IFERROR(W1326*INDEX(indexy_SDcast!$A:$ALI,MATCH($R1326,indexy_SDcast!$K:$K,0),MATCH(X$2,indexy_SDcast!$2:$2,0)),"#ekrk")),"#popis")</f>
        <v>-11869.571566584224</v>
      </c>
      <c r="Y1326" s="362">
        <f>IF($Q1326="ekrk",IF($R1326="data",IFERROR(INDEX(data!$A:$ALL,MATCH($M1326,data!$A:$A,0),MATCH(Y$2,data!$1:$1,0)),"#data"),IFERROR(X1326*INDEX(indexy_SDcast!$A:$ALI,MATCH($R1326,indexy_SDcast!$K:$K,0),MATCH(Y$2,indexy_SDcast!$2:$2,0)),"#ekrk")),"#popis")</f>
        <v>-12416.69248276369</v>
      </c>
    </row>
    <row r="1327" spans="1:25" x14ac:dyDescent="0.25">
      <c r="A1327" s="330" t="s">
        <v>997</v>
      </c>
      <c r="B1327" s="329">
        <v>2774.797120006755</v>
      </c>
      <c r="C1327" s="157"/>
      <c r="D1327" s="348">
        <v>311000</v>
      </c>
      <c r="E1327" s="329">
        <v>2774.797120006755</v>
      </c>
      <c r="F1327" s="157"/>
      <c r="G1327" s="330"/>
      <c r="H1327" s="329"/>
      <c r="I1327" s="157"/>
      <c r="J1327" s="330"/>
      <c r="K1327" s="329"/>
      <c r="L1327" s="157"/>
      <c r="M1327" s="360">
        <f t="shared" si="146"/>
        <v>0</v>
      </c>
      <c r="N1327" s="237">
        <f t="shared" si="147"/>
        <v>0</v>
      </c>
      <c r="O1327" s="361"/>
      <c r="P1327" s="361"/>
      <c r="Q1327" s="361"/>
      <c r="R1327" s="362"/>
      <c r="S1327" s="236"/>
      <c r="T1327" s="364"/>
      <c r="U1327" s="365"/>
      <c r="V1327" s="365"/>
      <c r="W1327" s="365"/>
      <c r="X1327" s="365"/>
      <c r="Y1327" s="362"/>
    </row>
    <row r="1328" spans="1:25" x14ac:dyDescent="0.25">
      <c r="A1328" s="330" t="s">
        <v>998</v>
      </c>
      <c r="B1328" s="329">
        <v>-271318</v>
      </c>
      <c r="C1328" s="157"/>
      <c r="D1328" s="348">
        <v>292000</v>
      </c>
      <c r="E1328" s="329">
        <v>-271318</v>
      </c>
      <c r="F1328" s="157"/>
      <c r="G1328" s="330"/>
      <c r="H1328" s="329"/>
      <c r="I1328" s="157"/>
      <c r="J1328" s="330"/>
      <c r="K1328" s="329"/>
      <c r="L1328" s="157"/>
      <c r="M1328" s="360">
        <f t="shared" si="146"/>
        <v>0</v>
      </c>
      <c r="N1328" s="237">
        <f t="shared" si="147"/>
        <v>0</v>
      </c>
      <c r="O1328" s="361"/>
      <c r="P1328" s="361"/>
      <c r="Q1328" s="361"/>
      <c r="R1328" s="362"/>
      <c r="S1328" s="236"/>
      <c r="T1328" s="364"/>
      <c r="U1328" s="365"/>
      <c r="V1328" s="365"/>
      <c r="W1328" s="365"/>
      <c r="X1328" s="365"/>
      <c r="Y1328" s="362"/>
    </row>
    <row r="1329" spans="1:44" x14ac:dyDescent="0.25">
      <c r="A1329" s="330" t="s">
        <v>738</v>
      </c>
      <c r="B1329" s="329">
        <v>-671256</v>
      </c>
      <c r="C1329" s="157"/>
      <c r="D1329" s="348">
        <v>292000</v>
      </c>
      <c r="E1329" s="329">
        <v>-671256</v>
      </c>
      <c r="F1329" s="157"/>
      <c r="G1329" s="330"/>
      <c r="H1329" s="329"/>
      <c r="I1329" s="157"/>
      <c r="J1329" s="330"/>
      <c r="K1329" s="329"/>
      <c r="L1329" s="157"/>
      <c r="M1329" s="360">
        <f t="shared" si="146"/>
        <v>0</v>
      </c>
      <c r="N1329" s="237">
        <f t="shared" si="147"/>
        <v>0</v>
      </c>
      <c r="O1329" s="361"/>
      <c r="P1329" s="361"/>
      <c r="Q1329" s="361"/>
      <c r="R1329" s="362"/>
      <c r="S1329" s="236"/>
      <c r="T1329" s="364"/>
      <c r="U1329" s="365"/>
      <c r="V1329" s="365"/>
      <c r="W1329" s="365"/>
      <c r="X1329" s="365"/>
      <c r="Y1329" s="362"/>
    </row>
    <row r="1330" spans="1:44" x14ac:dyDescent="0.25">
      <c r="A1330" s="330" t="s">
        <v>699</v>
      </c>
      <c r="B1330" s="329">
        <v>33076</v>
      </c>
      <c r="C1330" s="157"/>
      <c r="D1330" s="348">
        <v>292000</v>
      </c>
      <c r="E1330" s="329">
        <v>33076</v>
      </c>
      <c r="F1330" s="157"/>
      <c r="G1330" s="330"/>
      <c r="H1330" s="329"/>
      <c r="I1330" s="157"/>
      <c r="J1330" s="330"/>
      <c r="K1330" s="329"/>
      <c r="L1330" s="157"/>
      <c r="M1330" s="360">
        <f t="shared" si="146"/>
        <v>0</v>
      </c>
      <c r="N1330" s="237">
        <f t="shared" si="147"/>
        <v>0</v>
      </c>
      <c r="O1330" s="361"/>
      <c r="P1330" s="361"/>
      <c r="Q1330" s="361"/>
      <c r="R1330" s="362"/>
      <c r="S1330" s="236"/>
      <c r="T1330" s="364"/>
      <c r="U1330" s="365"/>
      <c r="V1330" s="365"/>
      <c r="W1330" s="365"/>
      <c r="X1330" s="365"/>
      <c r="Y1330" s="362"/>
    </row>
    <row r="1331" spans="1:44" x14ac:dyDescent="0.25">
      <c r="A1331" s="330" t="s">
        <v>992</v>
      </c>
      <c r="B1331" s="329">
        <v>126988</v>
      </c>
      <c r="C1331" s="157"/>
      <c r="D1331" s="348">
        <v>292000</v>
      </c>
      <c r="E1331" s="329">
        <v>126988</v>
      </c>
      <c r="F1331" s="157"/>
      <c r="G1331" s="330"/>
      <c r="H1331" s="329"/>
      <c r="I1331" s="157"/>
      <c r="J1331" s="330"/>
      <c r="K1331" s="329"/>
      <c r="L1331" s="157"/>
      <c r="M1331" s="360">
        <f t="shared" si="146"/>
        <v>0</v>
      </c>
      <c r="N1331" s="237">
        <f t="shared" si="147"/>
        <v>0</v>
      </c>
      <c r="O1331" s="361"/>
      <c r="P1331" s="361"/>
      <c r="Q1331" s="361"/>
      <c r="R1331" s="362"/>
      <c r="S1331" s="236"/>
      <c r="T1331" s="364"/>
      <c r="U1331" s="365"/>
      <c r="V1331" s="365"/>
      <c r="W1331" s="365"/>
      <c r="X1331" s="365"/>
      <c r="Y1331" s="362"/>
    </row>
    <row r="1332" spans="1:44" x14ac:dyDescent="0.25">
      <c r="A1332" s="330" t="s">
        <v>739</v>
      </c>
      <c r="B1332" s="329">
        <v>299411</v>
      </c>
      <c r="C1332" s="157"/>
      <c r="D1332" s="348">
        <v>292000</v>
      </c>
      <c r="E1332" s="329">
        <v>299411</v>
      </c>
      <c r="F1332" s="157"/>
      <c r="G1332" s="330"/>
      <c r="H1332" s="329"/>
      <c r="I1332" s="157"/>
      <c r="J1332" s="330"/>
      <c r="K1332" s="329"/>
      <c r="L1332" s="157"/>
      <c r="M1332" s="360">
        <f t="shared" si="146"/>
        <v>0</v>
      </c>
      <c r="N1332" s="237">
        <f t="shared" si="147"/>
        <v>0</v>
      </c>
      <c r="O1332" s="361"/>
      <c r="P1332" s="361"/>
      <c r="Q1332" s="361"/>
      <c r="R1332" s="362"/>
      <c r="S1332" s="236"/>
      <c r="T1332" s="364"/>
      <c r="U1332" s="365"/>
      <c r="V1332" s="365"/>
      <c r="W1332" s="365"/>
      <c r="X1332" s="365"/>
      <c r="Y1332" s="362"/>
    </row>
    <row r="1333" spans="1:44" s="18" customFormat="1" x14ac:dyDescent="0.25">
      <c r="A1333" s="333" t="s">
        <v>740</v>
      </c>
      <c r="B1333" s="334">
        <v>7.5987599999999995</v>
      </c>
      <c r="C1333" s="164"/>
      <c r="D1333" s="333" t="s">
        <v>740</v>
      </c>
      <c r="E1333" s="334">
        <v>7.5987599999999995</v>
      </c>
      <c r="F1333" s="164"/>
      <c r="G1333" s="333" t="s">
        <v>740</v>
      </c>
      <c r="H1333" s="334">
        <v>7.5987599999999995</v>
      </c>
      <c r="I1333" s="164"/>
      <c r="J1333" s="333" t="s">
        <v>740</v>
      </c>
      <c r="K1333" s="334">
        <v>7.5987599999999995</v>
      </c>
      <c r="L1333" s="164"/>
      <c r="M1333" s="358" t="str">
        <f t="shared" si="146"/>
        <v>D91REC</v>
      </c>
      <c r="N1333" s="239">
        <f t="shared" si="147"/>
        <v>7.5987599999999995</v>
      </c>
      <c r="O1333" s="243"/>
      <c r="P1333" s="243">
        <f>MATCH(Q1333,Q1334:Q$1550,0)</f>
        <v>2</v>
      </c>
      <c r="Q1333" s="243" t="s">
        <v>697</v>
      </c>
      <c r="R1333" s="359" t="str">
        <f>IF(Q1333="ekrk",INDEX(indexy_SDcast!$A:$C,MATCH($M1333,indexy_SDcast!$A:$A,0),2),"")</f>
        <v/>
      </c>
      <c r="S1333" s="240"/>
      <c r="T1333" s="363" t="str">
        <f t="shared" si="145"/>
        <v>D91REC</v>
      </c>
      <c r="U1333" s="244">
        <f>SUM(U1334:U1334)</f>
        <v>7.5987599999999995</v>
      </c>
      <c r="V1333" s="244">
        <f>SUM(V1334:V1334)</f>
        <v>5.6990699999999999</v>
      </c>
      <c r="W1333" s="244">
        <f>SUM(W1334:W1334)</f>
        <v>3.7993799999999998</v>
      </c>
      <c r="X1333" s="244">
        <f>SUM(X1334:X1334)</f>
        <v>1.8996899999999999</v>
      </c>
      <c r="Y1333" s="359">
        <f>SUM(Y1334:Y1334)</f>
        <v>0</v>
      </c>
      <c r="Z1333" s="58"/>
      <c r="AA1333" s="58"/>
      <c r="AB1333" s="58"/>
      <c r="AC1333" s="58"/>
      <c r="AD1333" s="58"/>
      <c r="AE1333" s="58"/>
      <c r="AF1333" s="58"/>
      <c r="AG1333" s="58"/>
      <c r="AH1333" s="58"/>
      <c r="AI1333" s="58"/>
      <c r="AJ1333" s="58"/>
      <c r="AK1333" s="58"/>
      <c r="AL1333" s="58"/>
      <c r="AM1333" s="58"/>
      <c r="AN1333" s="58"/>
      <c r="AO1333" s="58"/>
      <c r="AP1333" s="58"/>
      <c r="AQ1333" s="58"/>
      <c r="AR1333" s="58"/>
    </row>
    <row r="1334" spans="1:44" x14ac:dyDescent="0.25">
      <c r="A1334" s="330">
        <v>122000</v>
      </c>
      <c r="B1334" s="329">
        <v>7.5987599999999995</v>
      </c>
      <c r="C1334" s="157"/>
      <c r="D1334" s="330">
        <v>122000</v>
      </c>
      <c r="E1334" s="329">
        <v>7.5987599999999995</v>
      </c>
      <c r="F1334" s="157"/>
      <c r="G1334" s="330">
        <v>122000</v>
      </c>
      <c r="H1334" s="329">
        <v>7.5987599999999995</v>
      </c>
      <c r="I1334" s="157"/>
      <c r="J1334" s="330">
        <v>122000</v>
      </c>
      <c r="K1334" s="329">
        <v>7.5987599999999995</v>
      </c>
      <c r="L1334" s="157"/>
      <c r="M1334" s="360">
        <f t="shared" si="146"/>
        <v>122000</v>
      </c>
      <c r="N1334" s="237">
        <f t="shared" si="147"/>
        <v>7.5987599999999995</v>
      </c>
      <c r="O1334" s="361"/>
      <c r="P1334" s="361"/>
      <c r="Q1334" s="361" t="s">
        <v>698</v>
      </c>
      <c r="R1334" s="362">
        <f>IF(Q1334="ekrk",INDEX(indexy_SDcast!$A:$C,MATCH($M1334,indexy_SDcast!$A:$A,0),2),"")</f>
        <v>21</v>
      </c>
      <c r="S1334" s="236"/>
      <c r="T1334" s="364">
        <f t="shared" si="145"/>
        <v>122000</v>
      </c>
      <c r="U1334" s="365">
        <f>N1334</f>
        <v>7.5987599999999995</v>
      </c>
      <c r="V1334" s="365">
        <f>IF($Q1334="ekrk",IF($R1334="data",IFERROR(INDEX(data!$A:$ALL,MATCH($M1334,data!$A:$A,0),MATCH(V$2,data!$1:$1,0)),"#data"),IFERROR(U1334*INDEX(indexy_SDcast!$A:$ALI,MATCH($R1334,indexy_SDcast!$K:$K,0),MATCH(V$2,indexy_SDcast!$2:$2,0)),"#ekrk")),"#popis")</f>
        <v>5.6990699999999999</v>
      </c>
      <c r="W1334" s="365">
        <f>IF($Q1334="ekrk",IF($R1334="data",IFERROR(INDEX(data!$A:$ALL,MATCH($M1334,data!$A:$A,0),MATCH(W$2,data!$1:$1,0)),"#data"),IFERROR(V1334*INDEX(indexy_SDcast!$A:$ALI,MATCH($R1334,indexy_SDcast!$K:$K,0),MATCH(W$2,indexy_SDcast!$2:$2,0)),"#ekrk")),"#popis")</f>
        <v>3.7993799999999998</v>
      </c>
      <c r="X1334" s="365">
        <f>IF($Q1334="ekrk",IF($R1334="data",IFERROR(INDEX(data!$A:$ALL,MATCH($M1334,data!$A:$A,0),MATCH(X$2,data!$1:$1,0)),"#data"),IFERROR(W1334*INDEX(indexy_SDcast!$A:$ALI,MATCH($R1334,indexy_SDcast!$K:$K,0),MATCH(X$2,indexy_SDcast!$2:$2,0)),"#ekrk")),"#popis")</f>
        <v>1.8996899999999999</v>
      </c>
      <c r="Y1334" s="362">
        <f>IF($Q1334="ekrk",IF($R1334="data",IFERROR(INDEX(data!$A:$ALL,MATCH($M1334,data!$A:$A,0),MATCH(Y$2,data!$1:$1,0)),"#data"),IFERROR(X1334*INDEX(indexy_SDcast!$A:$ALI,MATCH($R1334,indexy_SDcast!$K:$K,0),MATCH(Y$2,indexy_SDcast!$2:$2,0)),"#ekrk")),"#popis")</f>
        <v>0</v>
      </c>
    </row>
    <row r="1335" spans="1:44" s="18" customFormat="1" x14ac:dyDescent="0.25">
      <c r="A1335" s="333" t="s">
        <v>741</v>
      </c>
      <c r="B1335" s="334">
        <v>-127556.13848000002</v>
      </c>
      <c r="C1335" s="164"/>
      <c r="D1335" s="333" t="s">
        <v>741</v>
      </c>
      <c r="E1335" s="334">
        <v>-127556.13848000002</v>
      </c>
      <c r="F1335" s="164"/>
      <c r="G1335" s="333" t="s">
        <v>741</v>
      </c>
      <c r="H1335" s="334">
        <v>-127556.13848000002</v>
      </c>
      <c r="I1335" s="164"/>
      <c r="J1335" s="333" t="s">
        <v>741</v>
      </c>
      <c r="K1335" s="334">
        <v>-127556.13848000002</v>
      </c>
      <c r="L1335" s="164"/>
      <c r="M1335" s="358" t="str">
        <f t="shared" si="146"/>
        <v>D92PAY</v>
      </c>
      <c r="N1335" s="239">
        <f t="shared" si="147"/>
        <v>-127556.13848000002</v>
      </c>
      <c r="O1335" s="243"/>
      <c r="P1335" s="243">
        <f>MATCH(Q1335,Q1336:Q$1550,0)</f>
        <v>13</v>
      </c>
      <c r="Q1335" s="243" t="s">
        <v>697</v>
      </c>
      <c r="R1335" s="359" t="str">
        <f>IF(Q1335="ekrk",INDEX(indexy_SDcast!$A:$C,MATCH($M1335,indexy_SDcast!$A:$A,0),2),"")</f>
        <v/>
      </c>
      <c r="S1335" s="240"/>
      <c r="T1335" s="363" t="str">
        <f t="shared" si="145"/>
        <v>D92PAY</v>
      </c>
      <c r="U1335" s="244">
        <f>SUM(U1336:U1347)</f>
        <v>-127556.13848000002</v>
      </c>
      <c r="V1335" s="244">
        <f>SUM(V1336:V1347)</f>
        <v>-134907.14809088441</v>
      </c>
      <c r="W1335" s="244">
        <f>SUM(W1336:W1347)</f>
        <v>-141025.97041099484</v>
      </c>
      <c r="X1335" s="244">
        <f>SUM(X1336:X1347)</f>
        <v>-148207.72728497488</v>
      </c>
      <c r="Y1335" s="359">
        <f>SUM(Y1336:Y1347)</f>
        <v>-156814.60518563588</v>
      </c>
      <c r="Z1335" s="58"/>
      <c r="AA1335" s="58"/>
      <c r="AB1335" s="58"/>
      <c r="AC1335" s="58"/>
      <c r="AD1335" s="58"/>
      <c r="AE1335" s="58"/>
      <c r="AF1335" s="58"/>
      <c r="AG1335" s="58"/>
      <c r="AH1335" s="58"/>
      <c r="AI1335" s="58"/>
      <c r="AJ1335" s="58"/>
      <c r="AK1335" s="58"/>
      <c r="AL1335" s="58"/>
      <c r="AM1335" s="58"/>
      <c r="AN1335" s="58"/>
      <c r="AO1335" s="58"/>
      <c r="AP1335" s="58"/>
      <c r="AQ1335" s="58"/>
      <c r="AR1335" s="58"/>
    </row>
    <row r="1336" spans="1:44" x14ac:dyDescent="0.25">
      <c r="A1336" s="330">
        <v>722001</v>
      </c>
      <c r="B1336" s="329">
        <v>-5900.4227199999996</v>
      </c>
      <c r="C1336" s="157"/>
      <c r="D1336" s="330">
        <v>722001</v>
      </c>
      <c r="E1336" s="329">
        <v>-5900.4227199999996</v>
      </c>
      <c r="F1336" s="157"/>
      <c r="G1336" s="330">
        <v>722001</v>
      </c>
      <c r="H1336" s="329">
        <v>-5900.4227199999996</v>
      </c>
      <c r="I1336" s="157"/>
      <c r="J1336" s="330">
        <v>722001</v>
      </c>
      <c r="K1336" s="329">
        <v>-5900.4227199999996</v>
      </c>
      <c r="L1336" s="157"/>
      <c r="M1336" s="360">
        <f t="shared" si="146"/>
        <v>722001</v>
      </c>
      <c r="N1336" s="237">
        <f t="shared" si="147"/>
        <v>-5900.4227199999996</v>
      </c>
      <c r="O1336" s="361"/>
      <c r="P1336" s="361"/>
      <c r="Q1336" s="361" t="s">
        <v>698</v>
      </c>
      <c r="R1336" s="362">
        <f>IF(Q1336="ekrk",INDEX(indexy_SDcast!$A:$C,MATCH($M1336,indexy_SDcast!$A:$A,0),2),"")</f>
        <v>37</v>
      </c>
      <c r="S1336" s="236"/>
      <c r="T1336" s="364">
        <f t="shared" si="145"/>
        <v>722001</v>
      </c>
      <c r="U1336" s="365">
        <f t="shared" ref="U1336:U1346" si="148">N1336</f>
        <v>-5900.4227199999996</v>
      </c>
      <c r="V1336" s="365">
        <f>IF($Q1336="ekrk",IF($R1336="data",IFERROR(INDEX(data!$A:$ALL,MATCH($M1336,data!$A:$A,0),MATCH(V$2,data!$1:$1,0)),"#data"),IFERROR(U1336*INDEX(indexy_SDcast!$A:$ALI,MATCH($R1336,indexy_SDcast!$K:$K,0),MATCH(V$2,indexy_SDcast!$2:$2,0)),"#ekrk")),"#popis")</f>
        <v>-6091.9876464751806</v>
      </c>
      <c r="W1336" s="365">
        <f>IF($Q1336="ekrk",IF($R1336="data",IFERROR(INDEX(data!$A:$ALL,MATCH($M1336,data!$A:$A,0),MATCH(W$2,data!$1:$1,0)),"#data"),IFERROR(V1336*INDEX(indexy_SDcast!$A:$ALI,MATCH($R1336,indexy_SDcast!$K:$K,0),MATCH(W$2,indexy_SDcast!$2:$2,0)),"#ekrk")),"#popis")</f>
        <v>-6361.4224508035595</v>
      </c>
      <c r="X1336" s="365">
        <f>IF($Q1336="ekrk",IF($R1336="data",IFERROR(INDEX(data!$A:$ALL,MATCH($M1336,data!$A:$A,0),MATCH(X$2,data!$1:$1,0)),"#data"),IFERROR(W1336*INDEX(indexy_SDcast!$A:$ALI,MATCH($R1336,indexy_SDcast!$K:$K,0),MATCH(X$2,indexy_SDcast!$2:$2,0)),"#ekrk")),"#popis")</f>
        <v>-6682.2511351583562</v>
      </c>
      <c r="Y1336" s="362">
        <f>IF($Q1336="ekrk",IF($R1336="data",IFERROR(INDEX(data!$A:$ALL,MATCH($M1336,data!$A:$A,0),MATCH(Y$2,data!$1:$1,0)),"#data"),IFERROR(X1336*INDEX(indexy_SDcast!$A:$ALI,MATCH($R1336,indexy_SDcast!$K:$K,0),MATCH(Y$2,indexy_SDcast!$2:$2,0)),"#ekrk")),"#popis")</f>
        <v>-7050.3069877088092</v>
      </c>
    </row>
    <row r="1337" spans="1:44" x14ac:dyDescent="0.25">
      <c r="A1337" s="330">
        <v>722002</v>
      </c>
      <c r="B1337" s="329">
        <v>-792.30430000000013</v>
      </c>
      <c r="C1337" s="157"/>
      <c r="D1337" s="330">
        <v>722002</v>
      </c>
      <c r="E1337" s="329">
        <v>-792.30430000000013</v>
      </c>
      <c r="F1337" s="157"/>
      <c r="G1337" s="330">
        <v>722002</v>
      </c>
      <c r="H1337" s="329">
        <v>-792.30430000000013</v>
      </c>
      <c r="I1337" s="157"/>
      <c r="J1337" s="330">
        <v>722002</v>
      </c>
      <c r="K1337" s="329">
        <v>-792.30430000000013</v>
      </c>
      <c r="L1337" s="157"/>
      <c r="M1337" s="360">
        <f t="shared" si="146"/>
        <v>722002</v>
      </c>
      <c r="N1337" s="237">
        <f t="shared" si="147"/>
        <v>-792.30430000000013</v>
      </c>
      <c r="O1337" s="361"/>
      <c r="P1337" s="361"/>
      <c r="Q1337" s="361" t="s">
        <v>698</v>
      </c>
      <c r="R1337" s="362">
        <f>IF(Q1337="ekrk",INDEX(indexy_SDcast!$A:$C,MATCH($M1337,indexy_SDcast!$A:$A,0),2),"")</f>
        <v>37</v>
      </c>
      <c r="S1337" s="236"/>
      <c r="T1337" s="364">
        <f t="shared" si="145"/>
        <v>722002</v>
      </c>
      <c r="U1337" s="365">
        <f t="shared" si="148"/>
        <v>-792.30430000000013</v>
      </c>
      <c r="V1337" s="365">
        <f>IF($Q1337="ekrk",IF($R1337="data",IFERROR(INDEX(data!$A:$ALL,MATCH($M1337,data!$A:$A,0),MATCH(V$2,data!$1:$1,0)),"#data"),IFERROR(U1337*INDEX(indexy_SDcast!$A:$ALI,MATCH($R1337,indexy_SDcast!$K:$K,0),MATCH(V$2,indexy_SDcast!$2:$2,0)),"#ekrk")),"#popis")</f>
        <v>-818.02749343510868</v>
      </c>
      <c r="W1337" s="365">
        <f>IF($Q1337="ekrk",IF($R1337="data",IFERROR(INDEX(data!$A:$ALL,MATCH($M1337,data!$A:$A,0),MATCH(W$2,data!$1:$1,0)),"#data"),IFERROR(V1337*INDEX(indexy_SDcast!$A:$ALI,MATCH($R1337,indexy_SDcast!$K:$K,0),MATCH(W$2,indexy_SDcast!$2:$2,0)),"#ekrk")),"#popis")</f>
        <v>-854.20699517071205</v>
      </c>
      <c r="X1337" s="365">
        <f>IF($Q1337="ekrk",IF($R1337="data",IFERROR(INDEX(data!$A:$ALL,MATCH($M1337,data!$A:$A,0),MATCH(X$2,data!$1:$1,0)),"#data"),IFERROR(W1337*INDEX(indexy_SDcast!$A:$ALI,MATCH($R1337,indexy_SDcast!$K:$K,0),MATCH(X$2,indexy_SDcast!$2:$2,0)),"#ekrk")),"#popis")</f>
        <v>-897.28762824400621</v>
      </c>
      <c r="Y1337" s="362">
        <f>IF($Q1337="ekrk",IF($R1337="data",IFERROR(INDEX(data!$A:$ALL,MATCH($M1337,data!$A:$A,0),MATCH(Y$2,data!$1:$1,0)),"#data"),IFERROR(X1337*INDEX(indexy_SDcast!$A:$ALI,MATCH($R1337,indexy_SDcast!$K:$K,0),MATCH(Y$2,indexy_SDcast!$2:$2,0)),"#ekrk")),"#popis")</f>
        <v>-946.70988974188913</v>
      </c>
    </row>
    <row r="1338" spans="1:44" x14ac:dyDescent="0.25">
      <c r="A1338" s="330">
        <v>722003</v>
      </c>
      <c r="B1338" s="329">
        <v>-6408.2285700000002</v>
      </c>
      <c r="C1338" s="157"/>
      <c r="D1338" s="330">
        <v>722003</v>
      </c>
      <c r="E1338" s="329">
        <v>-6408.2285700000002</v>
      </c>
      <c r="F1338" s="157"/>
      <c r="G1338" s="330">
        <v>722003</v>
      </c>
      <c r="H1338" s="329">
        <v>-6408.2285700000002</v>
      </c>
      <c r="I1338" s="157"/>
      <c r="J1338" s="330">
        <v>722003</v>
      </c>
      <c r="K1338" s="329">
        <v>-6408.2285700000002</v>
      </c>
      <c r="L1338" s="157"/>
      <c r="M1338" s="360">
        <f t="shared" si="146"/>
        <v>722003</v>
      </c>
      <c r="N1338" s="237">
        <f t="shared" si="147"/>
        <v>-6408.2285700000002</v>
      </c>
      <c r="O1338" s="361"/>
      <c r="P1338" s="361"/>
      <c r="Q1338" s="361" t="s">
        <v>698</v>
      </c>
      <c r="R1338" s="362">
        <f>IF(Q1338="ekrk",INDEX(indexy_SDcast!$A:$C,MATCH($M1338,indexy_SDcast!$A:$A,0),2),"")</f>
        <v>37</v>
      </c>
      <c r="S1338" s="236"/>
      <c r="T1338" s="364">
        <f t="shared" si="145"/>
        <v>722003</v>
      </c>
      <c r="U1338" s="365">
        <f t="shared" si="148"/>
        <v>-6408.2285700000002</v>
      </c>
      <c r="V1338" s="365">
        <f>IF($Q1338="ekrk",IF($R1338="data",IFERROR(INDEX(data!$A:$ALL,MATCH($M1338,data!$A:$A,0),MATCH(V$2,data!$1:$1,0)),"#data"),IFERROR(U1338*INDEX(indexy_SDcast!$A:$ALI,MATCH($R1338,indexy_SDcast!$K:$K,0),MATCH(V$2,indexy_SDcast!$2:$2,0)),"#ekrk")),"#popis")</f>
        <v>-6616.2800763246523</v>
      </c>
      <c r="W1338" s="365">
        <f>IF($Q1338="ekrk",IF($R1338="data",IFERROR(INDEX(data!$A:$ALL,MATCH($M1338,data!$A:$A,0),MATCH(W$2,data!$1:$1,0)),"#data"),IFERROR(V1338*INDEX(indexy_SDcast!$A:$ALI,MATCH($R1338,indexy_SDcast!$K:$K,0),MATCH(W$2,indexy_SDcast!$2:$2,0)),"#ekrk")),"#popis")</f>
        <v>-6908.9031463628407</v>
      </c>
      <c r="X1338" s="365">
        <f>IF($Q1338="ekrk",IF($R1338="data",IFERROR(INDEX(data!$A:$ALL,MATCH($M1338,data!$A:$A,0),MATCH(X$2,data!$1:$1,0)),"#data"),IFERROR(W1338*INDEX(indexy_SDcast!$A:$ALI,MATCH($R1338,indexy_SDcast!$K:$K,0),MATCH(X$2,indexy_SDcast!$2:$2,0)),"#ekrk")),"#popis")</f>
        <v>-7257.3431884956053</v>
      </c>
      <c r="Y1338" s="362">
        <f>IF($Q1338="ekrk",IF($R1338="data",IFERROR(INDEX(data!$A:$ALL,MATCH($M1338,data!$A:$A,0),MATCH(Y$2,data!$1:$1,0)),"#data"),IFERROR(X1338*INDEX(indexy_SDcast!$A:$ALI,MATCH($R1338,indexy_SDcast!$K:$K,0),MATCH(Y$2,indexy_SDcast!$2:$2,0)),"#ekrk")),"#popis")</f>
        <v>-7657.0748927470459</v>
      </c>
    </row>
    <row r="1339" spans="1:44" x14ac:dyDescent="0.25">
      <c r="A1339" s="330">
        <v>722004</v>
      </c>
      <c r="B1339" s="329">
        <v>-241.1</v>
      </c>
      <c r="C1339" s="157"/>
      <c r="D1339" s="330">
        <v>722004</v>
      </c>
      <c r="E1339" s="329">
        <v>-241.1</v>
      </c>
      <c r="F1339" s="157"/>
      <c r="G1339" s="330">
        <v>722004</v>
      </c>
      <c r="H1339" s="329">
        <v>-241.1</v>
      </c>
      <c r="I1339" s="157"/>
      <c r="J1339" s="330">
        <v>722004</v>
      </c>
      <c r="K1339" s="329">
        <v>-241.1</v>
      </c>
      <c r="L1339" s="157"/>
      <c r="M1339" s="360">
        <f t="shared" si="146"/>
        <v>722004</v>
      </c>
      <c r="N1339" s="237">
        <f t="shared" si="147"/>
        <v>-241.1</v>
      </c>
      <c r="O1339" s="361"/>
      <c r="P1339" s="361"/>
      <c r="Q1339" s="361" t="s">
        <v>698</v>
      </c>
      <c r="R1339" s="362">
        <f>IF(Q1339="ekrk",INDEX(indexy_SDcast!$A:$C,MATCH($M1339,indexy_SDcast!$A:$A,0),2),"")</f>
        <v>37</v>
      </c>
      <c r="S1339" s="236"/>
      <c r="T1339" s="364">
        <f t="shared" si="145"/>
        <v>722004</v>
      </c>
      <c r="U1339" s="365">
        <f t="shared" si="148"/>
        <v>-241.1</v>
      </c>
      <c r="V1339" s="365">
        <f>IF($Q1339="ekrk",IF($R1339="data",IFERROR(INDEX(data!$A:$ALL,MATCH($M1339,data!$A:$A,0),MATCH(V$2,data!$1:$1,0)),"#data"),IFERROR(U1339*INDEX(indexy_SDcast!$A:$ALI,MATCH($R1339,indexy_SDcast!$K:$K,0),MATCH(V$2,indexy_SDcast!$2:$2,0)),"#ekrk")),"#popis")</f>
        <v>-248.92762625067752</v>
      </c>
      <c r="W1339" s="365">
        <f>IF($Q1339="ekrk",IF($R1339="data",IFERROR(INDEX(data!$A:$ALL,MATCH($M1339,data!$A:$A,0),MATCH(W$2,data!$1:$1,0)),"#data"),IFERROR(V1339*INDEX(indexy_SDcast!$A:$ALI,MATCH($R1339,indexy_SDcast!$K:$K,0),MATCH(W$2,indexy_SDcast!$2:$2,0)),"#ekrk")),"#popis")</f>
        <v>-259.93713089233347</v>
      </c>
      <c r="X1339" s="365">
        <f>IF($Q1339="ekrk",IF($R1339="data",IFERROR(INDEX(data!$A:$ALL,MATCH($M1339,data!$A:$A,0),MATCH(X$2,data!$1:$1,0)),"#data"),IFERROR(W1339*INDEX(indexy_SDcast!$A:$ALI,MATCH($R1339,indexy_SDcast!$K:$K,0),MATCH(X$2,indexy_SDcast!$2:$2,0)),"#ekrk")),"#popis")</f>
        <v>-273.04666549156667</v>
      </c>
      <c r="Y1339" s="362">
        <f>IF($Q1339="ekrk",IF($R1339="data",IFERROR(INDEX(data!$A:$ALL,MATCH($M1339,data!$A:$A,0),MATCH(Y$2,data!$1:$1,0)),"#data"),IFERROR(X1339*INDEX(indexy_SDcast!$A:$ALI,MATCH($R1339,indexy_SDcast!$K:$K,0),MATCH(Y$2,indexy_SDcast!$2:$2,0)),"#ekrk")),"#popis")</f>
        <v>-288.08597203974466</v>
      </c>
    </row>
    <row r="1340" spans="1:44" x14ac:dyDescent="0.25">
      <c r="A1340" s="330">
        <v>723001</v>
      </c>
      <c r="B1340" s="329">
        <v>-129648.12601999998</v>
      </c>
      <c r="C1340" s="157"/>
      <c r="D1340" s="330">
        <v>723001</v>
      </c>
      <c r="E1340" s="329">
        <v>-129648.12601999998</v>
      </c>
      <c r="F1340" s="157"/>
      <c r="G1340" s="330">
        <v>723001</v>
      </c>
      <c r="H1340" s="356">
        <f>E1340+E1347</f>
        <v>-91131.11540000001</v>
      </c>
      <c r="I1340" s="157"/>
      <c r="J1340" s="330">
        <v>723001</v>
      </c>
      <c r="K1340" s="329">
        <f>H1340+H1347</f>
        <v>-91131.11540000001</v>
      </c>
      <c r="L1340" s="157"/>
      <c r="M1340" s="360">
        <f t="shared" si="146"/>
        <v>723001</v>
      </c>
      <c r="N1340" s="237">
        <f t="shared" si="147"/>
        <v>-91131.11540000001</v>
      </c>
      <c r="O1340" s="361"/>
      <c r="P1340" s="361"/>
      <c r="Q1340" s="361" t="s">
        <v>698</v>
      </c>
      <c r="R1340" s="362" t="str">
        <f>IF(Q1340="ekrk",INDEX(indexy_SDcast!$A:$C,MATCH($M1340,indexy_SDcast!$A:$A,0),2),"")</f>
        <v>data</v>
      </c>
      <c r="S1340" s="236"/>
      <c r="T1340" s="364">
        <f t="shared" si="145"/>
        <v>723001</v>
      </c>
      <c r="U1340" s="365">
        <f t="shared" si="148"/>
        <v>-91131.11540000001</v>
      </c>
      <c r="V1340" s="365">
        <f>IF($Q1340="ekrk",IF($R1340="data",IFERROR(INDEX(data!$A:$ALL,MATCH($M1340,data!$A:$A,0),MATCH(V$2,data!$1:$1,0)),"#data"),IFERROR(U1340*INDEX(indexy_SDcast!$A:$ALI,MATCH($R1340,indexy_SDcast!$K:$K,0),MATCH(V$2,indexy_SDcast!$2:$2,0)),"#ekrk")),"#popis")</f>
        <v>-97299.539084536227</v>
      </c>
      <c r="W1340" s="365">
        <f>IF($Q1340="ekrk",IF($R1340="data",IFERROR(INDEX(data!$A:$ALL,MATCH($M1340,data!$A:$A,0),MATCH(W$2,data!$1:$1,0)),"#data"),IFERROR(V1340*INDEX(indexy_SDcast!$A:$ALI,MATCH($R1340,indexy_SDcast!$K:$K,0),MATCH(W$2,indexy_SDcast!$2:$2,0)),"#ekrk")),"#popis")</f>
        <v>-101755.06210696237</v>
      </c>
      <c r="X1340" s="365">
        <f>IF($Q1340="ekrk",IF($R1340="data",IFERROR(INDEX(data!$A:$ALL,MATCH($M1340,data!$A:$A,0),MATCH(X$2,data!$1:$1,0)),"#data"),IFERROR(W1340*INDEX(indexy_SDcast!$A:$ALI,MATCH($R1340,indexy_SDcast!$K:$K,0),MATCH(X$2,indexy_SDcast!$2:$2,0)),"#ekrk")),"#popis")</f>
        <v>-106956.25033579464</v>
      </c>
      <c r="Y1340" s="362">
        <f>IF($Q1340="ekrk",IF($R1340="data",IFERROR(INDEX(data!$A:$ALL,MATCH($M1340,data!$A:$A,0),MATCH(Y$2,data!$1:$1,0)),"#data"),IFERROR(X1340*INDEX(indexy_SDcast!$A:$ALI,MATCH($R1340,indexy_SDcast!$K:$K,0),MATCH(Y$2,indexy_SDcast!$2:$2,0)),"#ekrk")),"#popis")</f>
        <v>-113291.01256609241</v>
      </c>
    </row>
    <row r="1341" spans="1:44" x14ac:dyDescent="0.25">
      <c r="A1341" s="330">
        <v>723002</v>
      </c>
      <c r="B1341" s="329">
        <v>-11113.68511</v>
      </c>
      <c r="C1341" s="157"/>
      <c r="D1341" s="330">
        <v>723002</v>
      </c>
      <c r="E1341" s="329">
        <v>-11113.68511</v>
      </c>
      <c r="F1341" s="157"/>
      <c r="G1341" s="330">
        <v>723002</v>
      </c>
      <c r="H1341" s="329">
        <v>-11113.68511</v>
      </c>
      <c r="I1341" s="157"/>
      <c r="J1341" s="330">
        <v>723002</v>
      </c>
      <c r="K1341" s="329">
        <v>-11113.68511</v>
      </c>
      <c r="L1341" s="157"/>
      <c r="M1341" s="360">
        <f t="shared" si="146"/>
        <v>723002</v>
      </c>
      <c r="N1341" s="237">
        <f t="shared" si="147"/>
        <v>-11113.68511</v>
      </c>
      <c r="O1341" s="361"/>
      <c r="P1341" s="361"/>
      <c r="Q1341" s="361" t="s">
        <v>698</v>
      </c>
      <c r="R1341" s="362">
        <f>IF(Q1341="ekrk",INDEX(indexy_SDcast!$A:$C,MATCH($M1341,indexy_SDcast!$A:$A,0),2),"")</f>
        <v>37</v>
      </c>
      <c r="S1341" s="236"/>
      <c r="T1341" s="364">
        <f t="shared" si="145"/>
        <v>723002</v>
      </c>
      <c r="U1341" s="365">
        <f t="shared" si="148"/>
        <v>-11113.68511</v>
      </c>
      <c r="V1341" s="365">
        <f>IF($Q1341="ekrk",IF($R1341="data",IFERROR(INDEX(data!$A:$ALL,MATCH($M1341,data!$A:$A,0),MATCH(V$2,data!$1:$1,0)),"#data"),IFERROR(U1341*INDEX(indexy_SDcast!$A:$ALI,MATCH($R1341,indexy_SDcast!$K:$K,0),MATCH(V$2,indexy_SDcast!$2:$2,0)),"#ekrk")),"#popis")</f>
        <v>-11474.505405764412</v>
      </c>
      <c r="W1341" s="365">
        <f>IF($Q1341="ekrk",IF($R1341="data",IFERROR(INDEX(data!$A:$ALL,MATCH($M1341,data!$A:$A,0),MATCH(W$2,data!$1:$1,0)),"#data"),IFERROR(V1341*INDEX(indexy_SDcast!$A:$ALI,MATCH($R1341,indexy_SDcast!$K:$K,0),MATCH(W$2,indexy_SDcast!$2:$2,0)),"#ekrk")),"#popis")</f>
        <v>-11981.996769532341</v>
      </c>
      <c r="X1341" s="365">
        <f>IF($Q1341="ekrk",IF($R1341="data",IFERROR(INDEX(data!$A:$ALL,MATCH($M1341,data!$A:$A,0),MATCH(X$2,data!$1:$1,0)),"#data"),IFERROR(W1341*INDEX(indexy_SDcast!$A:$ALI,MATCH($R1341,indexy_SDcast!$K:$K,0),MATCH(X$2,indexy_SDcast!$2:$2,0)),"#ekrk")),"#popis")</f>
        <v>-12586.290587344567</v>
      </c>
      <c r="Y1341" s="362">
        <f>IF($Q1341="ekrk",IF($R1341="data",IFERROR(INDEX(data!$A:$ALL,MATCH($M1341,data!$A:$A,0),MATCH(Y$2,data!$1:$1,0)),"#data"),IFERROR(X1341*INDEX(indexy_SDcast!$A:$ALI,MATCH($R1341,indexy_SDcast!$K:$K,0),MATCH(Y$2,indexy_SDcast!$2:$2,0)),"#ekrk")),"#popis")</f>
        <v>-13279.538688751498</v>
      </c>
    </row>
    <row r="1342" spans="1:44" x14ac:dyDescent="0.25">
      <c r="A1342" s="330">
        <v>723003</v>
      </c>
      <c r="B1342" s="329">
        <v>-37.645000000000003</v>
      </c>
      <c r="C1342" s="157"/>
      <c r="D1342" s="330">
        <v>723003</v>
      </c>
      <c r="E1342" s="329">
        <v>-37.645000000000003</v>
      </c>
      <c r="F1342" s="157"/>
      <c r="G1342" s="330">
        <v>723003</v>
      </c>
      <c r="H1342" s="329">
        <v>-37.645000000000003</v>
      </c>
      <c r="I1342" s="157"/>
      <c r="J1342" s="330">
        <v>723003</v>
      </c>
      <c r="K1342" s="329">
        <v>-37.645000000000003</v>
      </c>
      <c r="L1342" s="157"/>
      <c r="M1342" s="360">
        <f t="shared" si="146"/>
        <v>723003</v>
      </c>
      <c r="N1342" s="237">
        <f t="shared" si="147"/>
        <v>-37.645000000000003</v>
      </c>
      <c r="O1342" s="361"/>
      <c r="P1342" s="361"/>
      <c r="Q1342" s="361" t="s">
        <v>698</v>
      </c>
      <c r="R1342" s="362">
        <f>IF(Q1342="ekrk",INDEX(indexy_SDcast!$A:$C,MATCH($M1342,indexy_SDcast!$A:$A,0),2),"")</f>
        <v>37</v>
      </c>
      <c r="S1342" s="236"/>
      <c r="T1342" s="364">
        <f t="shared" si="145"/>
        <v>723003</v>
      </c>
      <c r="U1342" s="365">
        <f t="shared" si="148"/>
        <v>-37.645000000000003</v>
      </c>
      <c r="V1342" s="365">
        <f>IF($Q1342="ekrk",IF($R1342="data",IFERROR(INDEX(data!$A:$ALL,MATCH($M1342,data!$A:$A,0),MATCH(V$2,data!$1:$1,0)),"#data"),IFERROR(U1342*INDEX(indexy_SDcast!$A:$ALI,MATCH($R1342,indexy_SDcast!$K:$K,0),MATCH(V$2,indexy_SDcast!$2:$2,0)),"#ekrk")),"#popis")</f>
        <v>-38.867194069708653</v>
      </c>
      <c r="W1342" s="365">
        <f>IF($Q1342="ekrk",IF($R1342="data",IFERROR(INDEX(data!$A:$ALL,MATCH($M1342,data!$A:$A,0),MATCH(W$2,data!$1:$1,0)),"#data"),IFERROR(V1342*INDEX(indexy_SDcast!$A:$ALI,MATCH($R1342,indexy_SDcast!$K:$K,0),MATCH(W$2,indexy_SDcast!$2:$2,0)),"#ekrk")),"#popis")</f>
        <v>-40.586201959526726</v>
      </c>
      <c r="X1342" s="365">
        <f>IF($Q1342="ekrk",IF($R1342="data",IFERROR(INDEX(data!$A:$ALL,MATCH($M1342,data!$A:$A,0),MATCH(X$2,data!$1:$1,0)),"#data"),IFERROR(W1342*INDEX(indexy_SDcast!$A:$ALI,MATCH($R1342,indexy_SDcast!$K:$K,0),MATCH(X$2,indexy_SDcast!$2:$2,0)),"#ekrk")),"#popis")</f>
        <v>-42.633105443509031</v>
      </c>
      <c r="Y1342" s="362">
        <f>IF($Q1342="ekrk",IF($R1342="data",IFERROR(INDEX(data!$A:$ALL,MATCH($M1342,data!$A:$A,0),MATCH(Y$2,data!$1:$1,0)),"#data"),IFERROR(X1342*INDEX(indexy_SDcast!$A:$ALI,MATCH($R1342,indexy_SDcast!$K:$K,0),MATCH(Y$2,indexy_SDcast!$2:$2,0)),"#ekrk")),"#popis")</f>
        <v>-44.981320686172495</v>
      </c>
    </row>
    <row r="1343" spans="1:44" x14ac:dyDescent="0.25">
      <c r="A1343" s="330">
        <v>723005</v>
      </c>
      <c r="B1343" s="329">
        <v>-7027.4851900000012</v>
      </c>
      <c r="C1343" s="157"/>
      <c r="D1343" s="330">
        <v>723005</v>
      </c>
      <c r="E1343" s="329">
        <v>-7027.4851900000012</v>
      </c>
      <c r="F1343" s="157"/>
      <c r="G1343" s="330">
        <v>723005</v>
      </c>
      <c r="H1343" s="329">
        <v>-7027.4851900000012</v>
      </c>
      <c r="I1343" s="157"/>
      <c r="J1343" s="330">
        <v>723005</v>
      </c>
      <c r="K1343" s="329">
        <v>-7027.4851900000012</v>
      </c>
      <c r="L1343" s="157"/>
      <c r="M1343" s="360">
        <f t="shared" si="146"/>
        <v>723005</v>
      </c>
      <c r="N1343" s="237">
        <f t="shared" si="147"/>
        <v>-7027.4851900000012</v>
      </c>
      <c r="O1343" s="361"/>
      <c r="P1343" s="361"/>
      <c r="Q1343" s="361" t="s">
        <v>698</v>
      </c>
      <c r="R1343" s="362">
        <f>IF(Q1343="ekrk",INDEX(indexy_SDcast!$A:$C,MATCH($M1343,indexy_SDcast!$A:$A,0),2),"")</f>
        <v>37</v>
      </c>
      <c r="S1343" s="236"/>
      <c r="T1343" s="364">
        <f t="shared" si="145"/>
        <v>723005</v>
      </c>
      <c r="U1343" s="365">
        <f t="shared" si="148"/>
        <v>-7027.4851900000012</v>
      </c>
      <c r="V1343" s="365">
        <f>IF($Q1343="ekrk",IF($R1343="data",IFERROR(INDEX(data!$A:$ALL,MATCH($M1343,data!$A:$A,0),MATCH(V$2,data!$1:$1,0)),"#data"),IFERROR(U1343*INDEX(indexy_SDcast!$A:$ALI,MATCH($R1343,indexy_SDcast!$K:$K,0),MATCH(V$2,indexy_SDcast!$2:$2,0)),"#ekrk")),"#popis")</f>
        <v>-7255.6416709186715</v>
      </c>
      <c r="W1343" s="365">
        <f>IF($Q1343="ekrk",IF($R1343="data",IFERROR(INDEX(data!$A:$ALL,MATCH($M1343,data!$A:$A,0),MATCH(W$2,data!$1:$1,0)),"#data"),IFERROR(V1343*INDEX(indexy_SDcast!$A:$ALI,MATCH($R1343,indexy_SDcast!$K:$K,0),MATCH(W$2,indexy_SDcast!$2:$2,0)),"#ekrk")),"#popis")</f>
        <v>-7576.5422549853383</v>
      </c>
      <c r="X1343" s="365">
        <f>IF($Q1343="ekrk",IF($R1343="data",IFERROR(INDEX(data!$A:$ALL,MATCH($M1343,data!$A:$A,0),MATCH(X$2,data!$1:$1,0)),"#data"),IFERROR(W1343*INDEX(indexy_SDcast!$A:$ALI,MATCH($R1343,indexy_SDcast!$K:$K,0),MATCH(X$2,indexy_SDcast!$2:$2,0)),"#ekrk")),"#popis")</f>
        <v>-7958.6536620525458</v>
      </c>
      <c r="Y1343" s="362">
        <f>IF($Q1343="ekrk",IF($R1343="data",IFERROR(INDEX(data!$A:$ALL,MATCH($M1343,data!$A:$A,0),MATCH(Y$2,data!$1:$1,0)),"#data"),IFERROR(X1343*INDEX(indexy_SDcast!$A:$ALI,MATCH($R1343,indexy_SDcast!$K:$K,0),MATCH(Y$2,indexy_SDcast!$2:$2,0)),"#ekrk")),"#popis")</f>
        <v>-8397.0132806141009</v>
      </c>
    </row>
    <row r="1344" spans="1:44" x14ac:dyDescent="0.25">
      <c r="A1344" s="330">
        <v>725001</v>
      </c>
      <c r="B1344" s="329">
        <v>-826.98865000000001</v>
      </c>
      <c r="C1344" s="157"/>
      <c r="D1344" s="330">
        <v>725001</v>
      </c>
      <c r="E1344" s="329">
        <v>-826.98865000000001</v>
      </c>
      <c r="F1344" s="157"/>
      <c r="G1344" s="330">
        <v>725001</v>
      </c>
      <c r="H1344" s="329">
        <v>-826.98865000000001</v>
      </c>
      <c r="I1344" s="157"/>
      <c r="J1344" s="330">
        <v>725001</v>
      </c>
      <c r="K1344" s="329">
        <v>-826.98865000000001</v>
      </c>
      <c r="L1344" s="157"/>
      <c r="M1344" s="360">
        <f t="shared" si="146"/>
        <v>725001</v>
      </c>
      <c r="N1344" s="237">
        <f t="shared" si="147"/>
        <v>-826.98865000000001</v>
      </c>
      <c r="O1344" s="361"/>
      <c r="P1344" s="361"/>
      <c r="Q1344" s="361" t="s">
        <v>698</v>
      </c>
      <c r="R1344" s="362">
        <f>IF(Q1344="ekrk",INDEX(indexy_SDcast!$A:$C,MATCH($M1344,indexy_SDcast!$A:$A,0),2),"")</f>
        <v>37</v>
      </c>
      <c r="S1344" s="236"/>
      <c r="T1344" s="364">
        <f t="shared" si="145"/>
        <v>725001</v>
      </c>
      <c r="U1344" s="365">
        <f t="shared" si="148"/>
        <v>-826.98865000000001</v>
      </c>
      <c r="V1344" s="365">
        <f>IF($Q1344="ekrk",IF($R1344="data",IFERROR(INDEX(data!$A:$ALL,MATCH($M1344,data!$A:$A,0),MATCH(V$2,data!$1:$1,0)),"#data"),IFERROR(U1344*INDEX(indexy_SDcast!$A:$ALI,MATCH($R1344,indexy_SDcast!$K:$K,0),MATCH(V$2,indexy_SDcast!$2:$2,0)),"#ekrk")),"#popis")</f>
        <v>-853.83791613750464</v>
      </c>
      <c r="W1344" s="365">
        <f>IF($Q1344="ekrk",IF($R1344="data",IFERROR(INDEX(data!$A:$ALL,MATCH($M1344,data!$A:$A,0),MATCH(W$2,data!$1:$1,0)),"#data"),IFERROR(V1344*INDEX(indexy_SDcast!$A:$ALI,MATCH($R1344,indexy_SDcast!$K:$K,0),MATCH(W$2,indexy_SDcast!$2:$2,0)),"#ekrk")),"#popis")</f>
        <v>-891.60123169441783</v>
      </c>
      <c r="X1344" s="365">
        <f>IF($Q1344="ekrk",IF($R1344="data",IFERROR(INDEX(data!$A:$ALL,MATCH($M1344,data!$A:$A,0),MATCH(X$2,data!$1:$1,0)),"#data"),IFERROR(W1344*INDEX(indexy_SDcast!$A:$ALI,MATCH($R1344,indexy_SDcast!$K:$K,0),MATCH(X$2,indexy_SDcast!$2:$2,0)),"#ekrk")),"#popis")</f>
        <v>-936.56778632049884</v>
      </c>
      <c r="Y1344" s="362">
        <f>IF($Q1344="ekrk",IF($R1344="data",IFERROR(INDEX(data!$A:$ALL,MATCH($M1344,data!$A:$A,0),MATCH(Y$2,data!$1:$1,0)),"#data"),IFERROR(X1344*INDEX(indexy_SDcast!$A:$ALI,MATCH($R1344,indexy_SDcast!$K:$K,0),MATCH(Y$2,indexy_SDcast!$2:$2,0)),"#ekrk")),"#popis")</f>
        <v>-988.15358399455056</v>
      </c>
    </row>
    <row r="1345" spans="1:44" x14ac:dyDescent="0.25">
      <c r="A1345" s="330">
        <v>725002</v>
      </c>
      <c r="B1345" s="329">
        <v>-3912.9270000000001</v>
      </c>
      <c r="C1345" s="157"/>
      <c r="D1345" s="330">
        <v>725002</v>
      </c>
      <c r="E1345" s="329">
        <v>-3912.9270000000001</v>
      </c>
      <c r="F1345" s="157"/>
      <c r="G1345" s="330">
        <v>725002</v>
      </c>
      <c r="H1345" s="329">
        <v>-3912.9270000000001</v>
      </c>
      <c r="I1345" s="157"/>
      <c r="J1345" s="330">
        <v>725002</v>
      </c>
      <c r="K1345" s="329">
        <v>-3912.9270000000001</v>
      </c>
      <c r="L1345" s="157"/>
      <c r="M1345" s="360">
        <f t="shared" si="146"/>
        <v>725002</v>
      </c>
      <c r="N1345" s="237">
        <f t="shared" si="147"/>
        <v>-3912.9270000000001</v>
      </c>
      <c r="O1345" s="361"/>
      <c r="P1345" s="361"/>
      <c r="Q1345" s="361" t="s">
        <v>698</v>
      </c>
      <c r="R1345" s="362">
        <f>IF(Q1345="ekrk",INDEX(indexy_SDcast!$A:$C,MATCH($M1345,indexy_SDcast!$A:$A,0),2),"")</f>
        <v>37</v>
      </c>
      <c r="S1345" s="236"/>
      <c r="T1345" s="364">
        <f t="shared" si="145"/>
        <v>725002</v>
      </c>
      <c r="U1345" s="365">
        <f t="shared" si="148"/>
        <v>-3912.9270000000001</v>
      </c>
      <c r="V1345" s="365">
        <f>IF($Q1345="ekrk",IF($R1345="data",IFERROR(INDEX(data!$A:$ALL,MATCH($M1345,data!$A:$A,0),MATCH(V$2,data!$1:$1,0)),"#data"),IFERROR(U1345*INDEX(indexy_SDcast!$A:$ALI,MATCH($R1345,indexy_SDcast!$K:$K,0),MATCH(V$2,indexy_SDcast!$2:$2,0)),"#ekrk")),"#popis")</f>
        <v>-4039.965283294006</v>
      </c>
      <c r="W1345" s="365">
        <f>IF($Q1345="ekrk",IF($R1345="data",IFERROR(INDEX(data!$A:$ALL,MATCH($M1345,data!$A:$A,0),MATCH(W$2,data!$1:$1,0)),"#data"),IFERROR(V1345*INDEX(indexy_SDcast!$A:$ALI,MATCH($R1345,indexy_SDcast!$K:$K,0),MATCH(W$2,indexy_SDcast!$2:$2,0)),"#ekrk")),"#popis")</f>
        <v>-4218.6437900088995</v>
      </c>
      <c r="X1345" s="365">
        <f>IF($Q1345="ekrk",IF($R1345="data",IFERROR(INDEX(data!$A:$ALL,MATCH($M1345,data!$A:$A,0),MATCH(X$2,data!$1:$1,0)),"#data"),IFERROR(W1345*INDEX(indexy_SDcast!$A:$ALI,MATCH($R1345,indexy_SDcast!$K:$K,0),MATCH(X$2,indexy_SDcast!$2:$2,0)),"#ekrk")),"#popis")</f>
        <v>-4431.4046854496864</v>
      </c>
      <c r="Y1345" s="362">
        <f>IF($Q1345="ekrk",IF($R1345="data",IFERROR(INDEX(data!$A:$ALL,MATCH($M1345,data!$A:$A,0),MATCH(Y$2,data!$1:$1,0)),"#data"),IFERROR(X1345*INDEX(indexy_SDcast!$A:$ALI,MATCH($R1345,indexy_SDcast!$K:$K,0),MATCH(Y$2,indexy_SDcast!$2:$2,0)),"#ekrk")),"#popis")</f>
        <v>-4675.4847711139028</v>
      </c>
    </row>
    <row r="1346" spans="1:44" x14ac:dyDescent="0.25">
      <c r="A1346" s="330">
        <v>725003</v>
      </c>
      <c r="B1346" s="329">
        <v>-164.23653999999999</v>
      </c>
      <c r="C1346" s="157"/>
      <c r="D1346" s="330">
        <v>725003</v>
      </c>
      <c r="E1346" s="329">
        <v>-164.23653999999999</v>
      </c>
      <c r="F1346" s="157"/>
      <c r="G1346" s="330">
        <v>725003</v>
      </c>
      <c r="H1346" s="329">
        <v>-164.23653999999999</v>
      </c>
      <c r="I1346" s="157"/>
      <c r="J1346" s="330">
        <v>725003</v>
      </c>
      <c r="K1346" s="329">
        <v>-164.23653999999999</v>
      </c>
      <c r="L1346" s="157"/>
      <c r="M1346" s="360">
        <f t="shared" si="146"/>
        <v>725003</v>
      </c>
      <c r="N1346" s="237">
        <f t="shared" si="147"/>
        <v>-164.23653999999999</v>
      </c>
      <c r="O1346" s="361"/>
      <c r="P1346" s="361"/>
      <c r="Q1346" s="361" t="s">
        <v>698</v>
      </c>
      <c r="R1346" s="362">
        <f>IF(Q1346="ekrk",INDEX(indexy_SDcast!$A:$C,MATCH($M1346,indexy_SDcast!$A:$A,0),2),"")</f>
        <v>37</v>
      </c>
      <c r="S1346" s="236"/>
      <c r="T1346" s="364">
        <f t="shared" si="145"/>
        <v>725003</v>
      </c>
      <c r="U1346" s="365">
        <f t="shared" si="148"/>
        <v>-164.23653999999999</v>
      </c>
      <c r="V1346" s="365">
        <f>IF($Q1346="ekrk",IF($R1346="data",IFERROR(INDEX(data!$A:$ALL,MATCH($M1346,data!$A:$A,0),MATCH(V$2,data!$1:$1,0)),"#data"),IFERROR(U1346*INDEX(indexy_SDcast!$A:$ALI,MATCH($R1346,indexy_SDcast!$K:$K,0),MATCH(V$2,indexy_SDcast!$2:$2,0)),"#ekrk")),"#popis")</f>
        <v>-169.56869367824325</v>
      </c>
      <c r="W1346" s="365">
        <f>IF($Q1346="ekrk",IF($R1346="data",IFERROR(INDEX(data!$A:$ALL,MATCH($M1346,data!$A:$A,0),MATCH(W$2,data!$1:$1,0)),"#data"),IFERROR(V1346*INDEX(indexy_SDcast!$A:$ALI,MATCH($R1346,indexy_SDcast!$K:$K,0),MATCH(W$2,indexy_SDcast!$2:$2,0)),"#ekrk")),"#popis")</f>
        <v>-177.06833262249671</v>
      </c>
      <c r="X1346" s="365">
        <f>IF($Q1346="ekrk",IF($R1346="data",IFERROR(INDEX(data!$A:$ALL,MATCH($M1346,data!$A:$A,0),MATCH(X$2,data!$1:$1,0)),"#data"),IFERROR(W1346*INDEX(indexy_SDcast!$A:$ALI,MATCH($R1346,indexy_SDcast!$K:$K,0),MATCH(X$2,indexy_SDcast!$2:$2,0)),"#ekrk")),"#popis")</f>
        <v>-185.99850517989341</v>
      </c>
      <c r="Y1346" s="362">
        <f>IF($Q1346="ekrk",IF($R1346="data",IFERROR(INDEX(data!$A:$ALL,MATCH($M1346,data!$A:$A,0),MATCH(Y$2,data!$1:$1,0)),"#data"),IFERROR(X1346*INDEX(indexy_SDcast!$A:$ALI,MATCH($R1346,indexy_SDcast!$K:$K,0),MATCH(Y$2,indexy_SDcast!$2:$2,0)),"#ekrk")),"#popis")</f>
        <v>-196.24323214576688</v>
      </c>
    </row>
    <row r="1347" spans="1:44" x14ac:dyDescent="0.25">
      <c r="A1347" s="330" t="s">
        <v>991</v>
      </c>
      <c r="B1347" s="329">
        <v>38517.010619999965</v>
      </c>
      <c r="C1347" s="157"/>
      <c r="D1347" s="348">
        <v>723001</v>
      </c>
      <c r="E1347" s="329">
        <v>38517.010619999965</v>
      </c>
      <c r="F1347" s="157"/>
      <c r="G1347" s="330"/>
      <c r="H1347" s="329"/>
      <c r="I1347" s="157"/>
      <c r="J1347" s="330"/>
      <c r="K1347" s="329"/>
      <c r="L1347" s="157"/>
      <c r="M1347" s="360">
        <f t="shared" si="146"/>
        <v>0</v>
      </c>
      <c r="N1347" s="237">
        <f t="shared" si="147"/>
        <v>0</v>
      </c>
      <c r="O1347" s="361"/>
      <c r="P1347" s="361"/>
      <c r="Q1347" s="361"/>
      <c r="R1347" s="362"/>
      <c r="S1347" s="236"/>
      <c r="T1347" s="364">
        <f t="shared" si="145"/>
        <v>0</v>
      </c>
      <c r="U1347" s="365"/>
      <c r="V1347" s="365"/>
      <c r="W1347" s="365"/>
      <c r="X1347" s="365"/>
      <c r="Y1347" s="362"/>
    </row>
    <row r="1348" spans="1:44" s="18" customFormat="1" x14ac:dyDescent="0.25">
      <c r="A1348" s="333" t="s">
        <v>742</v>
      </c>
      <c r="B1348" s="334">
        <v>785503.98866000085</v>
      </c>
      <c r="C1348" s="164"/>
      <c r="D1348" s="333" t="s">
        <v>742</v>
      </c>
      <c r="E1348" s="334">
        <v>785503.98866000085</v>
      </c>
      <c r="F1348" s="164"/>
      <c r="G1348" s="333" t="s">
        <v>742</v>
      </c>
      <c r="H1348" s="334">
        <v>785503.98866000085</v>
      </c>
      <c r="I1348" s="164"/>
      <c r="J1348" s="333" t="s">
        <v>742</v>
      </c>
      <c r="K1348" s="334">
        <f>K1349</f>
        <v>735663.98866000085</v>
      </c>
      <c r="L1348" s="164"/>
      <c r="M1348" s="358" t="str">
        <f t="shared" si="146"/>
        <v>D92REC</v>
      </c>
      <c r="N1348" s="239">
        <f t="shared" si="147"/>
        <v>735663.98866000085</v>
      </c>
      <c r="O1348" s="243"/>
      <c r="P1348" s="243">
        <f>MATCH(Q1348,Q1349:Q$1550,0)</f>
        <v>3</v>
      </c>
      <c r="Q1348" s="243" t="s">
        <v>697</v>
      </c>
      <c r="R1348" s="359" t="str">
        <f>IF(Q1348="ekrk",INDEX(indexy_SDcast!$A:$C,MATCH($M1348,indexy_SDcast!$A:$A,0),2),"")</f>
        <v/>
      </c>
      <c r="S1348" s="240"/>
      <c r="T1348" s="363" t="str">
        <f t="shared" si="145"/>
        <v>D92REC</v>
      </c>
      <c r="U1348" s="244">
        <f>SUM(U1349:U1350)</f>
        <v>735663.98866000085</v>
      </c>
      <c r="V1348" s="244">
        <f>SUM(V1349:V1350)</f>
        <v>735663.98866000085</v>
      </c>
      <c r="W1348" s="244">
        <f>SUM(W1349:W1350)</f>
        <v>735663.98866000085</v>
      </c>
      <c r="X1348" s="244">
        <f>SUM(X1349:X1350)</f>
        <v>735663.98866000085</v>
      </c>
      <c r="Y1348" s="359">
        <f>SUM(Y1349:Y1350)</f>
        <v>735663.98866000085</v>
      </c>
      <c r="Z1348" s="58"/>
      <c r="AA1348" s="58"/>
      <c r="AB1348" s="58"/>
      <c r="AC1348" s="58"/>
      <c r="AD1348" s="58"/>
      <c r="AE1348" s="58"/>
      <c r="AF1348" s="58"/>
      <c r="AG1348" s="58"/>
      <c r="AH1348" s="58"/>
      <c r="AI1348" s="58"/>
      <c r="AJ1348" s="58"/>
      <c r="AK1348" s="58"/>
      <c r="AL1348" s="58"/>
      <c r="AM1348" s="58"/>
      <c r="AN1348" s="58"/>
      <c r="AO1348" s="58"/>
      <c r="AP1348" s="58"/>
      <c r="AQ1348" s="58"/>
      <c r="AR1348" s="58"/>
    </row>
    <row r="1349" spans="1:44" x14ac:dyDescent="0.25">
      <c r="A1349" s="330" t="s">
        <v>999</v>
      </c>
      <c r="B1349" s="329">
        <v>271317.15842999984</v>
      </c>
      <c r="C1349" s="157"/>
      <c r="D1349" s="348">
        <v>292000</v>
      </c>
      <c r="E1349" s="329">
        <v>271317.15842999984</v>
      </c>
      <c r="F1349" s="157"/>
      <c r="G1349" s="330">
        <v>292000</v>
      </c>
      <c r="H1349" s="349">
        <f>E1349+E1350</f>
        <v>785503.98866000085</v>
      </c>
      <c r="I1349" s="157"/>
      <c r="J1349" s="352">
        <v>292000</v>
      </c>
      <c r="K1349" s="353">
        <f>H1349+H1350-19500-30340</f>
        <v>735663.98866000085</v>
      </c>
      <c r="L1349" s="157"/>
      <c r="M1349" s="360">
        <f t="shared" si="146"/>
        <v>292000</v>
      </c>
      <c r="N1349" s="237">
        <f t="shared" si="147"/>
        <v>735663.98866000085</v>
      </c>
      <c r="O1349" s="361"/>
      <c r="P1349" s="361"/>
      <c r="Q1349" s="361" t="s">
        <v>698</v>
      </c>
      <c r="R1349" s="362">
        <f>IF(Q1349="ekrk",INDEX(indexy_SDcast!$A:$C,MATCH($M1349,indexy_SDcast!$A:$A,0),2),"")</f>
        <v>22</v>
      </c>
      <c r="S1349" s="236"/>
      <c r="T1349" s="364">
        <f t="shared" si="145"/>
        <v>292000</v>
      </c>
      <c r="U1349" s="365">
        <f>N1349</f>
        <v>735663.98866000085</v>
      </c>
      <c r="V1349" s="365">
        <f>IF($Q1349="ekrk",IF($R1349="data",IFERROR(INDEX(data!$A:$ALL,MATCH($M1349,data!$A:$A,0),MATCH(V$2,data!$1:$1,0)),"#data"),IFERROR(U1349*INDEX(indexy_SDcast!$A:$ALI,MATCH($R1349,indexy_SDcast!$K:$K,0),MATCH(V$2,indexy_SDcast!$2:$2,0)),"#ekrk")),"#popis")</f>
        <v>735663.98866000085</v>
      </c>
      <c r="W1349" s="365">
        <f>IF($Q1349="ekrk",IF($R1349="data",IFERROR(INDEX(data!$A:$ALL,MATCH($M1349,data!$A:$A,0),MATCH(W$2,data!$1:$1,0)),"#data"),IFERROR(V1349*INDEX(indexy_SDcast!$A:$ALI,MATCH($R1349,indexy_SDcast!$K:$K,0),MATCH(W$2,indexy_SDcast!$2:$2,0)),"#ekrk")),"#popis")</f>
        <v>735663.98866000085</v>
      </c>
      <c r="X1349" s="365">
        <f>IF($Q1349="ekrk",IF($R1349="data",IFERROR(INDEX(data!$A:$ALL,MATCH($M1349,data!$A:$A,0),MATCH(X$2,data!$1:$1,0)),"#data"),IFERROR(W1349*INDEX(indexy_SDcast!$A:$ALI,MATCH($R1349,indexy_SDcast!$K:$K,0),MATCH(X$2,indexy_SDcast!$2:$2,0)),"#ekrk")),"#popis")</f>
        <v>735663.98866000085</v>
      </c>
      <c r="Y1349" s="362">
        <f>IF($Q1349="ekrk",IF($R1349="data",IFERROR(INDEX(data!$A:$ALL,MATCH($M1349,data!$A:$A,0),MATCH(Y$2,data!$1:$1,0)),"#data"),IFERROR(X1349*INDEX(indexy_SDcast!$A:$ALI,MATCH($R1349,indexy_SDcast!$K:$K,0),MATCH(Y$2,indexy_SDcast!$2:$2,0)),"#ekrk")),"#popis")</f>
        <v>735663.98866000085</v>
      </c>
    </row>
    <row r="1350" spans="1:44" x14ac:dyDescent="0.25">
      <c r="A1350" s="330" t="s">
        <v>991</v>
      </c>
      <c r="B1350" s="329">
        <v>514186.83023000101</v>
      </c>
      <c r="C1350" s="157"/>
      <c r="D1350" s="348">
        <v>292000</v>
      </c>
      <c r="E1350" s="329">
        <v>514186.83023000101</v>
      </c>
      <c r="F1350" s="157"/>
      <c r="G1350" s="330"/>
      <c r="H1350" s="329"/>
      <c r="I1350" s="157"/>
      <c r="J1350" s="330"/>
      <c r="K1350" s="329"/>
      <c r="L1350" s="157"/>
      <c r="M1350" s="360">
        <f t="shared" si="146"/>
        <v>0</v>
      </c>
      <c r="N1350" s="237">
        <f t="shared" si="147"/>
        <v>0</v>
      </c>
      <c r="O1350" s="361"/>
      <c r="P1350" s="361"/>
      <c r="Q1350" s="361"/>
      <c r="R1350" s="362"/>
      <c r="S1350" s="236"/>
      <c r="T1350" s="364">
        <f t="shared" si="145"/>
        <v>0</v>
      </c>
      <c r="U1350" s="365"/>
      <c r="V1350" s="365"/>
      <c r="W1350" s="365"/>
      <c r="X1350" s="365"/>
      <c r="Y1350" s="362"/>
    </row>
    <row r="1351" spans="1:44" s="18" customFormat="1" x14ac:dyDescent="0.25">
      <c r="A1351" s="333" t="s">
        <v>743</v>
      </c>
      <c r="B1351" s="334">
        <v>-163593.28156</v>
      </c>
      <c r="C1351" s="164"/>
      <c r="D1351" s="333" t="s">
        <v>743</v>
      </c>
      <c r="E1351" s="334">
        <f>SUM(E1352:E1359)</f>
        <v>-145103.28156</v>
      </c>
      <c r="F1351" s="164"/>
      <c r="G1351" s="333" t="s">
        <v>743</v>
      </c>
      <c r="H1351" s="334">
        <f>E1351</f>
        <v>-145103.28156</v>
      </c>
      <c r="I1351" s="164"/>
      <c r="J1351" s="333" t="s">
        <v>743</v>
      </c>
      <c r="K1351" s="334">
        <f>H1351-(H1358-K1358)</f>
        <v>-20589.281560000003</v>
      </c>
      <c r="L1351" s="164"/>
      <c r="M1351" s="358" t="str">
        <f t="shared" si="146"/>
        <v>D99PAY</v>
      </c>
      <c r="N1351" s="239">
        <f t="shared" si="147"/>
        <v>-20589.281560000003</v>
      </c>
      <c r="O1351" s="243"/>
      <c r="P1351" s="243">
        <f>MATCH(Q1351,Q1352:Q$1550,0)</f>
        <v>9</v>
      </c>
      <c r="Q1351" s="243" t="s">
        <v>697</v>
      </c>
      <c r="R1351" s="359" t="str">
        <f>IF(Q1351="ekrk",INDEX(indexy_SDcast!$A:$C,MATCH($M1351,indexy_SDcast!$A:$A,0),2),"")</f>
        <v/>
      </c>
      <c r="S1351" s="240"/>
      <c r="T1351" s="363" t="str">
        <f t="shared" si="145"/>
        <v>D99PAY</v>
      </c>
      <c r="U1351" s="244">
        <f>SUM(U1352:U1359)</f>
        <v>-20589.281559999999</v>
      </c>
      <c r="V1351" s="244">
        <f>SUM(V1352:V1359)</f>
        <v>-18107.896628767052</v>
      </c>
      <c r="W1351" s="244">
        <f>SUM(W1352:W1359)</f>
        <v>-18908.767849803306</v>
      </c>
      <c r="X1351" s="244">
        <f>SUM(X1352:X1359)</f>
        <v>-19862.402851870553</v>
      </c>
      <c r="Y1351" s="359">
        <f>SUM(Y1352:Y1359)</f>
        <v>-20956.41645110241</v>
      </c>
      <c r="Z1351" s="58"/>
      <c r="AA1351" s="58"/>
      <c r="AB1351" s="58"/>
      <c r="AC1351" s="58"/>
      <c r="AD1351" s="58"/>
      <c r="AE1351" s="58"/>
      <c r="AF1351" s="58"/>
      <c r="AG1351" s="58"/>
      <c r="AH1351" s="58"/>
      <c r="AI1351" s="58"/>
      <c r="AJ1351" s="58"/>
      <c r="AK1351" s="58"/>
      <c r="AL1351" s="58"/>
      <c r="AM1351" s="58"/>
      <c r="AN1351" s="58"/>
      <c r="AO1351" s="58"/>
      <c r="AP1351" s="58"/>
      <c r="AQ1351" s="58"/>
      <c r="AR1351" s="58"/>
    </row>
    <row r="1352" spans="1:44" x14ac:dyDescent="0.25">
      <c r="A1352" s="330">
        <v>722001</v>
      </c>
      <c r="B1352" s="329">
        <v>-202.65</v>
      </c>
      <c r="C1352" s="157"/>
      <c r="D1352" s="330">
        <v>722001</v>
      </c>
      <c r="E1352" s="329">
        <v>-202.65</v>
      </c>
      <c r="F1352" s="157"/>
      <c r="G1352" s="330">
        <v>722001</v>
      </c>
      <c r="H1352" s="329">
        <v>-202.65</v>
      </c>
      <c r="I1352" s="157"/>
      <c r="J1352" s="330">
        <v>722001</v>
      </c>
      <c r="K1352" s="329">
        <v>-202.65</v>
      </c>
      <c r="L1352" s="157"/>
      <c r="M1352" s="360">
        <f t="shared" si="146"/>
        <v>722001</v>
      </c>
      <c r="N1352" s="237">
        <f t="shared" si="147"/>
        <v>-202.65</v>
      </c>
      <c r="O1352" s="361"/>
      <c r="P1352" s="361"/>
      <c r="Q1352" s="361" t="s">
        <v>698</v>
      </c>
      <c r="R1352" s="362">
        <f>IF(Q1352="ekrk",INDEX(indexy_SDcast!$A:$C,MATCH($M1352,indexy_SDcast!$A:$A,0),2),"")</f>
        <v>37</v>
      </c>
      <c r="S1352" s="236"/>
      <c r="T1352" s="364">
        <f t="shared" si="145"/>
        <v>722001</v>
      </c>
      <c r="U1352" s="365">
        <f t="shared" ref="U1352:U1359" si="149">N1352</f>
        <v>-202.65</v>
      </c>
      <c r="V1352" s="365">
        <f>IF($Q1352="ekrk",IF($R1352="data",IFERROR(INDEX(data!$A:$ALL,MATCH($M1352,data!$A:$A,0),MATCH(V$2,data!$1:$1,0)),"#data"),IFERROR(U1352*INDEX(indexy_SDcast!$A:$ALI,MATCH($R1352,indexy_SDcast!$K:$K,0),MATCH(V$2,indexy_SDcast!$2:$2,0)),"#ekrk")),"#popis")</f>
        <v>-209.22929680505931</v>
      </c>
      <c r="W1352" s="365">
        <f>IF($Q1352="ekrk",IF($R1352="data",IFERROR(INDEX(data!$A:$ALL,MATCH($M1352,data!$A:$A,0),MATCH(W$2,data!$1:$1,0)),"#data"),IFERROR(V1352*INDEX(indexy_SDcast!$A:$ALI,MATCH($R1352,indexy_SDcast!$K:$K,0),MATCH(W$2,indexy_SDcast!$2:$2,0)),"#ekrk")),"#popis")</f>
        <v>-218.48303432323257</v>
      </c>
      <c r="X1352" s="365">
        <f>IF($Q1352="ekrk",IF($R1352="data",IFERROR(INDEX(data!$A:$ALL,MATCH($M1352,data!$A:$A,0),MATCH(X$2,data!$1:$1,0)),"#data"),IFERROR(W1352*INDEX(indexy_SDcast!$A:$ALI,MATCH($R1352,indexy_SDcast!$K:$K,0),MATCH(X$2,indexy_SDcast!$2:$2,0)),"#ekrk")),"#popis")</f>
        <v>-229.50189449135618</v>
      </c>
      <c r="Y1352" s="362">
        <f>IF($Q1352="ekrk",IF($R1352="data",IFERROR(INDEX(data!$A:$ALL,MATCH($M1352,data!$A:$A,0),MATCH(Y$2,data!$1:$1,0)),"#data"),IFERROR(X1352*INDEX(indexy_SDcast!$A:$ALI,MATCH($R1352,indexy_SDcast!$K:$K,0),MATCH(Y$2,indexy_SDcast!$2:$2,0)),"#ekrk")),"#popis")</f>
        <v>-242.14277160453855</v>
      </c>
    </row>
    <row r="1353" spans="1:44" x14ac:dyDescent="0.25">
      <c r="A1353" s="330">
        <v>722003</v>
      </c>
      <c r="B1353" s="329">
        <v>-5596.0617600000005</v>
      </c>
      <c r="C1353" s="157"/>
      <c r="D1353" s="330">
        <v>722003</v>
      </c>
      <c r="E1353" s="329">
        <v>-5596.0617600000005</v>
      </c>
      <c r="F1353" s="157"/>
      <c r="G1353" s="330">
        <v>722003</v>
      </c>
      <c r="H1353" s="329">
        <v>-5596.0617600000005</v>
      </c>
      <c r="I1353" s="157"/>
      <c r="J1353" s="330">
        <v>722003</v>
      </c>
      <c r="K1353" s="329">
        <v>-5596.0617600000005</v>
      </c>
      <c r="L1353" s="157"/>
      <c r="M1353" s="360">
        <f t="shared" si="146"/>
        <v>722003</v>
      </c>
      <c r="N1353" s="237">
        <f t="shared" si="147"/>
        <v>-5596.0617600000005</v>
      </c>
      <c r="O1353" s="361"/>
      <c r="P1353" s="361"/>
      <c r="Q1353" s="361" t="s">
        <v>698</v>
      </c>
      <c r="R1353" s="362">
        <f>IF(Q1353="ekrk",INDEX(indexy_SDcast!$A:$C,MATCH($M1353,indexy_SDcast!$A:$A,0),2),"")</f>
        <v>37</v>
      </c>
      <c r="S1353" s="236"/>
      <c r="T1353" s="364">
        <f t="shared" si="145"/>
        <v>722003</v>
      </c>
      <c r="U1353" s="365">
        <f t="shared" si="149"/>
        <v>-5596.0617600000005</v>
      </c>
      <c r="V1353" s="365">
        <f>IF($Q1353="ekrk",IF($R1353="data",IFERROR(INDEX(data!$A:$ALL,MATCH($M1353,data!$A:$A,0),MATCH(V$2,data!$1:$1,0)),"#data"),IFERROR(U1353*INDEX(indexy_SDcast!$A:$ALI,MATCH($R1353,indexy_SDcast!$K:$K,0),MATCH(V$2,indexy_SDcast!$2:$2,0)),"#ekrk")),"#popis")</f>
        <v>-5777.7452105723296</v>
      </c>
      <c r="W1353" s="365">
        <f>IF($Q1353="ekrk",IF($R1353="data",IFERROR(INDEX(data!$A:$ALL,MATCH($M1353,data!$A:$A,0),MATCH(W$2,data!$1:$1,0)),"#data"),IFERROR(V1353*INDEX(indexy_SDcast!$A:$ALI,MATCH($R1353,indexy_SDcast!$K:$K,0),MATCH(W$2,indexy_SDcast!$2:$2,0)),"#ekrk")),"#popis")</f>
        <v>-6033.2817842832928</v>
      </c>
      <c r="X1353" s="365">
        <f>IF($Q1353="ekrk",IF($R1353="data",IFERROR(INDEX(data!$A:$ALL,MATCH($M1353,data!$A:$A,0),MATCH(X$2,data!$1:$1,0)),"#data"),IFERROR(W1353*INDEX(indexy_SDcast!$A:$ALI,MATCH($R1353,indexy_SDcast!$K:$K,0),MATCH(X$2,indexy_SDcast!$2:$2,0)),"#ekrk")),"#popis")</f>
        <v>-6337.5611922557764</v>
      </c>
      <c r="Y1353" s="362">
        <f>IF($Q1353="ekrk",IF($R1353="data",IFERROR(INDEX(data!$A:$ALL,MATCH($M1353,data!$A:$A,0),MATCH(Y$2,data!$1:$1,0)),"#data"),IFERROR(X1353*INDEX(indexy_SDcast!$A:$ALI,MATCH($R1353,indexy_SDcast!$K:$K,0),MATCH(Y$2,indexy_SDcast!$2:$2,0)),"#ekrk")),"#popis")</f>
        <v>-6686.6316537704024</v>
      </c>
    </row>
    <row r="1354" spans="1:44" x14ac:dyDescent="0.25">
      <c r="A1354" s="330">
        <v>722004</v>
      </c>
      <c r="B1354" s="329">
        <v>-876.76</v>
      </c>
      <c r="C1354" s="157"/>
      <c r="D1354" s="330">
        <v>722004</v>
      </c>
      <c r="E1354" s="329">
        <v>-876.76</v>
      </c>
      <c r="F1354" s="157"/>
      <c r="G1354" s="330">
        <v>722004</v>
      </c>
      <c r="H1354" s="329">
        <v>-876.76</v>
      </c>
      <c r="I1354" s="157"/>
      <c r="J1354" s="330">
        <v>722004</v>
      </c>
      <c r="K1354" s="329">
        <v>-876.76</v>
      </c>
      <c r="L1354" s="157"/>
      <c r="M1354" s="360">
        <f t="shared" si="146"/>
        <v>722004</v>
      </c>
      <c r="N1354" s="237">
        <f t="shared" si="147"/>
        <v>-876.76</v>
      </c>
      <c r="O1354" s="361"/>
      <c r="P1354" s="361"/>
      <c r="Q1354" s="361" t="s">
        <v>698</v>
      </c>
      <c r="R1354" s="362">
        <f>IF(Q1354="ekrk",INDEX(indexy_SDcast!$A:$C,MATCH($M1354,indexy_SDcast!$A:$A,0),2),"")</f>
        <v>37</v>
      </c>
      <c r="S1354" s="236"/>
      <c r="T1354" s="364">
        <f t="shared" si="145"/>
        <v>722004</v>
      </c>
      <c r="U1354" s="365">
        <f t="shared" si="149"/>
        <v>-876.76</v>
      </c>
      <c r="V1354" s="365">
        <f>IF($Q1354="ekrk",IF($R1354="data",IFERROR(INDEX(data!$A:$ALL,MATCH($M1354,data!$A:$A,0),MATCH(V$2,data!$1:$1,0)),"#data"),IFERROR(U1354*INDEX(indexy_SDcast!$A:$ALI,MATCH($R1354,indexy_SDcast!$K:$K,0),MATCH(V$2,indexy_SDcast!$2:$2,0)),"#ekrk")),"#popis")</f>
        <v>-905.22515799064297</v>
      </c>
      <c r="W1354" s="365">
        <f>IF($Q1354="ekrk",IF($R1354="data",IFERROR(INDEX(data!$A:$ALL,MATCH($M1354,data!$A:$A,0),MATCH(W$2,data!$1:$1,0)),"#data"),IFERROR(V1354*INDEX(indexy_SDcast!$A:$ALI,MATCH($R1354,indexy_SDcast!$K:$K,0),MATCH(W$2,indexy_SDcast!$2:$2,0)),"#ekrk")),"#popis")</f>
        <v>-945.2612147704782</v>
      </c>
      <c r="X1354" s="365">
        <f>IF($Q1354="ekrk",IF($R1354="data",IFERROR(INDEX(data!$A:$ALL,MATCH($M1354,data!$A:$A,0),MATCH(X$2,data!$1:$1,0)),"#data"),IFERROR(W1354*INDEX(indexy_SDcast!$A:$ALI,MATCH($R1354,indexy_SDcast!$K:$K,0),MATCH(X$2,indexy_SDcast!$2:$2,0)),"#ekrk")),"#popis")</f>
        <v>-992.93402918451261</v>
      </c>
      <c r="Y1354" s="362">
        <f>IF($Q1354="ekrk",IF($R1354="data",IFERROR(INDEX(data!$A:$ALL,MATCH($M1354,data!$A:$A,0),MATCH(Y$2,data!$1:$1,0)),"#data"),IFERROR(X1354*INDEX(indexy_SDcast!$A:$ALI,MATCH($R1354,indexy_SDcast!$K:$K,0),MATCH(Y$2,indexy_SDcast!$2:$2,0)),"#ekrk")),"#popis")</f>
        <v>-1047.6244580902801</v>
      </c>
    </row>
    <row r="1355" spans="1:44" x14ac:dyDescent="0.25">
      <c r="A1355" s="330">
        <v>723001</v>
      </c>
      <c r="B1355" s="329">
        <v>-21540.7948</v>
      </c>
      <c r="C1355" s="157"/>
      <c r="D1355" s="348">
        <v>723001</v>
      </c>
      <c r="E1355" s="349">
        <f>-21540.7948+18490</f>
        <v>-3050.7947999999997</v>
      </c>
      <c r="F1355" s="157"/>
      <c r="G1355" s="330">
        <v>723001</v>
      </c>
      <c r="H1355" s="329">
        <f>-21540.7948+18490</f>
        <v>-3050.7947999999997</v>
      </c>
      <c r="I1355" s="157"/>
      <c r="J1355" s="330">
        <v>723001</v>
      </c>
      <c r="K1355" s="329">
        <f>-21540.7948+18490</f>
        <v>-3050.7947999999997</v>
      </c>
      <c r="L1355" s="157"/>
      <c r="M1355" s="360">
        <f t="shared" si="146"/>
        <v>723001</v>
      </c>
      <c r="N1355" s="237">
        <f t="shared" si="147"/>
        <v>-3050.7947999999997</v>
      </c>
      <c r="O1355" s="361"/>
      <c r="P1355" s="361"/>
      <c r="Q1355" s="361" t="s">
        <v>698</v>
      </c>
      <c r="R1355" s="362">
        <v>2</v>
      </c>
      <c r="S1355" s="236"/>
      <c r="T1355" s="364">
        <f t="shared" si="145"/>
        <v>723001</v>
      </c>
      <c r="U1355" s="365">
        <f t="shared" si="149"/>
        <v>-3050.7947999999997</v>
      </c>
      <c r="V1355" s="365">
        <f>IF($Q1355="ekrk",IF($R1355="data",IFERROR(INDEX(data!$A:$ALL,MATCH($M1355,data!$A:$A,0),MATCH(V$2,data!$1:$1,0)),"#data"),IFERROR(U1355*INDEX(indexy_SDcast!$A:$ALI,MATCH($R1355,indexy_SDcast!$K:$K,0),MATCH(V$2,indexy_SDcast!$2:$2,0)),"#ekrk")),"#popis")</f>
        <v>0</v>
      </c>
      <c r="W1355" s="365">
        <f>IF($Q1355="ekrk",IF($R1355="data",IFERROR(INDEX(data!$A:$ALL,MATCH($M1355,data!$A:$A,0),MATCH(W$2,data!$1:$1,0)),"#data"),IFERROR(V1355*INDEX(indexy_SDcast!$A:$ALI,MATCH($R1355,indexy_SDcast!$K:$K,0),MATCH(W$2,indexy_SDcast!$2:$2,0)),"#ekrk")),"#popis")</f>
        <v>0</v>
      </c>
      <c r="X1355" s="365">
        <f>IF($Q1355="ekrk",IF($R1355="data",IFERROR(INDEX(data!$A:$ALL,MATCH($M1355,data!$A:$A,0),MATCH(X$2,data!$1:$1,0)),"#data"),IFERROR(W1355*INDEX(indexy_SDcast!$A:$ALI,MATCH($R1355,indexy_SDcast!$K:$K,0),MATCH(X$2,indexy_SDcast!$2:$2,0)),"#ekrk")),"#popis")</f>
        <v>0</v>
      </c>
      <c r="Y1355" s="362">
        <f>IF($Q1355="ekrk",IF($R1355="data",IFERROR(INDEX(data!$A:$ALL,MATCH($M1355,data!$A:$A,0),MATCH(Y$2,data!$1:$1,0)),"#data"),IFERROR(X1355*INDEX(indexy_SDcast!$A:$ALI,MATCH($R1355,indexy_SDcast!$K:$K,0),MATCH(Y$2,indexy_SDcast!$2:$2,0)),"#ekrk")),"#popis")</f>
        <v>0</v>
      </c>
    </row>
    <row r="1356" spans="1:44" x14ac:dyDescent="0.25">
      <c r="A1356" s="330">
        <v>723002</v>
      </c>
      <c r="B1356" s="329">
        <v>-1582.06</v>
      </c>
      <c r="C1356" s="157"/>
      <c r="D1356" s="330">
        <v>723002</v>
      </c>
      <c r="E1356" s="329">
        <v>-1582.06</v>
      </c>
      <c r="F1356" s="157"/>
      <c r="G1356" s="330">
        <v>723002</v>
      </c>
      <c r="H1356" s="329">
        <v>-1582.06</v>
      </c>
      <c r="I1356" s="157"/>
      <c r="J1356" s="330">
        <v>723002</v>
      </c>
      <c r="K1356" s="329">
        <v>-1582.06</v>
      </c>
      <c r="L1356" s="157"/>
      <c r="M1356" s="360">
        <f t="shared" si="146"/>
        <v>723002</v>
      </c>
      <c r="N1356" s="237">
        <f t="shared" si="147"/>
        <v>-1582.06</v>
      </c>
      <c r="O1356" s="361"/>
      <c r="P1356" s="361"/>
      <c r="Q1356" s="361" t="s">
        <v>698</v>
      </c>
      <c r="R1356" s="362">
        <f>IF(Q1356="ekrk",INDEX(indexy_SDcast!$A:$C,MATCH($M1356,indexy_SDcast!$A:$A,0),2),"")</f>
        <v>37</v>
      </c>
      <c r="S1356" s="236"/>
      <c r="T1356" s="364">
        <f t="shared" si="145"/>
        <v>723002</v>
      </c>
      <c r="U1356" s="365">
        <f t="shared" si="149"/>
        <v>-1582.06</v>
      </c>
      <c r="V1356" s="365">
        <f>IF($Q1356="ekrk",IF($R1356="data",IFERROR(INDEX(data!$A:$ALL,MATCH($M1356,data!$A:$A,0),MATCH(V$2,data!$1:$1,0)),"#data"),IFERROR(U1356*INDEX(indexy_SDcast!$A:$ALI,MATCH($R1356,indexy_SDcast!$K:$K,0),MATCH(V$2,indexy_SDcast!$2:$2,0)),"#ekrk")),"#popis")</f>
        <v>-1633.4236432440766</v>
      </c>
      <c r="W1356" s="365">
        <f>IF($Q1356="ekrk",IF($R1356="data",IFERROR(INDEX(data!$A:$ALL,MATCH($M1356,data!$A:$A,0),MATCH(W$2,data!$1:$1,0)),"#data"),IFERROR(V1356*INDEX(indexy_SDcast!$A:$ALI,MATCH($R1356,indexy_SDcast!$K:$K,0),MATCH(W$2,indexy_SDcast!$2:$2,0)),"#ekrk")),"#popis")</f>
        <v>-1705.6662683514105</v>
      </c>
      <c r="X1356" s="365">
        <f>IF($Q1356="ekrk",IF($R1356="data",IFERROR(INDEX(data!$A:$ALL,MATCH($M1356,data!$A:$A,0),MATCH(X$2,data!$1:$1,0)),"#data"),IFERROR(W1356*INDEX(indexy_SDcast!$A:$ALI,MATCH($R1356,indexy_SDcast!$K:$K,0),MATCH(X$2,indexy_SDcast!$2:$2,0)),"#ekrk")),"#popis")</f>
        <v>-1791.6889573106093</v>
      </c>
      <c r="Y1356" s="362">
        <f>IF($Q1356="ekrk",IF($R1356="data",IFERROR(INDEX(data!$A:$ALL,MATCH($M1356,data!$A:$A,0),MATCH(Y$2,data!$1:$1,0)),"#data"),IFERROR(X1356*INDEX(indexy_SDcast!$A:$ALI,MATCH($R1356,indexy_SDcast!$K:$K,0),MATCH(Y$2,indexy_SDcast!$2:$2,0)),"#ekrk")),"#popis")</f>
        <v>-1890.374504044788</v>
      </c>
    </row>
    <row r="1357" spans="1:44" x14ac:dyDescent="0.25">
      <c r="A1357" s="330">
        <v>725001</v>
      </c>
      <c r="B1357" s="329">
        <v>-199.95500000000001</v>
      </c>
      <c r="C1357" s="157"/>
      <c r="D1357" s="330">
        <v>725001</v>
      </c>
      <c r="E1357" s="329">
        <v>-199.95500000000001</v>
      </c>
      <c r="F1357" s="157"/>
      <c r="G1357" s="330">
        <v>725001</v>
      </c>
      <c r="H1357" s="329">
        <v>-199.95500000000001</v>
      </c>
      <c r="I1357" s="157"/>
      <c r="J1357" s="330">
        <v>725001</v>
      </c>
      <c r="K1357" s="329">
        <v>-199.95500000000001</v>
      </c>
      <c r="L1357" s="157"/>
      <c r="M1357" s="360">
        <f t="shared" si="146"/>
        <v>725001</v>
      </c>
      <c r="N1357" s="237">
        <f t="shared" si="147"/>
        <v>-199.95500000000001</v>
      </c>
      <c r="O1357" s="361"/>
      <c r="P1357" s="361"/>
      <c r="Q1357" s="361" t="s">
        <v>698</v>
      </c>
      <c r="R1357" s="362">
        <f>IF(Q1357="ekrk",INDEX(indexy_SDcast!$A:$C,MATCH($M1357,indexy_SDcast!$A:$A,0),2),"")</f>
        <v>37</v>
      </c>
      <c r="S1357" s="236"/>
      <c r="T1357" s="364">
        <f t="shared" si="145"/>
        <v>725001</v>
      </c>
      <c r="U1357" s="365">
        <f t="shared" si="149"/>
        <v>-199.95500000000001</v>
      </c>
      <c r="V1357" s="365">
        <f>IF($Q1357="ekrk",IF($R1357="data",IFERROR(INDEX(data!$A:$ALL,MATCH($M1357,data!$A:$A,0),MATCH(V$2,data!$1:$1,0)),"#data"),IFERROR(U1357*INDEX(indexy_SDcast!$A:$ALI,MATCH($R1357,indexy_SDcast!$K:$K,0),MATCH(V$2,indexy_SDcast!$2:$2,0)),"#ekrk")),"#popis")</f>
        <v>-206.44680011179688</v>
      </c>
      <c r="W1357" s="365">
        <f>IF($Q1357="ekrk",IF($R1357="data",IFERROR(INDEX(data!$A:$ALL,MATCH($M1357,data!$A:$A,0),MATCH(W$2,data!$1:$1,0)),"#data"),IFERROR(V1357*INDEX(indexy_SDcast!$A:$ALI,MATCH($R1357,indexy_SDcast!$K:$K,0),MATCH(W$2,indexy_SDcast!$2:$2,0)),"#ekrk")),"#popis")</f>
        <v>-215.57747410857129</v>
      </c>
      <c r="X1357" s="365">
        <f>IF($Q1357="ekrk",IF($R1357="data",IFERROR(INDEX(data!$A:$ALL,MATCH($M1357,data!$A:$A,0),MATCH(X$2,data!$1:$1,0)),"#data"),IFERROR(W1357*INDEX(indexy_SDcast!$A:$ALI,MATCH($R1357,indexy_SDcast!$K:$K,0),MATCH(X$2,indexy_SDcast!$2:$2,0)),"#ekrk")),"#popis")</f>
        <v>-226.44979675805146</v>
      </c>
      <c r="Y1357" s="362">
        <f>IF($Q1357="ekrk",IF($R1357="data",IFERROR(INDEX(data!$A:$ALL,MATCH($M1357,data!$A:$A,0),MATCH(Y$2,data!$1:$1,0)),"#data"),IFERROR(X1357*INDEX(indexy_SDcast!$A:$ALI,MATCH($R1357,indexy_SDcast!$K:$K,0),MATCH(Y$2,indexy_SDcast!$2:$2,0)),"#ekrk")),"#popis")</f>
        <v>-238.92256548820879</v>
      </c>
    </row>
    <row r="1358" spans="1:44" x14ac:dyDescent="0.25">
      <c r="A1358" s="330">
        <v>725002</v>
      </c>
      <c r="B1358" s="329">
        <v>-125503</v>
      </c>
      <c r="C1358" s="157"/>
      <c r="D1358" s="330">
        <v>725002</v>
      </c>
      <c r="E1358" s="329">
        <v>-125503</v>
      </c>
      <c r="F1358" s="157"/>
      <c r="G1358" s="330">
        <v>725002</v>
      </c>
      <c r="H1358" s="329">
        <v>-125503</v>
      </c>
      <c r="I1358" s="157"/>
      <c r="J1358" s="352">
        <v>725002</v>
      </c>
      <c r="K1358" s="353">
        <f>-125503+124514</f>
        <v>-989</v>
      </c>
      <c r="L1358" s="157"/>
      <c r="M1358" s="360">
        <f t="shared" si="146"/>
        <v>725002</v>
      </c>
      <c r="N1358" s="237">
        <f t="shared" si="147"/>
        <v>-989</v>
      </c>
      <c r="O1358" s="361"/>
      <c r="P1358" s="361"/>
      <c r="Q1358" s="361" t="s">
        <v>698</v>
      </c>
      <c r="R1358" s="362">
        <f>IF(Q1358="ekrk",INDEX(indexy_SDcast!$A:$C,MATCH($M1358,indexy_SDcast!$A:$A,0),2),"")</f>
        <v>37</v>
      </c>
      <c r="S1358" s="236"/>
      <c r="T1358" s="364">
        <f t="shared" si="145"/>
        <v>725002</v>
      </c>
      <c r="U1358" s="365">
        <f t="shared" si="149"/>
        <v>-989</v>
      </c>
      <c r="V1358" s="365">
        <f>IF($Q1358="ekrk",IF($R1358="data",IFERROR(INDEX(data!$A:$ALL,MATCH($M1358,data!$A:$A,0),MATCH(V$2,data!$1:$1,0)),"#data"),IFERROR(U1358*INDEX(indexy_SDcast!$A:$ALI,MATCH($R1358,indexy_SDcast!$K:$K,0),MATCH(V$2,indexy_SDcast!$2:$2,0)),"#ekrk")),"#popis")</f>
        <v>-1021.1091761174619</v>
      </c>
      <c r="W1358" s="365">
        <f>IF($Q1358="ekrk",IF($R1358="data",IFERROR(INDEX(data!$A:$ALL,MATCH($M1358,data!$A:$A,0),MATCH(W$2,data!$1:$1,0)),"#data"),IFERROR(V1358*INDEX(indexy_SDcast!$A:$ALI,MATCH($R1358,indexy_SDcast!$K:$K,0),MATCH(W$2,indexy_SDcast!$2:$2,0)),"#ekrk")),"#popis")</f>
        <v>-1066.2705203339601</v>
      </c>
      <c r="X1358" s="365">
        <f>IF($Q1358="ekrk",IF($R1358="data",IFERROR(INDEX(data!$A:$ALL,MATCH($M1358,data!$A:$A,0),MATCH(X$2,data!$1:$1,0)),"#data"),IFERROR(W1358*INDEX(indexy_SDcast!$A:$ALI,MATCH($R1358,indexy_SDcast!$K:$K,0),MATCH(X$2,indexy_SDcast!$2:$2,0)),"#ekrk")),"#popis")</f>
        <v>-1120.046255376024</v>
      </c>
      <c r="Y1358" s="362">
        <f>IF($Q1358="ekrk",IF($R1358="data",IFERROR(INDEX(data!$A:$ALL,MATCH($M1358,data!$A:$A,0),MATCH(Y$2,data!$1:$1,0)),"#data"),IFERROR(X1358*INDEX(indexy_SDcast!$A:$ALI,MATCH($R1358,indexy_SDcast!$K:$K,0),MATCH(Y$2,indexy_SDcast!$2:$2,0)),"#ekrk")),"#popis")</f>
        <v>-1181.7379773841037</v>
      </c>
    </row>
    <row r="1359" spans="1:44" x14ac:dyDescent="0.25">
      <c r="A1359" s="330">
        <v>725003</v>
      </c>
      <c r="B1359" s="329">
        <v>-8092</v>
      </c>
      <c r="C1359" s="157"/>
      <c r="D1359" s="330">
        <v>725003</v>
      </c>
      <c r="E1359" s="329">
        <v>-8092</v>
      </c>
      <c r="F1359" s="157"/>
      <c r="G1359" s="330">
        <v>725003</v>
      </c>
      <c r="H1359" s="329">
        <v>-8092</v>
      </c>
      <c r="I1359" s="157"/>
      <c r="J1359" s="330">
        <v>725003</v>
      </c>
      <c r="K1359" s="329">
        <v>-8092</v>
      </c>
      <c r="L1359" s="157"/>
      <c r="M1359" s="360">
        <f t="shared" si="146"/>
        <v>725003</v>
      </c>
      <c r="N1359" s="237">
        <f t="shared" si="147"/>
        <v>-8092</v>
      </c>
      <c r="O1359" s="361"/>
      <c r="P1359" s="361"/>
      <c r="Q1359" s="361" t="s">
        <v>698</v>
      </c>
      <c r="R1359" s="362">
        <f>IF(Q1359="ekrk",INDEX(indexy_SDcast!$A:$C,MATCH($M1359,indexy_SDcast!$A:$A,0),2),"")</f>
        <v>37</v>
      </c>
      <c r="S1359" s="236"/>
      <c r="T1359" s="364">
        <f t="shared" si="145"/>
        <v>725003</v>
      </c>
      <c r="U1359" s="365">
        <f t="shared" si="149"/>
        <v>-8092</v>
      </c>
      <c r="V1359" s="365">
        <f>IF($Q1359="ekrk",IF($R1359="data",IFERROR(INDEX(data!$A:$ALL,MATCH($M1359,data!$A:$A,0),MATCH(V$2,data!$1:$1,0)),"#data"),IFERROR(U1359*INDEX(indexy_SDcast!$A:$ALI,MATCH($R1359,indexy_SDcast!$K:$K,0),MATCH(V$2,indexy_SDcast!$2:$2,0)),"#ekrk")),"#popis")</f>
        <v>-8354.717343925684</v>
      </c>
      <c r="W1359" s="365">
        <f>IF($Q1359="ekrk",IF($R1359="data",IFERROR(INDEX(data!$A:$ALL,MATCH($M1359,data!$A:$A,0),MATCH(W$2,data!$1:$1,0)),"#data"),IFERROR(V1359*INDEX(indexy_SDcast!$A:$ALI,MATCH($R1359,indexy_SDcast!$K:$K,0),MATCH(W$2,indexy_SDcast!$2:$2,0)),"#ekrk")),"#popis")</f>
        <v>-8724.2275536323614</v>
      </c>
      <c r="X1359" s="365">
        <f>IF($Q1359="ekrk",IF($R1359="data",IFERROR(INDEX(data!$A:$ALL,MATCH($M1359,data!$A:$A,0),MATCH(X$2,data!$1:$1,0)),"#data"),IFERROR(W1359*INDEX(indexy_SDcast!$A:$ALI,MATCH($R1359,indexy_SDcast!$K:$K,0),MATCH(X$2,indexy_SDcast!$2:$2,0)),"#ekrk")),"#popis")</f>
        <v>-9164.2207264942226</v>
      </c>
      <c r="Y1359" s="362">
        <f>IF($Q1359="ekrk",IF($R1359="data",IFERROR(INDEX(data!$A:$ALL,MATCH($M1359,data!$A:$A,0),MATCH(Y$2,data!$1:$1,0)),"#data"),IFERROR(X1359*INDEX(indexy_SDcast!$A:$ALI,MATCH($R1359,indexy_SDcast!$K:$K,0),MATCH(Y$2,indexy_SDcast!$2:$2,0)),"#ekrk")),"#popis")</f>
        <v>-9668.9825207200884</v>
      </c>
    </row>
    <row r="1360" spans="1:44" s="18" customFormat="1" x14ac:dyDescent="0.25">
      <c r="A1360" s="333" t="s">
        <v>744</v>
      </c>
      <c r="B1360" s="334">
        <v>250291.39776999998</v>
      </c>
      <c r="C1360" s="164"/>
      <c r="D1360" s="333" t="s">
        <v>744</v>
      </c>
      <c r="E1360" s="334">
        <v>250291.39776999998</v>
      </c>
      <c r="F1360" s="164"/>
      <c r="G1360" s="333" t="s">
        <v>744</v>
      </c>
      <c r="H1360" s="334">
        <v>250291.39776999998</v>
      </c>
      <c r="I1360" s="164"/>
      <c r="J1360" s="333" t="s">
        <v>744</v>
      </c>
      <c r="K1360" s="334">
        <f>H1360-H1361</f>
        <v>10552.397769999981</v>
      </c>
      <c r="L1360" s="164"/>
      <c r="M1360" s="358" t="str">
        <f t="shared" si="146"/>
        <v>D99REC</v>
      </c>
      <c r="N1360" s="239">
        <f t="shared" si="147"/>
        <v>10552.397769999981</v>
      </c>
      <c r="O1360" s="243"/>
      <c r="P1360" s="243">
        <f>MATCH(Q1360,Q1361:Q$1550,0)</f>
        <v>13</v>
      </c>
      <c r="Q1360" s="243" t="s">
        <v>697</v>
      </c>
      <c r="R1360" s="359" t="str">
        <f>IF(Q1360="ekrk",INDEX(indexy_SDcast!$A:$C,MATCH($M1360,indexy_SDcast!$A:$A,0),2),"")</f>
        <v/>
      </c>
      <c r="S1360" s="240"/>
      <c r="T1360" s="363" t="str">
        <f t="shared" si="145"/>
        <v>D99REC</v>
      </c>
      <c r="U1360" s="244">
        <f>SUM(U1361:U1372)</f>
        <v>10552.397769999987</v>
      </c>
      <c r="V1360" s="244">
        <f>SUM(V1361:V1372)</f>
        <v>10894.995139523198</v>
      </c>
      <c r="W1360" s="244">
        <f>SUM(W1361:W1372)</f>
        <v>11376.856077845117</v>
      </c>
      <c r="X1360" s="244">
        <f>SUM(X1361:X1372)</f>
        <v>11950.630543505367</v>
      </c>
      <c r="Y1360" s="359">
        <f>SUM(Y1361:Y1372)</f>
        <v>12608.866731316815</v>
      </c>
      <c r="Z1360" s="58"/>
      <c r="AA1360" s="58"/>
      <c r="AB1360" s="58"/>
      <c r="AC1360" s="58"/>
      <c r="AD1360" s="58"/>
      <c r="AE1360" s="58"/>
      <c r="AF1360" s="58"/>
      <c r="AG1360" s="58"/>
      <c r="AH1360" s="58"/>
      <c r="AI1360" s="58"/>
      <c r="AJ1360" s="58"/>
      <c r="AK1360" s="58"/>
      <c r="AL1360" s="58"/>
      <c r="AM1360" s="58"/>
      <c r="AN1360" s="58"/>
      <c r="AO1360" s="58"/>
      <c r="AP1360" s="58"/>
      <c r="AQ1360" s="58"/>
      <c r="AR1360" s="58"/>
    </row>
    <row r="1361" spans="1:44" x14ac:dyDescent="0.25">
      <c r="A1361" s="330">
        <v>152008</v>
      </c>
      <c r="B1361" s="329">
        <v>239739</v>
      </c>
      <c r="C1361" s="157"/>
      <c r="D1361" s="330">
        <v>152008</v>
      </c>
      <c r="E1361" s="329">
        <v>239739</v>
      </c>
      <c r="F1361" s="157"/>
      <c r="G1361" s="330">
        <v>152008</v>
      </c>
      <c r="H1361" s="329">
        <v>239739</v>
      </c>
      <c r="I1361" s="157"/>
      <c r="J1361" s="352">
        <v>152008</v>
      </c>
      <c r="K1361" s="353">
        <v>0</v>
      </c>
      <c r="L1361" s="157"/>
      <c r="M1361" s="360">
        <f t="shared" si="146"/>
        <v>152008</v>
      </c>
      <c r="N1361" s="237">
        <f t="shared" si="147"/>
        <v>0</v>
      </c>
      <c r="O1361" s="361"/>
      <c r="P1361" s="361"/>
      <c r="Q1361" s="361" t="s">
        <v>698</v>
      </c>
      <c r="R1361" s="362">
        <f>IF(Q1361="ekrk",INDEX(indexy_SDcast!$A:$C,MATCH($M1361,indexy_SDcast!$A:$A,0),2),"")</f>
        <v>2</v>
      </c>
      <c r="S1361" s="236"/>
      <c r="T1361" s="364">
        <f t="shared" si="145"/>
        <v>152008</v>
      </c>
      <c r="U1361" s="365">
        <f t="shared" ref="U1361:U1372" si="150">N1361</f>
        <v>0</v>
      </c>
      <c r="V1361" s="365">
        <f>IF($Q1361="ekrk",IF($R1361="data",IFERROR(INDEX(data!$A:$ALL,MATCH($M1361,data!$A:$A,0),MATCH(V$2,data!$1:$1,0)),"#data"),IFERROR(U1361*INDEX(indexy_SDcast!$A:$ALI,MATCH($R1361,indexy_SDcast!$K:$K,0),MATCH(V$2,indexy_SDcast!$2:$2,0)),"#ekrk")),"#popis")</f>
        <v>0</v>
      </c>
      <c r="W1361" s="365">
        <f>IF($Q1361="ekrk",IF($R1361="data",IFERROR(INDEX(data!$A:$ALL,MATCH($M1361,data!$A:$A,0),MATCH(W$2,data!$1:$1,0)),"#data"),IFERROR(V1361*INDEX(indexy_SDcast!$A:$ALI,MATCH($R1361,indexy_SDcast!$K:$K,0),MATCH(W$2,indexy_SDcast!$2:$2,0)),"#ekrk")),"#popis")</f>
        <v>0</v>
      </c>
      <c r="X1361" s="365">
        <f>IF($Q1361="ekrk",IF($R1361="data",IFERROR(INDEX(data!$A:$ALL,MATCH($M1361,data!$A:$A,0),MATCH(X$2,data!$1:$1,0)),"#data"),IFERROR(W1361*INDEX(indexy_SDcast!$A:$ALI,MATCH($R1361,indexy_SDcast!$K:$K,0),MATCH(X$2,indexy_SDcast!$2:$2,0)),"#ekrk")),"#popis")</f>
        <v>0</v>
      </c>
      <c r="Y1361" s="362">
        <f>IF($Q1361="ekrk",IF($R1361="data",IFERROR(INDEX(data!$A:$ALL,MATCH($M1361,data!$A:$A,0),MATCH(Y$2,data!$1:$1,0)),"#data"),IFERROR(X1361*INDEX(indexy_SDcast!$A:$ALI,MATCH($R1361,indexy_SDcast!$K:$K,0),MATCH(Y$2,indexy_SDcast!$2:$2,0)),"#ekrk")),"#popis")</f>
        <v>0</v>
      </c>
    </row>
    <row r="1362" spans="1:44" x14ac:dyDescent="0.25">
      <c r="A1362" s="330">
        <v>321000</v>
      </c>
      <c r="B1362" s="329">
        <v>3.1974423109204508E-13</v>
      </c>
      <c r="C1362" s="157"/>
      <c r="D1362" s="330">
        <v>321000</v>
      </c>
      <c r="E1362" s="329">
        <v>3.1974423109204508E-13</v>
      </c>
      <c r="F1362" s="157"/>
      <c r="G1362" s="330">
        <v>321000</v>
      </c>
      <c r="H1362" s="329">
        <v>3.1974423109204508E-13</v>
      </c>
      <c r="I1362" s="157"/>
      <c r="J1362" s="330">
        <v>321000</v>
      </c>
      <c r="K1362" s="329">
        <v>3.1974423109204508E-13</v>
      </c>
      <c r="L1362" s="157"/>
      <c r="M1362" s="360">
        <f t="shared" si="146"/>
        <v>321000</v>
      </c>
      <c r="N1362" s="237">
        <f t="shared" si="147"/>
        <v>3.1974423109204508E-13</v>
      </c>
      <c r="O1362" s="361"/>
      <c r="P1362" s="361"/>
      <c r="Q1362" s="361" t="s">
        <v>698</v>
      </c>
      <c r="R1362" s="362">
        <f>IF(Q1362="ekrk",INDEX(indexy_SDcast!$A:$C,MATCH($M1362,indexy_SDcast!$A:$A,0),2),"")</f>
        <v>37</v>
      </c>
      <c r="S1362" s="236"/>
      <c r="T1362" s="364">
        <f t="shared" si="145"/>
        <v>321000</v>
      </c>
      <c r="U1362" s="365">
        <f t="shared" si="150"/>
        <v>3.1974423109204508E-13</v>
      </c>
      <c r="V1362" s="365">
        <f>IF($Q1362="ekrk",IF($R1362="data",IFERROR(INDEX(data!$A:$ALL,MATCH($M1362,data!$A:$A,0),MATCH(V$2,data!$1:$1,0)),"#data"),IFERROR(U1362*INDEX(indexy_SDcast!$A:$ALI,MATCH($R1362,indexy_SDcast!$K:$K,0),MATCH(V$2,indexy_SDcast!$2:$2,0)),"#ekrk")),"#popis")</f>
        <v>3.3012514497341709E-13</v>
      </c>
      <c r="W1362" s="365">
        <f>IF($Q1362="ekrk",IF($R1362="data",IFERROR(INDEX(data!$A:$ALL,MATCH($M1362,data!$A:$A,0),MATCH(W$2,data!$1:$1,0)),"#data"),IFERROR(V1362*INDEX(indexy_SDcast!$A:$ALI,MATCH($R1362,indexy_SDcast!$K:$K,0),MATCH(W$2,indexy_SDcast!$2:$2,0)),"#ekrk")),"#popis")</f>
        <v>3.4472583181020923E-13</v>
      </c>
      <c r="X1362" s="365">
        <f>IF($Q1362="ekrk",IF($R1362="data",IFERROR(INDEX(data!$A:$ALL,MATCH($M1362,data!$A:$A,0),MATCH(X$2,data!$1:$1,0)),"#data"),IFERROR(W1362*INDEX(indexy_SDcast!$A:$ALI,MATCH($R1362,indexy_SDcast!$K:$K,0),MATCH(X$2,indexy_SDcast!$2:$2,0)),"#ekrk")),"#popis")</f>
        <v>3.6211155582682628E-13</v>
      </c>
      <c r="Y1362" s="362">
        <f>IF($Q1362="ekrk",IF($R1362="data",IFERROR(INDEX(data!$A:$ALL,MATCH($M1362,data!$A:$A,0),MATCH(Y$2,data!$1:$1,0)),"#data"),IFERROR(X1362*INDEX(indexy_SDcast!$A:$ALI,MATCH($R1362,indexy_SDcast!$K:$K,0),MATCH(Y$2,indexy_SDcast!$2:$2,0)),"#ekrk")),"#popis")</f>
        <v>3.820565226804336E-13</v>
      </c>
    </row>
    <row r="1363" spans="1:44" x14ac:dyDescent="0.25">
      <c r="A1363" s="330">
        <v>322001</v>
      </c>
      <c r="B1363" s="329">
        <v>-1.5006662579253316E-11</v>
      </c>
      <c r="C1363" s="157"/>
      <c r="D1363" s="330">
        <v>322001</v>
      </c>
      <c r="E1363" s="329">
        <v>-1.5006662579253316E-11</v>
      </c>
      <c r="F1363" s="157"/>
      <c r="G1363" s="330">
        <v>322001</v>
      </c>
      <c r="H1363" s="329">
        <v>-1.5006662579253316E-11</v>
      </c>
      <c r="I1363" s="157"/>
      <c r="J1363" s="330">
        <v>322001</v>
      </c>
      <c r="K1363" s="329">
        <v>-1.5006662579253316E-11</v>
      </c>
      <c r="L1363" s="157"/>
      <c r="M1363" s="360">
        <f t="shared" si="146"/>
        <v>322001</v>
      </c>
      <c r="N1363" s="237">
        <f t="shared" si="147"/>
        <v>-1.5006662579253316E-11</v>
      </c>
      <c r="O1363" s="361"/>
      <c r="P1363" s="361"/>
      <c r="Q1363" s="361" t="s">
        <v>698</v>
      </c>
      <c r="R1363" s="362">
        <f>IF(Q1363="ekrk",INDEX(indexy_SDcast!$A:$C,MATCH($M1363,indexy_SDcast!$A:$A,0),2),"")</f>
        <v>2</v>
      </c>
      <c r="S1363" s="236"/>
      <c r="T1363" s="364">
        <f t="shared" si="145"/>
        <v>322001</v>
      </c>
      <c r="U1363" s="365">
        <f t="shared" si="150"/>
        <v>-1.5006662579253316E-11</v>
      </c>
      <c r="V1363" s="365">
        <f>IF($Q1363="ekrk",IF($R1363="data",IFERROR(INDEX(data!$A:$ALL,MATCH($M1363,data!$A:$A,0),MATCH(V$2,data!$1:$1,0)),"#data"),IFERROR(U1363*INDEX(indexy_SDcast!$A:$ALI,MATCH($R1363,indexy_SDcast!$K:$K,0),MATCH(V$2,indexy_SDcast!$2:$2,0)),"#ekrk")),"#popis")</f>
        <v>0</v>
      </c>
      <c r="W1363" s="365">
        <f>IF($Q1363="ekrk",IF($R1363="data",IFERROR(INDEX(data!$A:$ALL,MATCH($M1363,data!$A:$A,0),MATCH(W$2,data!$1:$1,0)),"#data"),IFERROR(V1363*INDEX(indexy_SDcast!$A:$ALI,MATCH($R1363,indexy_SDcast!$K:$K,0),MATCH(W$2,indexy_SDcast!$2:$2,0)),"#ekrk")),"#popis")</f>
        <v>0</v>
      </c>
      <c r="X1363" s="365">
        <f>IF($Q1363="ekrk",IF($R1363="data",IFERROR(INDEX(data!$A:$ALL,MATCH($M1363,data!$A:$A,0),MATCH(X$2,data!$1:$1,0)),"#data"),IFERROR(W1363*INDEX(indexy_SDcast!$A:$ALI,MATCH($R1363,indexy_SDcast!$K:$K,0),MATCH(X$2,indexy_SDcast!$2:$2,0)),"#ekrk")),"#popis")</f>
        <v>0</v>
      </c>
      <c r="Y1363" s="362">
        <f>IF($Q1363="ekrk",IF($R1363="data",IFERROR(INDEX(data!$A:$ALL,MATCH($M1363,data!$A:$A,0),MATCH(Y$2,data!$1:$1,0)),"#data"),IFERROR(X1363*INDEX(indexy_SDcast!$A:$ALI,MATCH($R1363,indexy_SDcast!$K:$K,0),MATCH(Y$2,indexy_SDcast!$2:$2,0)),"#ekrk")),"#popis")</f>
        <v>0</v>
      </c>
    </row>
    <row r="1364" spans="1:44" x14ac:dyDescent="0.25">
      <c r="A1364" s="330">
        <v>322002</v>
      </c>
      <c r="B1364" s="329">
        <v>4.5474735088646412E-13</v>
      </c>
      <c r="C1364" s="157"/>
      <c r="D1364" s="330">
        <v>322002</v>
      </c>
      <c r="E1364" s="329">
        <v>4.5474735088646412E-13</v>
      </c>
      <c r="F1364" s="157"/>
      <c r="G1364" s="330">
        <v>322002</v>
      </c>
      <c r="H1364" s="329">
        <v>4.5474735088646412E-13</v>
      </c>
      <c r="I1364" s="157"/>
      <c r="J1364" s="330">
        <v>322002</v>
      </c>
      <c r="K1364" s="329">
        <v>4.5474735088646412E-13</v>
      </c>
      <c r="L1364" s="157"/>
      <c r="M1364" s="360">
        <f t="shared" si="146"/>
        <v>322002</v>
      </c>
      <c r="N1364" s="237">
        <f t="shared" si="147"/>
        <v>4.5474735088646412E-13</v>
      </c>
      <c r="O1364" s="361"/>
      <c r="P1364" s="361"/>
      <c r="Q1364" s="361" t="s">
        <v>698</v>
      </c>
      <c r="R1364" s="362">
        <f>IF(Q1364="ekrk",INDEX(indexy_SDcast!$A:$C,MATCH($M1364,indexy_SDcast!$A:$A,0),2),"")</f>
        <v>2</v>
      </c>
      <c r="S1364" s="236"/>
      <c r="T1364" s="364">
        <f t="shared" ref="T1364:T1427" si="151">M1364</f>
        <v>322002</v>
      </c>
      <c r="U1364" s="365">
        <f t="shared" si="150"/>
        <v>4.5474735088646412E-13</v>
      </c>
      <c r="V1364" s="365">
        <f>IF($Q1364="ekrk",IF($R1364="data",IFERROR(INDEX(data!$A:$ALL,MATCH($M1364,data!$A:$A,0),MATCH(V$2,data!$1:$1,0)),"#data"),IFERROR(U1364*INDEX(indexy_SDcast!$A:$ALI,MATCH($R1364,indexy_SDcast!$K:$K,0),MATCH(V$2,indexy_SDcast!$2:$2,0)),"#ekrk")),"#popis")</f>
        <v>0</v>
      </c>
      <c r="W1364" s="365">
        <f>IF($Q1364="ekrk",IF($R1364="data",IFERROR(INDEX(data!$A:$ALL,MATCH($M1364,data!$A:$A,0),MATCH(W$2,data!$1:$1,0)),"#data"),IFERROR(V1364*INDEX(indexy_SDcast!$A:$ALI,MATCH($R1364,indexy_SDcast!$K:$K,0),MATCH(W$2,indexy_SDcast!$2:$2,0)),"#ekrk")),"#popis")</f>
        <v>0</v>
      </c>
      <c r="X1364" s="365">
        <f>IF($Q1364="ekrk",IF($R1364="data",IFERROR(INDEX(data!$A:$ALL,MATCH($M1364,data!$A:$A,0),MATCH(X$2,data!$1:$1,0)),"#data"),IFERROR(W1364*INDEX(indexy_SDcast!$A:$ALI,MATCH($R1364,indexy_SDcast!$K:$K,0),MATCH(X$2,indexy_SDcast!$2:$2,0)),"#ekrk")),"#popis")</f>
        <v>0</v>
      </c>
      <c r="Y1364" s="362">
        <f>IF($Q1364="ekrk",IF($R1364="data",IFERROR(INDEX(data!$A:$ALL,MATCH($M1364,data!$A:$A,0),MATCH(Y$2,data!$1:$1,0)),"#data"),IFERROR(X1364*INDEX(indexy_SDcast!$A:$ALI,MATCH($R1364,indexy_SDcast!$K:$K,0),MATCH(Y$2,indexy_SDcast!$2:$2,0)),"#ekrk")),"#popis")</f>
        <v>0</v>
      </c>
    </row>
    <row r="1365" spans="1:44" x14ac:dyDescent="0.25">
      <c r="A1365" s="330">
        <v>322003</v>
      </c>
      <c r="B1365" s="329">
        <v>0</v>
      </c>
      <c r="C1365" s="157"/>
      <c r="D1365" s="330">
        <v>322003</v>
      </c>
      <c r="E1365" s="329">
        <v>0</v>
      </c>
      <c r="F1365" s="157"/>
      <c r="G1365" s="330">
        <v>322003</v>
      </c>
      <c r="H1365" s="329">
        <v>0</v>
      </c>
      <c r="I1365" s="157"/>
      <c r="J1365" s="330">
        <v>322003</v>
      </c>
      <c r="K1365" s="329">
        <v>0</v>
      </c>
      <c r="L1365" s="157"/>
      <c r="M1365" s="360">
        <f t="shared" si="146"/>
        <v>322003</v>
      </c>
      <c r="N1365" s="237">
        <f t="shared" si="147"/>
        <v>0</v>
      </c>
      <c r="O1365" s="361"/>
      <c r="P1365" s="361"/>
      <c r="Q1365" s="361" t="s">
        <v>698</v>
      </c>
      <c r="R1365" s="362">
        <f>IF(Q1365="ekrk",INDEX(indexy_SDcast!$A:$C,MATCH($M1365,indexy_SDcast!$A:$A,0),2),"")</f>
        <v>2</v>
      </c>
      <c r="S1365" s="236"/>
      <c r="T1365" s="364">
        <f t="shared" si="151"/>
        <v>322003</v>
      </c>
      <c r="U1365" s="365">
        <f t="shared" si="150"/>
        <v>0</v>
      </c>
      <c r="V1365" s="365">
        <f>IF($Q1365="ekrk",IF($R1365="data",IFERROR(INDEX(data!$A:$ALL,MATCH($M1365,data!$A:$A,0),MATCH(V$2,data!$1:$1,0)),"#data"),IFERROR(U1365*INDEX(indexy_SDcast!$A:$ALI,MATCH($R1365,indexy_SDcast!$K:$K,0),MATCH(V$2,indexy_SDcast!$2:$2,0)),"#ekrk")),"#popis")</f>
        <v>0</v>
      </c>
      <c r="W1365" s="365">
        <f>IF($Q1365="ekrk",IF($R1365="data",IFERROR(INDEX(data!$A:$ALL,MATCH($M1365,data!$A:$A,0),MATCH(W$2,data!$1:$1,0)),"#data"),IFERROR(V1365*INDEX(indexy_SDcast!$A:$ALI,MATCH($R1365,indexy_SDcast!$K:$K,0),MATCH(W$2,indexy_SDcast!$2:$2,0)),"#ekrk")),"#popis")</f>
        <v>0</v>
      </c>
      <c r="X1365" s="365">
        <f>IF($Q1365="ekrk",IF($R1365="data",IFERROR(INDEX(data!$A:$ALL,MATCH($M1365,data!$A:$A,0),MATCH(X$2,data!$1:$1,0)),"#data"),IFERROR(W1365*INDEX(indexy_SDcast!$A:$ALI,MATCH($R1365,indexy_SDcast!$K:$K,0),MATCH(X$2,indexy_SDcast!$2:$2,0)),"#ekrk")),"#popis")</f>
        <v>0</v>
      </c>
      <c r="Y1365" s="362">
        <f>IF($Q1365="ekrk",IF($R1365="data",IFERROR(INDEX(data!$A:$ALL,MATCH($M1365,data!$A:$A,0),MATCH(Y$2,data!$1:$1,0)),"#data"),IFERROR(X1365*INDEX(indexy_SDcast!$A:$ALI,MATCH($R1365,indexy_SDcast!$K:$K,0),MATCH(Y$2,indexy_SDcast!$2:$2,0)),"#ekrk")),"#popis")</f>
        <v>0</v>
      </c>
    </row>
    <row r="1366" spans="1:44" x14ac:dyDescent="0.25">
      <c r="A1366" s="330">
        <v>322004</v>
      </c>
      <c r="B1366" s="329">
        <v>0</v>
      </c>
      <c r="C1366" s="157"/>
      <c r="D1366" s="330">
        <v>322004</v>
      </c>
      <c r="E1366" s="329">
        <v>0</v>
      </c>
      <c r="F1366" s="157"/>
      <c r="G1366" s="330">
        <v>322004</v>
      </c>
      <c r="H1366" s="329">
        <v>0</v>
      </c>
      <c r="I1366" s="157"/>
      <c r="J1366" s="330">
        <v>322004</v>
      </c>
      <c r="K1366" s="329">
        <v>0</v>
      </c>
      <c r="L1366" s="157"/>
      <c r="M1366" s="360">
        <f t="shared" si="146"/>
        <v>322004</v>
      </c>
      <c r="N1366" s="237">
        <f t="shared" si="147"/>
        <v>0</v>
      </c>
      <c r="O1366" s="361"/>
      <c r="P1366" s="361"/>
      <c r="Q1366" s="361" t="s">
        <v>698</v>
      </c>
      <c r="R1366" s="362">
        <f>IF(Q1366="ekrk",INDEX(indexy_SDcast!$A:$C,MATCH($M1366,indexy_SDcast!$A:$A,0),2),"")</f>
        <v>2</v>
      </c>
      <c r="S1366" s="236"/>
      <c r="T1366" s="364">
        <f t="shared" si="151"/>
        <v>322004</v>
      </c>
      <c r="U1366" s="365">
        <f t="shared" si="150"/>
        <v>0</v>
      </c>
      <c r="V1366" s="365">
        <f>IF($Q1366="ekrk",IF($R1366="data",IFERROR(INDEX(data!$A:$ALL,MATCH($M1366,data!$A:$A,0),MATCH(V$2,data!$1:$1,0)),"#data"),IFERROR(U1366*INDEX(indexy_SDcast!$A:$ALI,MATCH($R1366,indexy_SDcast!$K:$K,0),MATCH(V$2,indexy_SDcast!$2:$2,0)),"#ekrk")),"#popis")</f>
        <v>0</v>
      </c>
      <c r="W1366" s="365">
        <f>IF($Q1366="ekrk",IF($R1366="data",IFERROR(INDEX(data!$A:$ALL,MATCH($M1366,data!$A:$A,0),MATCH(W$2,data!$1:$1,0)),"#data"),IFERROR(V1366*INDEX(indexy_SDcast!$A:$ALI,MATCH($R1366,indexy_SDcast!$K:$K,0),MATCH(W$2,indexy_SDcast!$2:$2,0)),"#ekrk")),"#popis")</f>
        <v>0</v>
      </c>
      <c r="X1366" s="365">
        <f>IF($Q1366="ekrk",IF($R1366="data",IFERROR(INDEX(data!$A:$ALL,MATCH($M1366,data!$A:$A,0),MATCH(X$2,data!$1:$1,0)),"#data"),IFERROR(W1366*INDEX(indexy_SDcast!$A:$ALI,MATCH($R1366,indexy_SDcast!$K:$K,0),MATCH(X$2,indexy_SDcast!$2:$2,0)),"#ekrk")),"#popis")</f>
        <v>0</v>
      </c>
      <c r="Y1366" s="362">
        <f>IF($Q1366="ekrk",IF($R1366="data",IFERROR(INDEX(data!$A:$ALL,MATCH($M1366,data!$A:$A,0),MATCH(Y$2,data!$1:$1,0)),"#data"),IFERROR(X1366*INDEX(indexy_SDcast!$A:$ALI,MATCH($R1366,indexy_SDcast!$K:$K,0),MATCH(Y$2,indexy_SDcast!$2:$2,0)),"#ekrk")),"#popis")</f>
        <v>0</v>
      </c>
    </row>
    <row r="1367" spans="1:44" x14ac:dyDescent="0.25">
      <c r="A1367" s="330">
        <v>322005</v>
      </c>
      <c r="B1367" s="329">
        <v>-2.8421709430404007E-14</v>
      </c>
      <c r="C1367" s="157"/>
      <c r="D1367" s="330">
        <v>322005</v>
      </c>
      <c r="E1367" s="329">
        <v>-2.8421709430404007E-14</v>
      </c>
      <c r="F1367" s="157"/>
      <c r="G1367" s="330">
        <v>322005</v>
      </c>
      <c r="H1367" s="329">
        <v>-2.8421709430404007E-14</v>
      </c>
      <c r="I1367" s="157"/>
      <c r="J1367" s="330">
        <v>322005</v>
      </c>
      <c r="K1367" s="329">
        <v>-2.8421709430404007E-14</v>
      </c>
      <c r="L1367" s="157"/>
      <c r="M1367" s="360">
        <f t="shared" si="146"/>
        <v>322005</v>
      </c>
      <c r="N1367" s="237">
        <f t="shared" si="147"/>
        <v>-2.8421709430404007E-14</v>
      </c>
      <c r="O1367" s="361"/>
      <c r="P1367" s="361"/>
      <c r="Q1367" s="361" t="s">
        <v>698</v>
      </c>
      <c r="R1367" s="362">
        <f>IF(Q1367="ekrk",INDEX(indexy_SDcast!$A:$C,MATCH($M1367,indexy_SDcast!$A:$A,0),2),"")</f>
        <v>2</v>
      </c>
      <c r="S1367" s="236"/>
      <c r="T1367" s="364">
        <f t="shared" si="151"/>
        <v>322005</v>
      </c>
      <c r="U1367" s="365">
        <f t="shared" si="150"/>
        <v>-2.8421709430404007E-14</v>
      </c>
      <c r="V1367" s="365">
        <f>IF($Q1367="ekrk",IF($R1367="data",IFERROR(INDEX(data!$A:$ALL,MATCH($M1367,data!$A:$A,0),MATCH(V$2,data!$1:$1,0)),"#data"),IFERROR(U1367*INDEX(indexy_SDcast!$A:$ALI,MATCH($R1367,indexy_SDcast!$K:$K,0),MATCH(V$2,indexy_SDcast!$2:$2,0)),"#ekrk")),"#popis")</f>
        <v>0</v>
      </c>
      <c r="W1367" s="365">
        <f>IF($Q1367="ekrk",IF($R1367="data",IFERROR(INDEX(data!$A:$ALL,MATCH($M1367,data!$A:$A,0),MATCH(W$2,data!$1:$1,0)),"#data"),IFERROR(V1367*INDEX(indexy_SDcast!$A:$ALI,MATCH($R1367,indexy_SDcast!$K:$K,0),MATCH(W$2,indexy_SDcast!$2:$2,0)),"#ekrk")),"#popis")</f>
        <v>0</v>
      </c>
      <c r="X1367" s="365">
        <f>IF($Q1367="ekrk",IF($R1367="data",IFERROR(INDEX(data!$A:$ALL,MATCH($M1367,data!$A:$A,0),MATCH(X$2,data!$1:$1,0)),"#data"),IFERROR(W1367*INDEX(indexy_SDcast!$A:$ALI,MATCH($R1367,indexy_SDcast!$K:$K,0),MATCH(X$2,indexy_SDcast!$2:$2,0)),"#ekrk")),"#popis")</f>
        <v>0</v>
      </c>
      <c r="Y1367" s="362">
        <f>IF($Q1367="ekrk",IF($R1367="data",IFERROR(INDEX(data!$A:$ALL,MATCH($M1367,data!$A:$A,0),MATCH(Y$2,data!$1:$1,0)),"#data"),IFERROR(X1367*INDEX(indexy_SDcast!$A:$ALI,MATCH($R1367,indexy_SDcast!$K:$K,0),MATCH(Y$2,indexy_SDcast!$2:$2,0)),"#ekrk")),"#popis")</f>
        <v>0</v>
      </c>
    </row>
    <row r="1368" spans="1:44" x14ac:dyDescent="0.25">
      <c r="A1368" s="330">
        <v>322006</v>
      </c>
      <c r="B1368" s="329">
        <v>5.5422333389287814E-13</v>
      </c>
      <c r="C1368" s="157"/>
      <c r="D1368" s="330">
        <v>322006</v>
      </c>
      <c r="E1368" s="329">
        <v>5.5422333389287814E-13</v>
      </c>
      <c r="F1368" s="157"/>
      <c r="G1368" s="330">
        <v>322006</v>
      </c>
      <c r="H1368" s="329">
        <v>5.5422333389287814E-13</v>
      </c>
      <c r="I1368" s="157"/>
      <c r="J1368" s="330">
        <v>322006</v>
      </c>
      <c r="K1368" s="329">
        <v>5.5422333389287814E-13</v>
      </c>
      <c r="L1368" s="157"/>
      <c r="M1368" s="360">
        <f t="shared" si="146"/>
        <v>322006</v>
      </c>
      <c r="N1368" s="237">
        <f t="shared" si="147"/>
        <v>5.5422333389287814E-13</v>
      </c>
      <c r="O1368" s="361"/>
      <c r="P1368" s="361"/>
      <c r="Q1368" s="361" t="s">
        <v>698</v>
      </c>
      <c r="R1368" s="362">
        <f>IF(Q1368="ekrk",INDEX(indexy_SDcast!$A:$C,MATCH($M1368,indexy_SDcast!$A:$A,0),2),"")</f>
        <v>2</v>
      </c>
      <c r="S1368" s="236"/>
      <c r="T1368" s="364">
        <f t="shared" si="151"/>
        <v>322006</v>
      </c>
      <c r="U1368" s="365">
        <f t="shared" si="150"/>
        <v>5.5422333389287814E-13</v>
      </c>
      <c r="V1368" s="365">
        <f>IF($Q1368="ekrk",IF($R1368="data",IFERROR(INDEX(data!$A:$ALL,MATCH($M1368,data!$A:$A,0),MATCH(V$2,data!$1:$1,0)),"#data"),IFERROR(U1368*INDEX(indexy_SDcast!$A:$ALI,MATCH($R1368,indexy_SDcast!$K:$K,0),MATCH(V$2,indexy_SDcast!$2:$2,0)),"#ekrk")),"#popis")</f>
        <v>0</v>
      </c>
      <c r="W1368" s="365">
        <f>IF($Q1368="ekrk",IF($R1368="data",IFERROR(INDEX(data!$A:$ALL,MATCH($M1368,data!$A:$A,0),MATCH(W$2,data!$1:$1,0)),"#data"),IFERROR(V1368*INDEX(indexy_SDcast!$A:$ALI,MATCH($R1368,indexy_SDcast!$K:$K,0),MATCH(W$2,indexy_SDcast!$2:$2,0)),"#ekrk")),"#popis")</f>
        <v>0</v>
      </c>
      <c r="X1368" s="365">
        <f>IF($Q1368="ekrk",IF($R1368="data",IFERROR(INDEX(data!$A:$ALL,MATCH($M1368,data!$A:$A,0),MATCH(X$2,data!$1:$1,0)),"#data"),IFERROR(W1368*INDEX(indexy_SDcast!$A:$ALI,MATCH($R1368,indexy_SDcast!$K:$K,0),MATCH(X$2,indexy_SDcast!$2:$2,0)),"#ekrk")),"#popis")</f>
        <v>0</v>
      </c>
      <c r="Y1368" s="362">
        <f>IF($Q1368="ekrk",IF($R1368="data",IFERROR(INDEX(data!$A:$ALL,MATCH($M1368,data!$A:$A,0),MATCH(Y$2,data!$1:$1,0)),"#data"),IFERROR(X1368*INDEX(indexy_SDcast!$A:$ALI,MATCH($R1368,indexy_SDcast!$K:$K,0),MATCH(Y$2,indexy_SDcast!$2:$2,0)),"#ekrk")),"#popis")</f>
        <v>0</v>
      </c>
    </row>
    <row r="1369" spans="1:44" x14ac:dyDescent="0.25">
      <c r="A1369" s="330">
        <v>322008</v>
      </c>
      <c r="B1369" s="329">
        <v>2.2204460492503131E-15</v>
      </c>
      <c r="C1369" s="157"/>
      <c r="D1369" s="330">
        <v>322008</v>
      </c>
      <c r="E1369" s="329">
        <v>2.2204460492503131E-15</v>
      </c>
      <c r="F1369" s="157"/>
      <c r="G1369" s="330">
        <v>322008</v>
      </c>
      <c r="H1369" s="329">
        <v>2.2204460492503131E-15</v>
      </c>
      <c r="I1369" s="157"/>
      <c r="J1369" s="330">
        <v>322008</v>
      </c>
      <c r="K1369" s="329">
        <v>2.2204460492503131E-15</v>
      </c>
      <c r="L1369" s="157"/>
      <c r="M1369" s="360">
        <f t="shared" si="146"/>
        <v>322008</v>
      </c>
      <c r="N1369" s="237">
        <f t="shared" si="147"/>
        <v>2.2204460492503131E-15</v>
      </c>
      <c r="O1369" s="361"/>
      <c r="P1369" s="361"/>
      <c r="Q1369" s="361" t="s">
        <v>698</v>
      </c>
      <c r="R1369" s="362">
        <f>IF(Q1369="ekrk",INDEX(indexy_SDcast!$A:$C,MATCH($M1369,indexy_SDcast!$A:$A,0),2),"")</f>
        <v>2</v>
      </c>
      <c r="S1369" s="236"/>
      <c r="T1369" s="364">
        <f t="shared" si="151"/>
        <v>322008</v>
      </c>
      <c r="U1369" s="365">
        <f t="shared" si="150"/>
        <v>2.2204460492503131E-15</v>
      </c>
      <c r="V1369" s="365">
        <f>IF($Q1369="ekrk",IF($R1369="data",IFERROR(INDEX(data!$A:$ALL,MATCH($M1369,data!$A:$A,0),MATCH(V$2,data!$1:$1,0)),"#data"),IFERROR(U1369*INDEX(indexy_SDcast!$A:$ALI,MATCH($R1369,indexy_SDcast!$K:$K,0),MATCH(V$2,indexy_SDcast!$2:$2,0)),"#ekrk")),"#popis")</f>
        <v>0</v>
      </c>
      <c r="W1369" s="365">
        <f>IF($Q1369="ekrk",IF($R1369="data",IFERROR(INDEX(data!$A:$ALL,MATCH($M1369,data!$A:$A,0),MATCH(W$2,data!$1:$1,0)),"#data"),IFERROR(V1369*INDEX(indexy_SDcast!$A:$ALI,MATCH($R1369,indexy_SDcast!$K:$K,0),MATCH(W$2,indexy_SDcast!$2:$2,0)),"#ekrk")),"#popis")</f>
        <v>0</v>
      </c>
      <c r="X1369" s="365">
        <f>IF($Q1369="ekrk",IF($R1369="data",IFERROR(INDEX(data!$A:$ALL,MATCH($M1369,data!$A:$A,0),MATCH(X$2,data!$1:$1,0)),"#data"),IFERROR(W1369*INDEX(indexy_SDcast!$A:$ALI,MATCH($R1369,indexy_SDcast!$K:$K,0),MATCH(X$2,indexy_SDcast!$2:$2,0)),"#ekrk")),"#popis")</f>
        <v>0</v>
      </c>
      <c r="Y1369" s="362">
        <f>IF($Q1369="ekrk",IF($R1369="data",IFERROR(INDEX(data!$A:$ALL,MATCH($M1369,data!$A:$A,0),MATCH(Y$2,data!$1:$1,0)),"#data"),IFERROR(X1369*INDEX(indexy_SDcast!$A:$ALI,MATCH($R1369,indexy_SDcast!$K:$K,0),MATCH(Y$2,indexy_SDcast!$2:$2,0)),"#ekrk")),"#popis")</f>
        <v>0</v>
      </c>
    </row>
    <row r="1370" spans="1:44" x14ac:dyDescent="0.25">
      <c r="A1370" s="330">
        <v>324000</v>
      </c>
      <c r="B1370" s="329">
        <v>0</v>
      </c>
      <c r="C1370" s="157"/>
      <c r="D1370" s="330">
        <v>324000</v>
      </c>
      <c r="E1370" s="329">
        <v>0</v>
      </c>
      <c r="F1370" s="157"/>
      <c r="G1370" s="330">
        <v>324000</v>
      </c>
      <c r="H1370" s="329">
        <v>0</v>
      </c>
      <c r="I1370" s="157"/>
      <c r="J1370" s="330">
        <v>324000</v>
      </c>
      <c r="K1370" s="329">
        <v>0</v>
      </c>
      <c r="L1370" s="157"/>
      <c r="M1370" s="360">
        <f t="shared" si="146"/>
        <v>324000</v>
      </c>
      <c r="N1370" s="237">
        <f t="shared" si="147"/>
        <v>0</v>
      </c>
      <c r="O1370" s="361"/>
      <c r="P1370" s="361"/>
      <c r="Q1370" s="361" t="s">
        <v>698</v>
      </c>
      <c r="R1370" s="362">
        <f>IF(Q1370="ekrk",INDEX(indexy_SDcast!$A:$C,MATCH($M1370,indexy_SDcast!$A:$A,0),2),"")</f>
        <v>37</v>
      </c>
      <c r="S1370" s="236"/>
      <c r="T1370" s="364">
        <f t="shared" si="151"/>
        <v>324000</v>
      </c>
      <c r="U1370" s="365">
        <f t="shared" si="150"/>
        <v>0</v>
      </c>
      <c r="V1370" s="365">
        <f>IF($Q1370="ekrk",IF($R1370="data",IFERROR(INDEX(data!$A:$ALL,MATCH($M1370,data!$A:$A,0),MATCH(V$2,data!$1:$1,0)),"#data"),IFERROR(U1370*INDEX(indexy_SDcast!$A:$ALI,MATCH($R1370,indexy_SDcast!$K:$K,0),MATCH(V$2,indexy_SDcast!$2:$2,0)),"#ekrk")),"#popis")</f>
        <v>0</v>
      </c>
      <c r="W1370" s="365">
        <f>IF($Q1370="ekrk",IF($R1370="data",IFERROR(INDEX(data!$A:$ALL,MATCH($M1370,data!$A:$A,0),MATCH(W$2,data!$1:$1,0)),"#data"),IFERROR(V1370*INDEX(indexy_SDcast!$A:$ALI,MATCH($R1370,indexy_SDcast!$K:$K,0),MATCH(W$2,indexy_SDcast!$2:$2,0)),"#ekrk")),"#popis")</f>
        <v>0</v>
      </c>
      <c r="X1370" s="365">
        <f>IF($Q1370="ekrk",IF($R1370="data",IFERROR(INDEX(data!$A:$ALL,MATCH($M1370,data!$A:$A,0),MATCH(X$2,data!$1:$1,0)),"#data"),IFERROR(W1370*INDEX(indexy_SDcast!$A:$ALI,MATCH($R1370,indexy_SDcast!$K:$K,0),MATCH(X$2,indexy_SDcast!$2:$2,0)),"#ekrk")),"#popis")</f>
        <v>0</v>
      </c>
      <c r="Y1370" s="362">
        <f>IF($Q1370="ekrk",IF($R1370="data",IFERROR(INDEX(data!$A:$ALL,MATCH($M1370,data!$A:$A,0),MATCH(Y$2,data!$1:$1,0)),"#data"),IFERROR(X1370*INDEX(indexy_SDcast!$A:$ALI,MATCH($R1370,indexy_SDcast!$K:$K,0),MATCH(Y$2,indexy_SDcast!$2:$2,0)),"#ekrk")),"#popis")</f>
        <v>0</v>
      </c>
    </row>
    <row r="1371" spans="1:44" x14ac:dyDescent="0.25">
      <c r="A1371" s="330">
        <v>332001</v>
      </c>
      <c r="B1371" s="329">
        <v>5509.3168299999998</v>
      </c>
      <c r="C1371" s="157"/>
      <c r="D1371" s="330">
        <v>332001</v>
      </c>
      <c r="E1371" s="329">
        <v>5509.3168299999998</v>
      </c>
      <c r="F1371" s="157"/>
      <c r="G1371" s="330">
        <v>332001</v>
      </c>
      <c r="H1371" s="329">
        <v>5509.3168299999998</v>
      </c>
      <c r="I1371" s="157"/>
      <c r="J1371" s="330">
        <v>332001</v>
      </c>
      <c r="K1371" s="329">
        <v>5509.3168299999998</v>
      </c>
      <c r="L1371" s="157"/>
      <c r="M1371" s="360">
        <f t="shared" si="146"/>
        <v>332001</v>
      </c>
      <c r="N1371" s="237">
        <f t="shared" si="147"/>
        <v>5509.3168299999998</v>
      </c>
      <c r="O1371" s="361"/>
      <c r="P1371" s="361"/>
      <c r="Q1371" s="361" t="s">
        <v>698</v>
      </c>
      <c r="R1371" s="362">
        <f>IF(Q1371="ekrk",INDEX(indexy_SDcast!$A:$C,MATCH($M1371,indexy_SDcast!$A:$A,0),2),"")</f>
        <v>37</v>
      </c>
      <c r="S1371" s="236"/>
      <c r="T1371" s="364">
        <f t="shared" si="151"/>
        <v>332001</v>
      </c>
      <c r="U1371" s="365">
        <f t="shared" si="150"/>
        <v>5509.3168299999998</v>
      </c>
      <c r="V1371" s="365">
        <f>IF($Q1371="ekrk",IF($R1371="data",IFERROR(INDEX(data!$A:$ALL,MATCH($M1371,data!$A:$A,0),MATCH(V$2,data!$1:$1,0)),"#data"),IFERROR(U1371*INDEX(indexy_SDcast!$A:$ALI,MATCH($R1371,indexy_SDcast!$K:$K,0),MATCH(V$2,indexy_SDcast!$2:$2,0)),"#ekrk")),"#popis")</f>
        <v>5688.1839931763061</v>
      </c>
      <c r="W1371" s="365">
        <f>IF($Q1371="ekrk",IF($R1371="data",IFERROR(INDEX(data!$A:$ALL,MATCH($M1371,data!$A:$A,0),MATCH(W$2,data!$1:$1,0)),"#data"),IFERROR(V1371*INDEX(indexy_SDcast!$A:$ALI,MATCH($R1371,indexy_SDcast!$K:$K,0),MATCH(W$2,indexy_SDcast!$2:$2,0)),"#ekrk")),"#popis")</f>
        <v>5939.759477258588</v>
      </c>
      <c r="X1371" s="365">
        <f>IF($Q1371="ekrk",IF($R1371="data",IFERROR(INDEX(data!$A:$ALL,MATCH($M1371,data!$A:$A,0),MATCH(X$2,data!$1:$1,0)),"#data"),IFERROR(W1371*INDEX(indexy_SDcast!$A:$ALI,MATCH($R1371,indexy_SDcast!$K:$K,0),MATCH(X$2,indexy_SDcast!$2:$2,0)),"#ekrk")),"#popis")</f>
        <v>6239.3222296477325</v>
      </c>
      <c r="Y1371" s="362">
        <f>IF($Q1371="ekrk",IF($R1371="data",IFERROR(INDEX(data!$A:$ALL,MATCH($M1371,data!$A:$A,0),MATCH(Y$2,data!$1:$1,0)),"#data"),IFERROR(X1371*INDEX(indexy_SDcast!$A:$ALI,MATCH($R1371,indexy_SDcast!$K:$K,0),MATCH(Y$2,indexy_SDcast!$2:$2,0)),"#ekrk")),"#popis")</f>
        <v>6582.9817264432786</v>
      </c>
    </row>
    <row r="1372" spans="1:44" x14ac:dyDescent="0.25">
      <c r="A1372" s="330">
        <v>332002</v>
      </c>
      <c r="B1372" s="329">
        <v>5043.0809400000007</v>
      </c>
      <c r="C1372" s="157"/>
      <c r="D1372" s="330">
        <v>332002</v>
      </c>
      <c r="E1372" s="329">
        <v>5043.0809400000007</v>
      </c>
      <c r="F1372" s="157"/>
      <c r="G1372" s="330">
        <v>332002</v>
      </c>
      <c r="H1372" s="329">
        <v>5043.0809400000007</v>
      </c>
      <c r="I1372" s="157"/>
      <c r="J1372" s="330">
        <v>332002</v>
      </c>
      <c r="K1372" s="329">
        <v>5043.0809400000007</v>
      </c>
      <c r="L1372" s="157"/>
      <c r="M1372" s="360">
        <f t="shared" si="146"/>
        <v>332002</v>
      </c>
      <c r="N1372" s="237">
        <f t="shared" si="147"/>
        <v>5043.0809400000007</v>
      </c>
      <c r="O1372" s="361"/>
      <c r="P1372" s="361"/>
      <c r="Q1372" s="361" t="s">
        <v>698</v>
      </c>
      <c r="R1372" s="362">
        <f>IF(Q1372="ekrk",INDEX(indexy_SDcast!$A:$C,MATCH($M1372,indexy_SDcast!$A:$A,0),2),"")</f>
        <v>37</v>
      </c>
      <c r="S1372" s="236"/>
      <c r="T1372" s="364">
        <f t="shared" si="151"/>
        <v>332002</v>
      </c>
      <c r="U1372" s="365">
        <f t="shared" si="150"/>
        <v>5043.0809400000007</v>
      </c>
      <c r="V1372" s="365">
        <f>IF($Q1372="ekrk",IF($R1372="data",IFERROR(INDEX(data!$A:$ALL,MATCH($M1372,data!$A:$A,0),MATCH(V$2,data!$1:$1,0)),"#data"),IFERROR(U1372*INDEX(indexy_SDcast!$A:$ALI,MATCH($R1372,indexy_SDcast!$K:$K,0),MATCH(V$2,indexy_SDcast!$2:$2,0)),"#ekrk")),"#popis")</f>
        <v>5206.8111463468922</v>
      </c>
      <c r="W1372" s="365">
        <f>IF($Q1372="ekrk",IF($R1372="data",IFERROR(INDEX(data!$A:$ALL,MATCH($M1372,data!$A:$A,0),MATCH(W$2,data!$1:$1,0)),"#data"),IFERROR(V1372*INDEX(indexy_SDcast!$A:$ALI,MATCH($R1372,indexy_SDcast!$K:$K,0),MATCH(W$2,indexy_SDcast!$2:$2,0)),"#ekrk")),"#popis")</f>
        <v>5437.0966005865303</v>
      </c>
      <c r="X1372" s="365">
        <f>IF($Q1372="ekrk",IF($R1372="data",IFERROR(INDEX(data!$A:$ALL,MATCH($M1372,data!$A:$A,0),MATCH(X$2,data!$1:$1,0)),"#data"),IFERROR(W1372*INDEX(indexy_SDcast!$A:$ALI,MATCH($R1372,indexy_SDcast!$K:$K,0),MATCH(X$2,indexy_SDcast!$2:$2,0)),"#ekrk")),"#popis")</f>
        <v>5711.3083138576349</v>
      </c>
      <c r="Y1372" s="362">
        <f>IF($Q1372="ekrk",IF($R1372="data",IFERROR(INDEX(data!$A:$ALL,MATCH($M1372,data!$A:$A,0),MATCH(Y$2,data!$1:$1,0)),"#data"),IFERROR(X1372*INDEX(indexy_SDcast!$A:$ALI,MATCH($R1372,indexy_SDcast!$K:$K,0),MATCH(Y$2,indexy_SDcast!$2:$2,0)),"#ekrk")),"#popis")</f>
        <v>6025.8850048735358</v>
      </c>
    </row>
    <row r="1373" spans="1:44" s="18" customFormat="1" x14ac:dyDescent="0.25">
      <c r="A1373" s="333" t="s">
        <v>745</v>
      </c>
      <c r="B1373" s="334">
        <v>-9048.0420600000016</v>
      </c>
      <c r="C1373" s="164"/>
      <c r="D1373" s="333" t="s">
        <v>745</v>
      </c>
      <c r="E1373" s="334">
        <v>-9048.0420600000016</v>
      </c>
      <c r="F1373" s="164"/>
      <c r="G1373" s="333" t="s">
        <v>745</v>
      </c>
      <c r="H1373" s="334">
        <v>-9048.0420600000016</v>
      </c>
      <c r="I1373" s="164"/>
      <c r="J1373" s="333" t="s">
        <v>745</v>
      </c>
      <c r="K1373" s="334">
        <v>-9048.0420600000016</v>
      </c>
      <c r="L1373" s="164"/>
      <c r="M1373" s="358" t="str">
        <f t="shared" si="146"/>
        <v>K21A</v>
      </c>
      <c r="N1373" s="239">
        <f t="shared" si="147"/>
        <v>-9048.0420600000016</v>
      </c>
      <c r="O1373" s="243"/>
      <c r="P1373" s="243">
        <f>MATCH(Q1373,Q1374:Q$1550,0)</f>
        <v>3</v>
      </c>
      <c r="Q1373" s="243" t="s">
        <v>697</v>
      </c>
      <c r="R1373" s="359" t="str">
        <f>IF(Q1373="ekrk",INDEX(indexy_SDcast!$A:$C,MATCH($M1373,indexy_SDcast!$A:$A,0),2),"")</f>
        <v/>
      </c>
      <c r="S1373" s="240"/>
      <c r="T1373" s="363" t="str">
        <f t="shared" si="151"/>
        <v>K21A</v>
      </c>
      <c r="U1373" s="244">
        <f>SUM(U1374:U1375)</f>
        <v>-9048.0420600000016</v>
      </c>
      <c r="V1373" s="244">
        <f>SUM(V1374:V1375)</f>
        <v>-9341.7985574951927</v>
      </c>
      <c r="W1373" s="244">
        <f>SUM(W1374:W1375)</f>
        <v>-9754.9651317692205</v>
      </c>
      <c r="X1373" s="244">
        <f>SUM(X1374:X1375)</f>
        <v>-10246.941989674187</v>
      </c>
      <c r="Y1373" s="359">
        <f>SUM(Y1374:Y1375)</f>
        <v>-10811.339659525485</v>
      </c>
      <c r="Z1373" s="58"/>
      <c r="AA1373" s="58"/>
      <c r="AB1373" s="58"/>
      <c r="AC1373" s="58"/>
      <c r="AD1373" s="58"/>
      <c r="AE1373" s="58"/>
      <c r="AF1373" s="58"/>
      <c r="AG1373" s="58"/>
      <c r="AH1373" s="58"/>
      <c r="AI1373" s="58"/>
      <c r="AJ1373" s="58"/>
      <c r="AK1373" s="58"/>
      <c r="AL1373" s="58"/>
      <c r="AM1373" s="58"/>
      <c r="AN1373" s="58"/>
      <c r="AO1373" s="58"/>
      <c r="AP1373" s="58"/>
      <c r="AQ1373" s="58"/>
      <c r="AR1373" s="58"/>
    </row>
    <row r="1374" spans="1:44" x14ac:dyDescent="0.25">
      <c r="A1374" s="330">
        <v>711001</v>
      </c>
      <c r="B1374" s="329">
        <v>-8994.4322500000017</v>
      </c>
      <c r="C1374" s="157"/>
      <c r="D1374" s="330">
        <v>711001</v>
      </c>
      <c r="E1374" s="329">
        <v>-8994.4322500000017</v>
      </c>
      <c r="F1374" s="157"/>
      <c r="G1374" s="330">
        <v>711001</v>
      </c>
      <c r="H1374" s="329">
        <v>-8994.4322500000017</v>
      </c>
      <c r="I1374" s="157"/>
      <c r="J1374" s="330">
        <v>711001</v>
      </c>
      <c r="K1374" s="329">
        <v>-8994.4322500000017</v>
      </c>
      <c r="L1374" s="157"/>
      <c r="M1374" s="360">
        <f t="shared" si="146"/>
        <v>711001</v>
      </c>
      <c r="N1374" s="237">
        <f t="shared" si="147"/>
        <v>-8994.4322500000017</v>
      </c>
      <c r="O1374" s="361"/>
      <c r="P1374" s="361"/>
      <c r="Q1374" s="361" t="s">
        <v>698</v>
      </c>
      <c r="R1374" s="362">
        <f>IF(Q1374="ekrk",INDEX(indexy_SDcast!$A:$C,MATCH($M1374,indexy_SDcast!$A:$A,0),2),"")</f>
        <v>37</v>
      </c>
      <c r="S1374" s="236"/>
      <c r="T1374" s="364">
        <f t="shared" si="151"/>
        <v>711001</v>
      </c>
      <c r="U1374" s="365">
        <f>N1374</f>
        <v>-8994.4322500000017</v>
      </c>
      <c r="V1374" s="365">
        <f>IF($Q1374="ekrk",IF($R1374="data",IFERROR(INDEX(data!$A:$ALL,MATCH($M1374,data!$A:$A,0),MATCH(V$2,data!$1:$1,0)),"#data"),IFERROR(U1374*INDEX(indexy_SDcast!$A:$ALI,MATCH($R1374,indexy_SDcast!$K:$K,0),MATCH(V$2,indexy_SDcast!$2:$2,0)),"#ekrk")),"#popis")</f>
        <v>-9286.4482350271301</v>
      </c>
      <c r="W1374" s="365">
        <f>IF($Q1374="ekrk",IF($R1374="data",IFERROR(INDEX(data!$A:$ALL,MATCH($M1374,data!$A:$A,0),MATCH(W$2,data!$1:$1,0)),"#data"),IFERROR(V1374*INDEX(indexy_SDcast!$A:$ALI,MATCH($R1374,indexy_SDcast!$K:$K,0),MATCH(W$2,indexy_SDcast!$2:$2,0)),"#ekrk")),"#popis")</f>
        <v>-9697.166790006122</v>
      </c>
      <c r="X1374" s="365">
        <f>IF($Q1374="ekrk",IF($R1374="data",IFERROR(INDEX(data!$A:$ALL,MATCH($M1374,data!$A:$A,0),MATCH(X$2,data!$1:$1,0)),"#data"),IFERROR(W1374*INDEX(indexy_SDcast!$A:$ALI,MATCH($R1374,indexy_SDcast!$K:$K,0),MATCH(X$2,indexy_SDcast!$2:$2,0)),"#ekrk")),"#popis")</f>
        <v>-10186.228676284985</v>
      </c>
      <c r="Y1374" s="362">
        <f>IF($Q1374="ekrk",IF($R1374="data",IFERROR(INDEX(data!$A:$ALL,MATCH($M1374,data!$A:$A,0),MATCH(Y$2,data!$1:$1,0)),"#data"),IFERROR(X1374*INDEX(indexy_SDcast!$A:$ALI,MATCH($R1374,indexy_SDcast!$K:$K,0),MATCH(Y$2,indexy_SDcast!$2:$2,0)),"#ekrk")),"#popis")</f>
        <v>-10747.282279912395</v>
      </c>
    </row>
    <row r="1375" spans="1:44" x14ac:dyDescent="0.25">
      <c r="A1375" s="330">
        <v>711002</v>
      </c>
      <c r="B1375" s="329">
        <v>-53.609809999999996</v>
      </c>
      <c r="C1375" s="157"/>
      <c r="D1375" s="330">
        <v>711002</v>
      </c>
      <c r="E1375" s="329">
        <v>-53.609809999999996</v>
      </c>
      <c r="F1375" s="157"/>
      <c r="G1375" s="330">
        <v>711002</v>
      </c>
      <c r="H1375" s="329">
        <v>-53.609809999999996</v>
      </c>
      <c r="I1375" s="157"/>
      <c r="J1375" s="330">
        <v>711002</v>
      </c>
      <c r="K1375" s="329">
        <v>-53.609809999999996</v>
      </c>
      <c r="L1375" s="157"/>
      <c r="M1375" s="360">
        <f t="shared" si="146"/>
        <v>711002</v>
      </c>
      <c r="N1375" s="237">
        <f t="shared" si="147"/>
        <v>-53.609809999999996</v>
      </c>
      <c r="O1375" s="361"/>
      <c r="P1375" s="361"/>
      <c r="Q1375" s="361" t="s">
        <v>698</v>
      </c>
      <c r="R1375" s="362">
        <f>IF(Q1375="ekrk",INDEX(indexy_SDcast!$A:$C,MATCH($M1375,indexy_SDcast!$A:$A,0),2),"")</f>
        <v>37</v>
      </c>
      <c r="S1375" s="236"/>
      <c r="T1375" s="364">
        <f t="shared" si="151"/>
        <v>711002</v>
      </c>
      <c r="U1375" s="365">
        <f>N1375</f>
        <v>-53.609809999999996</v>
      </c>
      <c r="V1375" s="365">
        <f>IF($Q1375="ekrk",IF($R1375="data",IFERROR(INDEX(data!$A:$ALL,MATCH($M1375,data!$A:$A,0),MATCH(V$2,data!$1:$1,0)),"#data"),IFERROR(U1375*INDEX(indexy_SDcast!$A:$ALI,MATCH($R1375,indexy_SDcast!$K:$K,0),MATCH(V$2,indexy_SDcast!$2:$2,0)),"#ekrk")),"#popis")</f>
        <v>-55.350322468062352</v>
      </c>
      <c r="W1375" s="365">
        <f>IF($Q1375="ekrk",IF($R1375="data",IFERROR(INDEX(data!$A:$ALL,MATCH($M1375,data!$A:$A,0),MATCH(W$2,data!$1:$1,0)),"#data"),IFERROR(V1375*INDEX(indexy_SDcast!$A:$ALI,MATCH($R1375,indexy_SDcast!$K:$K,0),MATCH(W$2,indexy_SDcast!$2:$2,0)),"#ekrk")),"#popis")</f>
        <v>-57.798341763098826</v>
      </c>
      <c r="X1375" s="365">
        <f>IF($Q1375="ekrk",IF($R1375="data",IFERROR(INDEX(data!$A:$ALL,MATCH($M1375,data!$A:$A,0),MATCH(X$2,data!$1:$1,0)),"#data"),IFERROR(W1375*INDEX(indexy_SDcast!$A:$ALI,MATCH($R1375,indexy_SDcast!$K:$K,0),MATCH(X$2,indexy_SDcast!$2:$2,0)),"#ekrk")),"#popis")</f>
        <v>-60.713313389201346</v>
      </c>
      <c r="Y1375" s="362">
        <f>IF($Q1375="ekrk",IF($R1375="data",IFERROR(INDEX(data!$A:$ALL,MATCH($M1375,data!$A:$A,0),MATCH(Y$2,data!$1:$1,0)),"#data"),IFERROR(X1375*INDEX(indexy_SDcast!$A:$ALI,MATCH($R1375,indexy_SDcast!$K:$K,0),MATCH(Y$2,indexy_SDcast!$2:$2,0)),"#ekrk")),"#popis")</f>
        <v>-64.057379613090092</v>
      </c>
    </row>
    <row r="1376" spans="1:44" s="18" customFormat="1" x14ac:dyDescent="0.25">
      <c r="A1376" s="333" t="s">
        <v>746</v>
      </c>
      <c r="B1376" s="334">
        <v>70168.992579999976</v>
      </c>
      <c r="C1376" s="164"/>
      <c r="D1376" s="333" t="s">
        <v>746</v>
      </c>
      <c r="E1376" s="334">
        <v>70168.992579999976</v>
      </c>
      <c r="F1376" s="164"/>
      <c r="G1376" s="333" t="s">
        <v>746</v>
      </c>
      <c r="H1376" s="334">
        <v>70168.992579999976</v>
      </c>
      <c r="I1376" s="164"/>
      <c r="J1376" s="333" t="s">
        <v>746</v>
      </c>
      <c r="K1376" s="334">
        <v>70168.992579999976</v>
      </c>
      <c r="L1376" s="164"/>
      <c r="M1376" s="358" t="str">
        <f t="shared" si="146"/>
        <v>K21D</v>
      </c>
      <c r="N1376" s="239">
        <f t="shared" si="147"/>
        <v>70168.992579999976</v>
      </c>
      <c r="O1376" s="243"/>
      <c r="P1376" s="243">
        <f>MATCH(Q1376,Q1377:Q$1550,0)</f>
        <v>3</v>
      </c>
      <c r="Q1376" s="243" t="s">
        <v>697</v>
      </c>
      <c r="R1376" s="359" t="str">
        <f>IF(Q1376="ekrk",INDEX(indexy_SDcast!$A:$C,MATCH($M1376,indexy_SDcast!$A:$A,0),2),"")</f>
        <v/>
      </c>
      <c r="S1376" s="240"/>
      <c r="T1376" s="363" t="str">
        <f t="shared" si="151"/>
        <v>K21D</v>
      </c>
      <c r="U1376" s="244">
        <f>SUM(U1377:U1378)</f>
        <v>70168.992579999976</v>
      </c>
      <c r="V1376" s="244">
        <f>SUM(V1377:V1378)</f>
        <v>70168.992579999976</v>
      </c>
      <c r="W1376" s="244">
        <f>SUM(W1377:W1378)</f>
        <v>70168.992579999976</v>
      </c>
      <c r="X1376" s="244">
        <f>SUM(X1377:X1378)</f>
        <v>70168.992579999976</v>
      </c>
      <c r="Y1376" s="359">
        <f>SUM(Y1377:Y1378)</f>
        <v>70168.992579999976</v>
      </c>
      <c r="Z1376" s="58"/>
      <c r="AA1376" s="58"/>
      <c r="AB1376" s="58"/>
      <c r="AC1376" s="58"/>
      <c r="AD1376" s="58"/>
      <c r="AE1376" s="58"/>
      <c r="AF1376" s="58"/>
      <c r="AG1376" s="58"/>
      <c r="AH1376" s="58"/>
      <c r="AI1376" s="58"/>
      <c r="AJ1376" s="58"/>
      <c r="AK1376" s="58"/>
      <c r="AL1376" s="58"/>
      <c r="AM1376" s="58"/>
      <c r="AN1376" s="58"/>
      <c r="AO1376" s="58"/>
      <c r="AP1376" s="58"/>
      <c r="AQ1376" s="58"/>
      <c r="AR1376" s="58"/>
    </row>
    <row r="1377" spans="1:44" x14ac:dyDescent="0.25">
      <c r="A1377" s="330">
        <v>233000</v>
      </c>
      <c r="B1377" s="329">
        <v>-9.9999999960687092E-6</v>
      </c>
      <c r="C1377" s="157"/>
      <c r="D1377" s="330">
        <v>233000</v>
      </c>
      <c r="E1377" s="329">
        <v>-9.9999999960687092E-6</v>
      </c>
      <c r="F1377" s="157"/>
      <c r="G1377" s="330">
        <v>233000</v>
      </c>
      <c r="H1377" s="329">
        <v>-9.9999999960687092E-6</v>
      </c>
      <c r="I1377" s="157"/>
      <c r="J1377" s="330">
        <v>233000</v>
      </c>
      <c r="K1377" s="329">
        <v>-9.9999999960687092E-6</v>
      </c>
      <c r="L1377" s="157"/>
      <c r="M1377" s="360">
        <f t="shared" si="146"/>
        <v>233000</v>
      </c>
      <c r="N1377" s="237">
        <f t="shared" si="147"/>
        <v>-9.9999999960687092E-6</v>
      </c>
      <c r="O1377" s="361"/>
      <c r="P1377" s="361"/>
      <c r="Q1377" s="361" t="s">
        <v>698</v>
      </c>
      <c r="R1377" s="362">
        <f>IF(Q1377="ekrk",INDEX(indexy_SDcast!$A:$C,MATCH($M1377,indexy_SDcast!$A:$A,0),2),"")</f>
        <v>9</v>
      </c>
      <c r="S1377" s="236"/>
      <c r="T1377" s="364">
        <f t="shared" si="151"/>
        <v>233000</v>
      </c>
      <c r="U1377" s="365">
        <f>N1377</f>
        <v>-9.9999999960687092E-6</v>
      </c>
      <c r="V1377" s="365">
        <f>IF($Q1377="ekrk",IF($R1377="data",IFERROR(INDEX(data!$A:$ALL,MATCH($M1377,data!$A:$A,0),MATCH(V$2,data!$1:$1,0)),"#data"),IFERROR(U1377*INDEX(indexy_SDcast!$A:$ALI,MATCH($R1377,indexy_SDcast!$K:$K,0),MATCH(V$2,indexy_SDcast!$2:$2,0)),"#ekrk")),"#popis")</f>
        <v>-9.9999999960687092E-6</v>
      </c>
      <c r="W1377" s="365">
        <f>IF($Q1377="ekrk",IF($R1377="data",IFERROR(INDEX(data!$A:$ALL,MATCH($M1377,data!$A:$A,0),MATCH(W$2,data!$1:$1,0)),"#data"),IFERROR(V1377*INDEX(indexy_SDcast!$A:$ALI,MATCH($R1377,indexy_SDcast!$K:$K,0),MATCH(W$2,indexy_SDcast!$2:$2,0)),"#ekrk")),"#popis")</f>
        <v>-9.9999999960687092E-6</v>
      </c>
      <c r="X1377" s="365">
        <f>IF($Q1377="ekrk",IF($R1377="data",IFERROR(INDEX(data!$A:$ALL,MATCH($M1377,data!$A:$A,0),MATCH(X$2,data!$1:$1,0)),"#data"),IFERROR(W1377*INDEX(indexy_SDcast!$A:$ALI,MATCH($R1377,indexy_SDcast!$K:$K,0),MATCH(X$2,indexy_SDcast!$2:$2,0)),"#ekrk")),"#popis")</f>
        <v>-9.9999999960687092E-6</v>
      </c>
      <c r="Y1377" s="362">
        <f>IF($Q1377="ekrk",IF($R1377="data",IFERROR(INDEX(data!$A:$ALL,MATCH($M1377,data!$A:$A,0),MATCH(Y$2,data!$1:$1,0)),"#data"),IFERROR(X1377*INDEX(indexy_SDcast!$A:$ALI,MATCH($R1377,indexy_SDcast!$K:$K,0),MATCH(Y$2,indexy_SDcast!$2:$2,0)),"#ekrk")),"#popis")</f>
        <v>-9.9999999960687092E-6</v>
      </c>
    </row>
    <row r="1378" spans="1:44" x14ac:dyDescent="0.25">
      <c r="A1378" s="330">
        <v>233001</v>
      </c>
      <c r="B1378" s="329">
        <v>70168.99258999998</v>
      </c>
      <c r="C1378" s="157"/>
      <c r="D1378" s="330">
        <v>233001</v>
      </c>
      <c r="E1378" s="329">
        <v>70168.99258999998</v>
      </c>
      <c r="F1378" s="157"/>
      <c r="G1378" s="330">
        <v>233001</v>
      </c>
      <c r="H1378" s="329">
        <v>70168.99258999998</v>
      </c>
      <c r="I1378" s="157"/>
      <c r="J1378" s="330">
        <v>233001</v>
      </c>
      <c r="K1378" s="329">
        <v>70168.99258999998</v>
      </c>
      <c r="L1378" s="157"/>
      <c r="M1378" s="360">
        <f t="shared" si="146"/>
        <v>233001</v>
      </c>
      <c r="N1378" s="237">
        <f t="shared" si="147"/>
        <v>70168.99258999998</v>
      </c>
      <c r="O1378" s="361"/>
      <c r="P1378" s="361"/>
      <c r="Q1378" s="361" t="s">
        <v>698</v>
      </c>
      <c r="R1378" s="362">
        <f>IF(Q1378="ekrk",INDEX(indexy_SDcast!$A:$C,MATCH($M1378,indexy_SDcast!$A:$A,0),2),"")</f>
        <v>9</v>
      </c>
      <c r="S1378" s="236"/>
      <c r="T1378" s="364">
        <f t="shared" si="151"/>
        <v>233001</v>
      </c>
      <c r="U1378" s="365">
        <f>N1378</f>
        <v>70168.99258999998</v>
      </c>
      <c r="V1378" s="365">
        <f>IF($Q1378="ekrk",IF($R1378="data",IFERROR(INDEX(data!$A:$ALL,MATCH($M1378,data!$A:$A,0),MATCH(V$2,data!$1:$1,0)),"#data"),IFERROR(U1378*INDEX(indexy_SDcast!$A:$ALI,MATCH($R1378,indexy_SDcast!$K:$K,0),MATCH(V$2,indexy_SDcast!$2:$2,0)),"#ekrk")),"#popis")</f>
        <v>70168.99258999998</v>
      </c>
      <c r="W1378" s="365">
        <f>IF($Q1378="ekrk",IF($R1378="data",IFERROR(INDEX(data!$A:$ALL,MATCH($M1378,data!$A:$A,0),MATCH(W$2,data!$1:$1,0)),"#data"),IFERROR(V1378*INDEX(indexy_SDcast!$A:$ALI,MATCH($R1378,indexy_SDcast!$K:$K,0),MATCH(W$2,indexy_SDcast!$2:$2,0)),"#ekrk")),"#popis")</f>
        <v>70168.99258999998</v>
      </c>
      <c r="X1378" s="365">
        <f>IF($Q1378="ekrk",IF($R1378="data",IFERROR(INDEX(data!$A:$ALL,MATCH($M1378,data!$A:$A,0),MATCH(X$2,data!$1:$1,0)),"#data"),IFERROR(W1378*INDEX(indexy_SDcast!$A:$ALI,MATCH($R1378,indexy_SDcast!$K:$K,0),MATCH(X$2,indexy_SDcast!$2:$2,0)),"#ekrk")),"#popis")</f>
        <v>70168.99258999998</v>
      </c>
      <c r="Y1378" s="362">
        <f>IF($Q1378="ekrk",IF($R1378="data",IFERROR(INDEX(data!$A:$ALL,MATCH($M1378,data!$A:$A,0),MATCH(Y$2,data!$1:$1,0)),"#data"),IFERROR(X1378*INDEX(indexy_SDcast!$A:$ALI,MATCH($R1378,indexy_SDcast!$K:$K,0),MATCH(Y$2,indexy_SDcast!$2:$2,0)),"#ekrk")),"#popis")</f>
        <v>70168.99258999998</v>
      </c>
    </row>
    <row r="1379" spans="1:44" s="18" customFormat="1" x14ac:dyDescent="0.25">
      <c r="A1379" s="333" t="s">
        <v>747</v>
      </c>
      <c r="B1379" s="334">
        <v>-3126.8090300000008</v>
      </c>
      <c r="C1379" s="164"/>
      <c r="D1379" s="333" t="s">
        <v>747</v>
      </c>
      <c r="E1379" s="334">
        <v>-3126.8090300000008</v>
      </c>
      <c r="F1379" s="164"/>
      <c r="G1379" s="333" t="s">
        <v>747</v>
      </c>
      <c r="H1379" s="334">
        <v>-3126.8090300000008</v>
      </c>
      <c r="I1379" s="164"/>
      <c r="J1379" s="333" t="s">
        <v>747</v>
      </c>
      <c r="K1379" s="334">
        <v>-3126.8090300000008</v>
      </c>
      <c r="L1379" s="164"/>
      <c r="M1379" s="358" t="str">
        <f t="shared" si="146"/>
        <v>K22A</v>
      </c>
      <c r="N1379" s="239">
        <f t="shared" si="147"/>
        <v>-3126.8090300000008</v>
      </c>
      <c r="O1379" s="243"/>
      <c r="P1379" s="243">
        <f>MATCH(Q1379,Q1380:Q$1550,0)</f>
        <v>2</v>
      </c>
      <c r="Q1379" s="243" t="s">
        <v>697</v>
      </c>
      <c r="R1379" s="359" t="str">
        <f>IF(Q1379="ekrk",INDEX(indexy_SDcast!$A:$C,MATCH($M1379,indexy_SDcast!$A:$A,0),2),"")</f>
        <v/>
      </c>
      <c r="S1379" s="240"/>
      <c r="T1379" s="363" t="str">
        <f t="shared" si="151"/>
        <v>K22A</v>
      </c>
      <c r="U1379" s="244">
        <f>SUM(U1380:U1380)</f>
        <v>-3126.8090300000008</v>
      </c>
      <c r="V1379" s="244">
        <f>SUM(V1380:V1380)</f>
        <v>-3228.3249671384642</v>
      </c>
      <c r="W1379" s="244">
        <f>SUM(W1380:W1380)</f>
        <v>-3371.1064624904207</v>
      </c>
      <c r="X1379" s="244">
        <f>SUM(X1380:X1380)</f>
        <v>-3541.1230994210709</v>
      </c>
      <c r="Y1379" s="359">
        <f>SUM(Y1380:Y1380)</f>
        <v>-3736.1668137295783</v>
      </c>
      <c r="Z1379" s="58"/>
      <c r="AA1379" s="58"/>
      <c r="AB1379" s="58"/>
      <c r="AC1379" s="58"/>
      <c r="AD1379" s="58"/>
      <c r="AE1379" s="58"/>
      <c r="AF1379" s="58"/>
      <c r="AG1379" s="58"/>
      <c r="AH1379" s="58"/>
      <c r="AI1379" s="58"/>
      <c r="AJ1379" s="58"/>
      <c r="AK1379" s="58"/>
      <c r="AL1379" s="58"/>
      <c r="AM1379" s="58"/>
      <c r="AN1379" s="58"/>
      <c r="AO1379" s="58"/>
      <c r="AP1379" s="58"/>
      <c r="AQ1379" s="58"/>
      <c r="AR1379" s="58"/>
    </row>
    <row r="1380" spans="1:44" x14ac:dyDescent="0.25">
      <c r="A1380" s="330">
        <v>711004</v>
      </c>
      <c r="B1380" s="329">
        <v>-3126.8090300000008</v>
      </c>
      <c r="C1380" s="157"/>
      <c r="D1380" s="330">
        <v>711004</v>
      </c>
      <c r="E1380" s="329">
        <v>-3126.8090300000008</v>
      </c>
      <c r="F1380" s="157"/>
      <c r="G1380" s="330">
        <v>711004</v>
      </c>
      <c r="H1380" s="329">
        <v>-3126.8090300000008</v>
      </c>
      <c r="I1380" s="157"/>
      <c r="J1380" s="330">
        <v>711004</v>
      </c>
      <c r="K1380" s="329">
        <v>-3126.8090300000008</v>
      </c>
      <c r="L1380" s="157"/>
      <c r="M1380" s="360">
        <f t="shared" si="146"/>
        <v>711004</v>
      </c>
      <c r="N1380" s="237">
        <f t="shared" si="147"/>
        <v>-3126.8090300000008</v>
      </c>
      <c r="O1380" s="361"/>
      <c r="P1380" s="361"/>
      <c r="Q1380" s="361" t="s">
        <v>698</v>
      </c>
      <c r="R1380" s="362">
        <f>IF(Q1380="ekrk",INDEX(indexy_SDcast!$A:$C,MATCH($M1380,indexy_SDcast!$A:$A,0),2),"")</f>
        <v>37</v>
      </c>
      <c r="S1380" s="236"/>
      <c r="T1380" s="364">
        <f t="shared" si="151"/>
        <v>711004</v>
      </c>
      <c r="U1380" s="365">
        <f>N1380</f>
        <v>-3126.8090300000008</v>
      </c>
      <c r="V1380" s="365">
        <f>IF($Q1380="ekrk",IF($R1380="data",IFERROR(INDEX(data!$A:$ALL,MATCH($M1380,data!$A:$A,0),MATCH(V$2,data!$1:$1,0)),"#data"),IFERROR(U1380*INDEX(indexy_SDcast!$A:$ALI,MATCH($R1380,indexy_SDcast!$K:$K,0),MATCH(V$2,indexy_SDcast!$2:$2,0)),"#ekrk")),"#popis")</f>
        <v>-3228.3249671384642</v>
      </c>
      <c r="W1380" s="365">
        <f>IF($Q1380="ekrk",IF($R1380="data",IFERROR(INDEX(data!$A:$ALL,MATCH($M1380,data!$A:$A,0),MATCH(W$2,data!$1:$1,0)),"#data"),IFERROR(V1380*INDEX(indexy_SDcast!$A:$ALI,MATCH($R1380,indexy_SDcast!$K:$K,0),MATCH(W$2,indexy_SDcast!$2:$2,0)),"#ekrk")),"#popis")</f>
        <v>-3371.1064624904207</v>
      </c>
      <c r="X1380" s="365">
        <f>IF($Q1380="ekrk",IF($R1380="data",IFERROR(INDEX(data!$A:$ALL,MATCH($M1380,data!$A:$A,0),MATCH(X$2,data!$1:$1,0)),"#data"),IFERROR(W1380*INDEX(indexy_SDcast!$A:$ALI,MATCH($R1380,indexy_SDcast!$K:$K,0),MATCH(X$2,indexy_SDcast!$2:$2,0)),"#ekrk")),"#popis")</f>
        <v>-3541.1230994210709</v>
      </c>
      <c r="Y1380" s="362">
        <f>IF($Q1380="ekrk",IF($R1380="data",IFERROR(INDEX(data!$A:$ALL,MATCH($M1380,data!$A:$A,0),MATCH(Y$2,data!$1:$1,0)),"#data"),IFERROR(X1380*INDEX(indexy_SDcast!$A:$ALI,MATCH($R1380,indexy_SDcast!$K:$K,0),MATCH(Y$2,indexy_SDcast!$2:$2,0)),"#ekrk")),"#popis")</f>
        <v>-3736.1668137295783</v>
      </c>
    </row>
    <row r="1381" spans="1:44" s="18" customFormat="1" x14ac:dyDescent="0.25">
      <c r="A1381" s="333" t="s">
        <v>748</v>
      </c>
      <c r="B1381" s="334">
        <v>182.83251000000001</v>
      </c>
      <c r="C1381" s="164"/>
      <c r="D1381" s="333" t="s">
        <v>748</v>
      </c>
      <c r="E1381" s="334">
        <v>182.83251000000001</v>
      </c>
      <c r="F1381" s="164"/>
      <c r="G1381" s="333" t="s">
        <v>748</v>
      </c>
      <c r="H1381" s="334">
        <v>182.83251000000001</v>
      </c>
      <c r="I1381" s="164"/>
      <c r="J1381" s="333" t="s">
        <v>748</v>
      </c>
      <c r="K1381" s="334">
        <v>182.83251000000001</v>
      </c>
      <c r="L1381" s="164"/>
      <c r="M1381" s="358" t="str">
        <f t="shared" si="146"/>
        <v>K22D</v>
      </c>
      <c r="N1381" s="239">
        <f t="shared" si="147"/>
        <v>182.83251000000001</v>
      </c>
      <c r="O1381" s="243"/>
      <c r="P1381" s="243">
        <f>MATCH(Q1381,Q1382:Q$1550,0)</f>
        <v>2</v>
      </c>
      <c r="Q1381" s="243" t="s">
        <v>697</v>
      </c>
      <c r="R1381" s="359" t="str">
        <f>IF(Q1381="ekrk",INDEX(indexy_SDcast!$A:$C,MATCH($M1381,indexy_SDcast!$A:$A,0),2),"")</f>
        <v/>
      </c>
      <c r="S1381" s="240"/>
      <c r="T1381" s="363" t="str">
        <f t="shared" si="151"/>
        <v>K22D</v>
      </c>
      <c r="U1381" s="244">
        <f>SUM(U1382:U1382)</f>
        <v>182.83251000000001</v>
      </c>
      <c r="V1381" s="244">
        <f>SUM(V1382:V1382)</f>
        <v>182.83251000000001</v>
      </c>
      <c r="W1381" s="244">
        <f>SUM(W1382:W1382)</f>
        <v>182.83251000000001</v>
      </c>
      <c r="X1381" s="244">
        <f>SUM(X1382:X1382)</f>
        <v>182.83251000000001</v>
      </c>
      <c r="Y1381" s="359">
        <f>SUM(Y1382:Y1382)</f>
        <v>182.83251000000001</v>
      </c>
      <c r="Z1381" s="58"/>
      <c r="AA1381" s="58"/>
      <c r="AB1381" s="58"/>
      <c r="AC1381" s="58"/>
      <c r="AD1381" s="58"/>
      <c r="AE1381" s="58"/>
      <c r="AF1381" s="58"/>
      <c r="AG1381" s="58"/>
      <c r="AH1381" s="58"/>
      <c r="AI1381" s="58"/>
      <c r="AJ1381" s="58"/>
      <c r="AK1381" s="58"/>
      <c r="AL1381" s="58"/>
      <c r="AM1381" s="58"/>
      <c r="AN1381" s="58"/>
      <c r="AO1381" s="58"/>
      <c r="AP1381" s="58"/>
      <c r="AQ1381" s="58"/>
      <c r="AR1381" s="58"/>
    </row>
    <row r="1382" spans="1:44" x14ac:dyDescent="0.25">
      <c r="A1382" s="330">
        <v>233002</v>
      </c>
      <c r="B1382" s="329">
        <v>182.83251000000001</v>
      </c>
      <c r="C1382" s="157"/>
      <c r="D1382" s="330">
        <v>233002</v>
      </c>
      <c r="E1382" s="329">
        <v>182.83251000000001</v>
      </c>
      <c r="F1382" s="157"/>
      <c r="G1382" s="330">
        <v>233002</v>
      </c>
      <c r="H1382" s="329">
        <v>182.83251000000001</v>
      </c>
      <c r="I1382" s="157"/>
      <c r="J1382" s="330">
        <v>233002</v>
      </c>
      <c r="K1382" s="329">
        <v>182.83251000000001</v>
      </c>
      <c r="L1382" s="157"/>
      <c r="M1382" s="360">
        <f t="shared" si="146"/>
        <v>233002</v>
      </c>
      <c r="N1382" s="237">
        <f t="shared" si="147"/>
        <v>182.83251000000001</v>
      </c>
      <c r="O1382" s="361"/>
      <c r="P1382" s="361"/>
      <c r="Q1382" s="361" t="s">
        <v>698</v>
      </c>
      <c r="R1382" s="362">
        <f>IF(Q1382="ekrk",INDEX(indexy_SDcast!$A:$C,MATCH($M1382,indexy_SDcast!$A:$A,0),2),"")</f>
        <v>9</v>
      </c>
      <c r="S1382" s="236"/>
      <c r="T1382" s="364">
        <f t="shared" si="151"/>
        <v>233002</v>
      </c>
      <c r="U1382" s="365">
        <f>N1382</f>
        <v>182.83251000000001</v>
      </c>
      <c r="V1382" s="365">
        <f>IF($Q1382="ekrk",IF($R1382="data",IFERROR(INDEX(data!$A:$ALL,MATCH($M1382,data!$A:$A,0),MATCH(V$2,data!$1:$1,0)),"#data"),IFERROR(U1382*INDEX(indexy_SDcast!$A:$ALI,MATCH($R1382,indexy_SDcast!$K:$K,0),MATCH(V$2,indexy_SDcast!$2:$2,0)),"#ekrk")),"#popis")</f>
        <v>182.83251000000001</v>
      </c>
      <c r="W1382" s="365">
        <f>IF($Q1382="ekrk",IF($R1382="data",IFERROR(INDEX(data!$A:$ALL,MATCH($M1382,data!$A:$A,0),MATCH(W$2,data!$1:$1,0)),"#data"),IFERROR(V1382*INDEX(indexy_SDcast!$A:$ALI,MATCH($R1382,indexy_SDcast!$K:$K,0),MATCH(W$2,indexy_SDcast!$2:$2,0)),"#ekrk")),"#popis")</f>
        <v>182.83251000000001</v>
      </c>
      <c r="X1382" s="365">
        <f>IF($Q1382="ekrk",IF($R1382="data",IFERROR(INDEX(data!$A:$ALL,MATCH($M1382,data!$A:$A,0),MATCH(X$2,data!$1:$1,0)),"#data"),IFERROR(W1382*INDEX(indexy_SDcast!$A:$ALI,MATCH($R1382,indexy_SDcast!$K:$K,0),MATCH(X$2,indexy_SDcast!$2:$2,0)),"#ekrk")),"#popis")</f>
        <v>182.83251000000001</v>
      </c>
      <c r="Y1382" s="362">
        <f>IF($Q1382="ekrk",IF($R1382="data",IFERROR(INDEX(data!$A:$ALL,MATCH($M1382,data!$A:$A,0),MATCH(Y$2,data!$1:$1,0)),"#data"),IFERROR(X1382*INDEX(indexy_SDcast!$A:$ALI,MATCH($R1382,indexy_SDcast!$K:$K,0),MATCH(Y$2,indexy_SDcast!$2:$2,0)),"#ekrk")),"#popis")</f>
        <v>182.83251000000001</v>
      </c>
    </row>
    <row r="1383" spans="1:44" s="18" customFormat="1" x14ac:dyDescent="0.25">
      <c r="A1383" s="333" t="s">
        <v>749</v>
      </c>
      <c r="B1383" s="334">
        <v>1317326.1238600002</v>
      </c>
      <c r="C1383" s="164"/>
      <c r="D1383" s="333" t="s">
        <v>749</v>
      </c>
      <c r="E1383" s="334">
        <v>1317326.1238600002</v>
      </c>
      <c r="F1383" s="164"/>
      <c r="G1383" s="333" t="s">
        <v>749</v>
      </c>
      <c r="H1383" s="334">
        <v>1317326.1238600002</v>
      </c>
      <c r="I1383" s="164"/>
      <c r="J1383" s="333" t="s">
        <v>749</v>
      </c>
      <c r="K1383" s="334">
        <v>1317326.1238600002</v>
      </c>
      <c r="L1383" s="164"/>
      <c r="M1383" s="358" t="str">
        <f t="shared" si="146"/>
        <v>P11</v>
      </c>
      <c r="N1383" s="239">
        <f t="shared" si="147"/>
        <v>1317326.1238600002</v>
      </c>
      <c r="O1383" s="243"/>
      <c r="P1383" s="243">
        <f>MATCH(Q1383,Q1384:Q$1550,0)</f>
        <v>15</v>
      </c>
      <c r="Q1383" s="243" t="s">
        <v>697</v>
      </c>
      <c r="R1383" s="359" t="str">
        <f>IF(Q1383="ekrk",INDEX(indexy_SDcast!$A:$C,MATCH($M1383,indexy_SDcast!$A:$A,0),2),"")</f>
        <v/>
      </c>
      <c r="S1383" s="240"/>
      <c r="T1383" s="363" t="str">
        <f t="shared" si="151"/>
        <v>P11</v>
      </c>
      <c r="U1383" s="244">
        <f>SUM(U1384:U1397)</f>
        <v>1317326.1238600002</v>
      </c>
      <c r="V1383" s="244">
        <f>SUM(V1384:V1397)</f>
        <v>1318184.6685898197</v>
      </c>
      <c r="W1383" s="244">
        <f>SUM(W1384:W1397)</f>
        <v>1323663.4974403994</v>
      </c>
      <c r="X1383" s="244">
        <f>SUM(X1384:X1397)</f>
        <v>1323675.5352622713</v>
      </c>
      <c r="Y1383" s="359">
        <f>SUM(Y1384:Y1397)</f>
        <v>1330046.0990259603</v>
      </c>
      <c r="Z1383" s="58"/>
      <c r="AA1383" s="58"/>
      <c r="AB1383" s="58"/>
      <c r="AC1383" s="58"/>
      <c r="AD1383" s="58"/>
      <c r="AE1383" s="58"/>
      <c r="AF1383" s="58"/>
      <c r="AG1383" s="58"/>
      <c r="AH1383" s="58"/>
      <c r="AI1383" s="58"/>
      <c r="AJ1383" s="58"/>
      <c r="AK1383" s="58"/>
      <c r="AL1383" s="58"/>
      <c r="AM1383" s="58"/>
      <c r="AN1383" s="58"/>
      <c r="AO1383" s="58"/>
      <c r="AP1383" s="58"/>
      <c r="AQ1383" s="58"/>
      <c r="AR1383" s="58"/>
    </row>
    <row r="1384" spans="1:44" x14ac:dyDescent="0.25">
      <c r="A1384" s="330">
        <v>133013</v>
      </c>
      <c r="B1384" s="329">
        <v>147666.18615999998</v>
      </c>
      <c r="C1384" s="157"/>
      <c r="D1384" s="330">
        <v>133013</v>
      </c>
      <c r="E1384" s="329">
        <v>147666.18615999998</v>
      </c>
      <c r="F1384" s="157"/>
      <c r="G1384" s="330">
        <v>133013</v>
      </c>
      <c r="H1384" s="329">
        <v>147666.18615999998</v>
      </c>
      <c r="I1384" s="157"/>
      <c r="J1384" s="330">
        <v>133013</v>
      </c>
      <c r="K1384" s="329">
        <v>147666.18615999998</v>
      </c>
      <c r="L1384" s="157"/>
      <c r="M1384" s="360">
        <f t="shared" si="146"/>
        <v>133013</v>
      </c>
      <c r="N1384" s="237">
        <f t="shared" si="147"/>
        <v>147666.18615999998</v>
      </c>
      <c r="O1384" s="361"/>
      <c r="P1384" s="361"/>
      <c r="Q1384" s="361" t="s">
        <v>698</v>
      </c>
      <c r="R1384" s="362">
        <f>IF(Q1384="ekrk",INDEX(indexy_SDcast!$A:$C,MATCH($M1384,indexy_SDcast!$A:$A,0),2),"")</f>
        <v>23</v>
      </c>
      <c r="S1384" s="236"/>
      <c r="T1384" s="364">
        <f t="shared" si="151"/>
        <v>133013</v>
      </c>
      <c r="U1384" s="365">
        <f t="shared" ref="U1384:U1395" si="152">N1384</f>
        <v>147666.18615999998</v>
      </c>
      <c r="V1384" s="365">
        <f>IF($Q1384="ekrk",IF($R1384="data",IFERROR(INDEX(data!$A:$ALL,MATCH($M1384,data!$A:$A,0),MATCH(V$2,data!$1:$1,0)),"#data"),IFERROR(U1384*INDEX(indexy_SDcast!$A:$ALI,MATCH($R1384,indexy_SDcast!$K:$K,0),MATCH(V$2,indexy_SDcast!$2:$2,0)),"#ekrk")),"#popis")</f>
        <v>149188.45778140312</v>
      </c>
      <c r="W1384" s="365">
        <f>IF($Q1384="ekrk",IF($R1384="data",IFERROR(INDEX(data!$A:$ALL,MATCH($M1384,data!$A:$A,0),MATCH(W$2,data!$1:$1,0)),"#data"),IFERROR(V1384*INDEX(indexy_SDcast!$A:$ALI,MATCH($R1384,indexy_SDcast!$K:$K,0),MATCH(W$2,indexy_SDcast!$2:$2,0)),"#ekrk")),"#popis")</f>
        <v>152691.18358140709</v>
      </c>
      <c r="X1384" s="365">
        <f>IF($Q1384="ekrk",IF($R1384="data",IFERROR(INDEX(data!$A:$ALL,MATCH($M1384,data!$A:$A,0),MATCH(X$2,data!$1:$1,0)),"#data"),IFERROR(W1384*INDEX(indexy_SDcast!$A:$ALI,MATCH($R1384,indexy_SDcast!$K:$K,0),MATCH(X$2,indexy_SDcast!$2:$2,0)),"#ekrk")),"#popis")</f>
        <v>156571.9183693018</v>
      </c>
      <c r="Y1384" s="362">
        <f>IF($Q1384="ekrk",IF($R1384="data",IFERROR(INDEX(data!$A:$ALL,MATCH($M1384,data!$A:$A,0),MATCH(Y$2,data!$1:$1,0)),"#data"),IFERROR(X1384*INDEX(indexy_SDcast!$A:$ALI,MATCH($R1384,indexy_SDcast!$K:$K,0),MATCH(Y$2,indexy_SDcast!$2:$2,0)),"#ekrk")),"#popis")</f>
        <v>160664.88449127396</v>
      </c>
    </row>
    <row r="1385" spans="1:44" x14ac:dyDescent="0.25">
      <c r="A1385" s="330">
        <v>143000</v>
      </c>
      <c r="B1385" s="329">
        <v>27461.202269999998</v>
      </c>
      <c r="C1385" s="157"/>
      <c r="D1385" s="330">
        <v>143000</v>
      </c>
      <c r="E1385" s="329">
        <v>27461.202269999998</v>
      </c>
      <c r="F1385" s="157"/>
      <c r="G1385" s="330">
        <v>143000</v>
      </c>
      <c r="H1385" s="329">
        <v>27461.202269999998</v>
      </c>
      <c r="I1385" s="157"/>
      <c r="J1385" s="330">
        <v>143000</v>
      </c>
      <c r="K1385" s="329">
        <v>27461.202269999998</v>
      </c>
      <c r="L1385" s="157"/>
      <c r="M1385" s="360">
        <f t="shared" si="146"/>
        <v>143000</v>
      </c>
      <c r="N1385" s="237">
        <f t="shared" si="147"/>
        <v>27461.202269999998</v>
      </c>
      <c r="O1385" s="361"/>
      <c r="P1385" s="361"/>
      <c r="Q1385" s="361" t="s">
        <v>698</v>
      </c>
      <c r="R1385" s="362" t="str">
        <f>IF(Q1385="ekrk",INDEX(indexy_SDcast!$A:$C,MATCH($M1385,indexy_SDcast!$A:$A,0),2),"")</f>
        <v>data</v>
      </c>
      <c r="S1385" s="236"/>
      <c r="T1385" s="364">
        <f t="shared" si="151"/>
        <v>143000</v>
      </c>
      <c r="U1385" s="365">
        <f t="shared" si="152"/>
        <v>27461.202269999998</v>
      </c>
      <c r="V1385" s="365">
        <f>IF($Q1385="ekrk",IF($R1385="data",IFERROR(INDEX(data!$A:$ALL,MATCH($M1385,data!$A:$A,0),MATCH(V$2,data!$1:$1,0)),"#data"),IFERROR(U1385*INDEX(indexy_SDcast!$A:$ALI,MATCH($R1385,indexy_SDcast!$K:$K,0),MATCH(V$2,indexy_SDcast!$2:$2,0)),"#ekrk")),"#popis")</f>
        <v>28010</v>
      </c>
      <c r="W1385" s="365">
        <f>IF($Q1385="ekrk",IF($R1385="data",IFERROR(INDEX(data!$A:$ALL,MATCH($M1385,data!$A:$A,0),MATCH(W$2,data!$1:$1,0)),"#data"),IFERROR(V1385*INDEX(indexy_SDcast!$A:$ALI,MATCH($R1385,indexy_SDcast!$K:$K,0),MATCH(W$2,indexy_SDcast!$2:$2,0)),"#ekrk")),"#popis")</f>
        <v>28571</v>
      </c>
      <c r="X1385" s="365">
        <f>IF($Q1385="ekrk",IF($R1385="data",IFERROR(INDEX(data!$A:$ALL,MATCH($M1385,data!$A:$A,0),MATCH(X$2,data!$1:$1,0)),"#data"),IFERROR(W1385*INDEX(indexy_SDcast!$A:$ALI,MATCH($R1385,indexy_SDcast!$K:$K,0),MATCH(X$2,indexy_SDcast!$2:$2,0)),"#ekrk")),"#popis")</f>
        <v>23314</v>
      </c>
      <c r="Y1385" s="362">
        <f>IF($Q1385="ekrk",IF($R1385="data",IFERROR(INDEX(data!$A:$ALL,MATCH($M1385,data!$A:$A,0),MATCH(Y$2,data!$1:$1,0)),"#data"),IFERROR(X1385*INDEX(indexy_SDcast!$A:$ALI,MATCH($R1385,indexy_SDcast!$K:$K,0),MATCH(Y$2,indexy_SDcast!$2:$2,0)),"#ekrk")),"#popis")</f>
        <v>23780</v>
      </c>
    </row>
    <row r="1386" spans="1:44" x14ac:dyDescent="0.25">
      <c r="A1386" s="330">
        <v>212003</v>
      </c>
      <c r="B1386" s="329">
        <v>148178.08178000027</v>
      </c>
      <c r="C1386" s="157"/>
      <c r="D1386" s="330">
        <v>212003</v>
      </c>
      <c r="E1386" s="329">
        <v>148178.08178000027</v>
      </c>
      <c r="F1386" s="157"/>
      <c r="G1386" s="330">
        <v>212003</v>
      </c>
      <c r="H1386" s="329">
        <v>148178.08178000027</v>
      </c>
      <c r="I1386" s="157"/>
      <c r="J1386" s="330">
        <v>212003</v>
      </c>
      <c r="K1386" s="329">
        <v>148178.08178000027</v>
      </c>
      <c r="L1386" s="157"/>
      <c r="M1386" s="360">
        <f t="shared" si="146"/>
        <v>212003</v>
      </c>
      <c r="N1386" s="237">
        <f t="shared" si="147"/>
        <v>148178.08178000027</v>
      </c>
      <c r="O1386" s="361"/>
      <c r="P1386" s="361"/>
      <c r="Q1386" s="361" t="s">
        <v>698</v>
      </c>
      <c r="R1386" s="362">
        <f>IF(Q1386="ekrk",INDEX(indexy_SDcast!$A:$C,MATCH($M1386,indexy_SDcast!$A:$A,0),2),"")</f>
        <v>9</v>
      </c>
      <c r="S1386" s="236"/>
      <c r="T1386" s="364">
        <f t="shared" si="151"/>
        <v>212003</v>
      </c>
      <c r="U1386" s="365">
        <f t="shared" si="152"/>
        <v>148178.08178000027</v>
      </c>
      <c r="V1386" s="365">
        <f>IF($Q1386="ekrk",IF($R1386="data",IFERROR(INDEX(data!$A:$ALL,MATCH($M1386,data!$A:$A,0),MATCH(V$2,data!$1:$1,0)),"#data"),IFERROR(U1386*INDEX(indexy_SDcast!$A:$ALI,MATCH($R1386,indexy_SDcast!$K:$K,0),MATCH(V$2,indexy_SDcast!$2:$2,0)),"#ekrk")),"#popis")</f>
        <v>148178.08178000027</v>
      </c>
      <c r="W1386" s="365">
        <f>IF($Q1386="ekrk",IF($R1386="data",IFERROR(INDEX(data!$A:$ALL,MATCH($M1386,data!$A:$A,0),MATCH(W$2,data!$1:$1,0)),"#data"),IFERROR(V1386*INDEX(indexy_SDcast!$A:$ALI,MATCH($R1386,indexy_SDcast!$K:$K,0),MATCH(W$2,indexy_SDcast!$2:$2,0)),"#ekrk")),"#popis")</f>
        <v>148178.08178000027</v>
      </c>
      <c r="X1386" s="365">
        <f>IF($Q1386="ekrk",IF($R1386="data",IFERROR(INDEX(data!$A:$ALL,MATCH($M1386,data!$A:$A,0),MATCH(X$2,data!$1:$1,0)),"#data"),IFERROR(W1386*INDEX(indexy_SDcast!$A:$ALI,MATCH($R1386,indexy_SDcast!$K:$K,0),MATCH(X$2,indexy_SDcast!$2:$2,0)),"#ekrk")),"#popis")</f>
        <v>148178.08178000027</v>
      </c>
      <c r="Y1386" s="362">
        <f>IF($Q1386="ekrk",IF($R1386="data",IFERROR(INDEX(data!$A:$ALL,MATCH($M1386,data!$A:$A,0),MATCH(Y$2,data!$1:$1,0)),"#data"),IFERROR(X1386*INDEX(indexy_SDcast!$A:$ALI,MATCH($R1386,indexy_SDcast!$K:$K,0),MATCH(Y$2,indexy_SDcast!$2:$2,0)),"#ekrk")),"#popis")</f>
        <v>148178.08178000027</v>
      </c>
    </row>
    <row r="1387" spans="1:44" x14ac:dyDescent="0.25">
      <c r="A1387" s="330">
        <v>212004</v>
      </c>
      <c r="B1387" s="329">
        <v>4063.2069699999997</v>
      </c>
      <c r="C1387" s="157"/>
      <c r="D1387" s="330">
        <v>212004</v>
      </c>
      <c r="E1387" s="329">
        <v>4063.2069699999997</v>
      </c>
      <c r="F1387" s="157"/>
      <c r="G1387" s="330">
        <v>212004</v>
      </c>
      <c r="H1387" s="329">
        <v>4063.2069699999997</v>
      </c>
      <c r="I1387" s="157"/>
      <c r="J1387" s="330">
        <v>212004</v>
      </c>
      <c r="K1387" s="329">
        <v>4063.2069699999997</v>
      </c>
      <c r="L1387" s="157"/>
      <c r="M1387" s="360">
        <f t="shared" si="146"/>
        <v>212004</v>
      </c>
      <c r="N1387" s="237">
        <f t="shared" si="147"/>
        <v>4063.2069699999997</v>
      </c>
      <c r="O1387" s="361"/>
      <c r="P1387" s="361"/>
      <c r="Q1387" s="361" t="s">
        <v>698</v>
      </c>
      <c r="R1387" s="362">
        <f>IF(Q1387="ekrk",INDEX(indexy_SDcast!$A:$C,MATCH($M1387,indexy_SDcast!$A:$A,0),2),"")</f>
        <v>9</v>
      </c>
      <c r="S1387" s="236"/>
      <c r="T1387" s="364">
        <f t="shared" si="151"/>
        <v>212004</v>
      </c>
      <c r="U1387" s="365">
        <f t="shared" si="152"/>
        <v>4063.2069699999997</v>
      </c>
      <c r="V1387" s="365">
        <f>IF($Q1387="ekrk",IF($R1387="data",IFERROR(INDEX(data!$A:$ALL,MATCH($M1387,data!$A:$A,0),MATCH(V$2,data!$1:$1,0)),"#data"),IFERROR(U1387*INDEX(indexy_SDcast!$A:$ALI,MATCH($R1387,indexy_SDcast!$K:$K,0),MATCH(V$2,indexy_SDcast!$2:$2,0)),"#ekrk")),"#popis")</f>
        <v>4063.2069699999997</v>
      </c>
      <c r="W1387" s="365">
        <f>IF($Q1387="ekrk",IF($R1387="data",IFERROR(INDEX(data!$A:$ALL,MATCH($M1387,data!$A:$A,0),MATCH(W$2,data!$1:$1,0)),"#data"),IFERROR(V1387*INDEX(indexy_SDcast!$A:$ALI,MATCH($R1387,indexy_SDcast!$K:$K,0),MATCH(W$2,indexy_SDcast!$2:$2,0)),"#ekrk")),"#popis")</f>
        <v>4063.2069699999997</v>
      </c>
      <c r="X1387" s="365">
        <f>IF($Q1387="ekrk",IF($R1387="data",IFERROR(INDEX(data!$A:$ALL,MATCH($M1387,data!$A:$A,0),MATCH(X$2,data!$1:$1,0)),"#data"),IFERROR(W1387*INDEX(indexy_SDcast!$A:$ALI,MATCH($R1387,indexy_SDcast!$K:$K,0),MATCH(X$2,indexy_SDcast!$2:$2,0)),"#ekrk")),"#popis")</f>
        <v>4063.2069699999997</v>
      </c>
      <c r="Y1387" s="362">
        <f>IF($Q1387="ekrk",IF($R1387="data",IFERROR(INDEX(data!$A:$ALL,MATCH($M1387,data!$A:$A,0),MATCH(Y$2,data!$1:$1,0)),"#data"),IFERROR(X1387*INDEX(indexy_SDcast!$A:$ALI,MATCH($R1387,indexy_SDcast!$K:$K,0),MATCH(Y$2,indexy_SDcast!$2:$2,0)),"#ekrk")),"#popis")</f>
        <v>4063.2069699999997</v>
      </c>
    </row>
    <row r="1388" spans="1:44" x14ac:dyDescent="0.25">
      <c r="A1388" s="330">
        <v>221001</v>
      </c>
      <c r="B1388" s="329">
        <v>31247.745460000006</v>
      </c>
      <c r="C1388" s="157"/>
      <c r="D1388" s="330">
        <v>221001</v>
      </c>
      <c r="E1388" s="329">
        <v>31247.745460000006</v>
      </c>
      <c r="F1388" s="157"/>
      <c r="G1388" s="330">
        <v>221001</v>
      </c>
      <c r="H1388" s="329">
        <v>31247.745460000006</v>
      </c>
      <c r="I1388" s="157"/>
      <c r="J1388" s="330">
        <v>221001</v>
      </c>
      <c r="K1388" s="329">
        <v>31247.745460000006</v>
      </c>
      <c r="L1388" s="157"/>
      <c r="M1388" s="360">
        <f t="shared" si="146"/>
        <v>221001</v>
      </c>
      <c r="N1388" s="237">
        <f t="shared" si="147"/>
        <v>31247.745460000006</v>
      </c>
      <c r="O1388" s="361"/>
      <c r="P1388" s="361"/>
      <c r="Q1388" s="361" t="s">
        <v>698</v>
      </c>
      <c r="R1388" s="362">
        <f>IF(Q1388="ekrk",INDEX(indexy_SDcast!$A:$C,MATCH($M1388,indexy_SDcast!$A:$A,0),2),"")</f>
        <v>22</v>
      </c>
      <c r="S1388" s="236"/>
      <c r="T1388" s="364">
        <f t="shared" si="151"/>
        <v>221001</v>
      </c>
      <c r="U1388" s="365">
        <f t="shared" si="152"/>
        <v>31247.745460000006</v>
      </c>
      <c r="V1388" s="365">
        <f>IF($Q1388="ekrk",IF($R1388="data",IFERROR(INDEX(data!$A:$ALL,MATCH($M1388,data!$A:$A,0),MATCH(V$2,data!$1:$1,0)),"#data"),IFERROR(U1388*INDEX(indexy_SDcast!$A:$ALI,MATCH($R1388,indexy_SDcast!$K:$K,0),MATCH(V$2,indexy_SDcast!$2:$2,0)),"#ekrk")),"#popis")</f>
        <v>31247.745460000006</v>
      </c>
      <c r="W1388" s="365">
        <f>IF($Q1388="ekrk",IF($R1388="data",IFERROR(INDEX(data!$A:$ALL,MATCH($M1388,data!$A:$A,0),MATCH(W$2,data!$1:$1,0)),"#data"),IFERROR(V1388*INDEX(indexy_SDcast!$A:$ALI,MATCH($R1388,indexy_SDcast!$K:$K,0),MATCH(W$2,indexy_SDcast!$2:$2,0)),"#ekrk")),"#popis")</f>
        <v>31247.745460000006</v>
      </c>
      <c r="X1388" s="365">
        <f>IF($Q1388="ekrk",IF($R1388="data",IFERROR(INDEX(data!$A:$ALL,MATCH($M1388,data!$A:$A,0),MATCH(X$2,data!$1:$1,0)),"#data"),IFERROR(W1388*INDEX(indexy_SDcast!$A:$ALI,MATCH($R1388,indexy_SDcast!$K:$K,0),MATCH(X$2,indexy_SDcast!$2:$2,0)),"#ekrk")),"#popis")</f>
        <v>31247.745460000006</v>
      </c>
      <c r="Y1388" s="362">
        <f>IF($Q1388="ekrk",IF($R1388="data",IFERROR(INDEX(data!$A:$ALL,MATCH($M1388,data!$A:$A,0),MATCH(Y$2,data!$1:$1,0)),"#data"),IFERROR(X1388*INDEX(indexy_SDcast!$A:$ALI,MATCH($R1388,indexy_SDcast!$K:$K,0),MATCH(Y$2,indexy_SDcast!$2:$2,0)),"#ekrk")),"#popis")</f>
        <v>31247.745460000006</v>
      </c>
    </row>
    <row r="1389" spans="1:44" x14ac:dyDescent="0.25">
      <c r="A1389" s="330">
        <v>221003</v>
      </c>
      <c r="B1389" s="329">
        <v>509.34031999999996</v>
      </c>
      <c r="C1389" s="157"/>
      <c r="D1389" s="330">
        <v>221003</v>
      </c>
      <c r="E1389" s="329">
        <v>509.34031999999996</v>
      </c>
      <c r="F1389" s="157"/>
      <c r="G1389" s="330">
        <v>221003</v>
      </c>
      <c r="H1389" s="329">
        <v>509.34031999999996</v>
      </c>
      <c r="I1389" s="157"/>
      <c r="J1389" s="330">
        <v>221003</v>
      </c>
      <c r="K1389" s="329">
        <v>509.34031999999996</v>
      </c>
      <c r="L1389" s="157"/>
      <c r="M1389" s="360">
        <f t="shared" ref="M1389:M1452" si="153">J1389</f>
        <v>221003</v>
      </c>
      <c r="N1389" s="237">
        <f t="shared" ref="N1389:N1452" si="154">K1389</f>
        <v>509.34031999999996</v>
      </c>
      <c r="O1389" s="361"/>
      <c r="P1389" s="361"/>
      <c r="Q1389" s="361" t="s">
        <v>698</v>
      </c>
      <c r="R1389" s="362">
        <f>IF(Q1389="ekrk",INDEX(indexy_SDcast!$A:$C,MATCH($M1389,indexy_SDcast!$A:$A,0),2),"")</f>
        <v>22</v>
      </c>
      <c r="S1389" s="236"/>
      <c r="T1389" s="364">
        <f t="shared" si="151"/>
        <v>221003</v>
      </c>
      <c r="U1389" s="365">
        <f t="shared" si="152"/>
        <v>509.34031999999996</v>
      </c>
      <c r="V1389" s="365">
        <f>IF($Q1389="ekrk",IF($R1389="data",IFERROR(INDEX(data!$A:$ALL,MATCH($M1389,data!$A:$A,0),MATCH(V$2,data!$1:$1,0)),"#data"),IFERROR(U1389*INDEX(indexy_SDcast!$A:$ALI,MATCH($R1389,indexy_SDcast!$K:$K,0),MATCH(V$2,indexy_SDcast!$2:$2,0)),"#ekrk")),"#popis")</f>
        <v>509.34031999999996</v>
      </c>
      <c r="W1389" s="365">
        <f>IF($Q1389="ekrk",IF($R1389="data",IFERROR(INDEX(data!$A:$ALL,MATCH($M1389,data!$A:$A,0),MATCH(W$2,data!$1:$1,0)),"#data"),IFERROR(V1389*INDEX(indexy_SDcast!$A:$ALI,MATCH($R1389,indexy_SDcast!$K:$K,0),MATCH(W$2,indexy_SDcast!$2:$2,0)),"#ekrk")),"#popis")</f>
        <v>509.34031999999996</v>
      </c>
      <c r="X1389" s="365">
        <f>IF($Q1389="ekrk",IF($R1389="data",IFERROR(INDEX(data!$A:$ALL,MATCH($M1389,data!$A:$A,0),MATCH(X$2,data!$1:$1,0)),"#data"),IFERROR(W1389*INDEX(indexy_SDcast!$A:$ALI,MATCH($R1389,indexy_SDcast!$K:$K,0),MATCH(X$2,indexy_SDcast!$2:$2,0)),"#ekrk")),"#popis")</f>
        <v>509.34031999999996</v>
      </c>
      <c r="Y1389" s="362">
        <f>IF($Q1389="ekrk",IF($R1389="data",IFERROR(INDEX(data!$A:$ALL,MATCH($M1389,data!$A:$A,0),MATCH(Y$2,data!$1:$1,0)),"#data"),IFERROR(X1389*INDEX(indexy_SDcast!$A:$ALI,MATCH($R1389,indexy_SDcast!$K:$K,0),MATCH(Y$2,indexy_SDcast!$2:$2,0)),"#ekrk")),"#popis")</f>
        <v>509.34031999999996</v>
      </c>
    </row>
    <row r="1390" spans="1:44" x14ac:dyDescent="0.25">
      <c r="A1390" s="330">
        <v>223000</v>
      </c>
      <c r="B1390" s="329">
        <v>79.946659999999994</v>
      </c>
      <c r="C1390" s="157"/>
      <c r="D1390" s="330">
        <v>223000</v>
      </c>
      <c r="E1390" s="329">
        <v>79.946659999999994</v>
      </c>
      <c r="F1390" s="157"/>
      <c r="G1390" s="330">
        <v>223000</v>
      </c>
      <c r="H1390" s="329">
        <v>79.946659999999994</v>
      </c>
      <c r="I1390" s="157"/>
      <c r="J1390" s="330">
        <v>223000</v>
      </c>
      <c r="K1390" s="329">
        <v>79.946659999999994</v>
      </c>
      <c r="L1390" s="157"/>
      <c r="M1390" s="360">
        <f t="shared" si="153"/>
        <v>223000</v>
      </c>
      <c r="N1390" s="237">
        <f t="shared" si="154"/>
        <v>79.946659999999994</v>
      </c>
      <c r="O1390" s="361"/>
      <c r="P1390" s="361"/>
      <c r="Q1390" s="361" t="s">
        <v>698</v>
      </c>
      <c r="R1390" s="362">
        <f>IF(Q1390="ekrk",INDEX(indexy_SDcast!$A:$C,MATCH($M1390,indexy_SDcast!$A:$A,0),2),"")</f>
        <v>9</v>
      </c>
      <c r="S1390" s="236"/>
      <c r="T1390" s="364">
        <f t="shared" si="151"/>
        <v>223000</v>
      </c>
      <c r="U1390" s="365">
        <f t="shared" si="152"/>
        <v>79.946659999999994</v>
      </c>
      <c r="V1390" s="365">
        <f>IF($Q1390="ekrk",IF($R1390="data",IFERROR(INDEX(data!$A:$ALL,MATCH($M1390,data!$A:$A,0),MATCH(V$2,data!$1:$1,0)),"#data"),IFERROR(U1390*INDEX(indexy_SDcast!$A:$ALI,MATCH($R1390,indexy_SDcast!$K:$K,0),MATCH(V$2,indexy_SDcast!$2:$2,0)),"#ekrk")),"#popis")</f>
        <v>79.946659999999994</v>
      </c>
      <c r="W1390" s="365">
        <f>IF($Q1390="ekrk",IF($R1390="data",IFERROR(INDEX(data!$A:$ALL,MATCH($M1390,data!$A:$A,0),MATCH(W$2,data!$1:$1,0)),"#data"),IFERROR(V1390*INDEX(indexy_SDcast!$A:$ALI,MATCH($R1390,indexy_SDcast!$K:$K,0),MATCH(W$2,indexy_SDcast!$2:$2,0)),"#ekrk")),"#popis")</f>
        <v>79.946659999999994</v>
      </c>
      <c r="X1390" s="365">
        <f>IF($Q1390="ekrk",IF($R1390="data",IFERROR(INDEX(data!$A:$ALL,MATCH($M1390,data!$A:$A,0),MATCH(X$2,data!$1:$1,0)),"#data"),IFERROR(W1390*INDEX(indexy_SDcast!$A:$ALI,MATCH($R1390,indexy_SDcast!$K:$K,0),MATCH(X$2,indexy_SDcast!$2:$2,0)),"#ekrk")),"#popis")</f>
        <v>79.946659999999994</v>
      </c>
      <c r="Y1390" s="362">
        <f>IF($Q1390="ekrk",IF($R1390="data",IFERROR(INDEX(data!$A:$ALL,MATCH($M1390,data!$A:$A,0),MATCH(Y$2,data!$1:$1,0)),"#data"),IFERROR(X1390*INDEX(indexy_SDcast!$A:$ALI,MATCH($R1390,indexy_SDcast!$K:$K,0),MATCH(Y$2,indexy_SDcast!$2:$2,0)),"#ekrk")),"#popis")</f>
        <v>79.946659999999994</v>
      </c>
    </row>
    <row r="1391" spans="1:44" x14ac:dyDescent="0.25">
      <c r="A1391" s="330">
        <v>223001</v>
      </c>
      <c r="B1391" s="329">
        <v>479301.45242000005</v>
      </c>
      <c r="C1391" s="157"/>
      <c r="D1391" s="330">
        <v>223001</v>
      </c>
      <c r="E1391" s="329">
        <v>479301.45242000005</v>
      </c>
      <c r="F1391" s="157"/>
      <c r="G1391" s="330">
        <v>223001</v>
      </c>
      <c r="H1391" s="356">
        <f>E1391+E1396</f>
        <v>689774.45241999999</v>
      </c>
      <c r="I1391" s="157"/>
      <c r="J1391" s="330">
        <v>223001</v>
      </c>
      <c r="K1391" s="329">
        <f>H1391+H1396</f>
        <v>689774.45241999999</v>
      </c>
      <c r="L1391" s="157"/>
      <c r="M1391" s="360">
        <f t="shared" si="153"/>
        <v>223001</v>
      </c>
      <c r="N1391" s="237">
        <f t="shared" si="154"/>
        <v>689774.45241999999</v>
      </c>
      <c r="O1391" s="361"/>
      <c r="P1391" s="361"/>
      <c r="Q1391" s="361" t="s">
        <v>698</v>
      </c>
      <c r="R1391" s="362">
        <f>IF(Q1391="ekrk",INDEX(indexy_SDcast!$A:$C,MATCH($M1391,indexy_SDcast!$A:$A,0),2),"")</f>
        <v>9</v>
      </c>
      <c r="S1391" s="236"/>
      <c r="T1391" s="364">
        <f t="shared" si="151"/>
        <v>223001</v>
      </c>
      <c r="U1391" s="365">
        <f t="shared" si="152"/>
        <v>689774.45241999999</v>
      </c>
      <c r="V1391" s="365">
        <f>IF($Q1391="ekrk",IF($R1391="data",IFERROR(INDEX(data!$A:$ALL,MATCH($M1391,data!$A:$A,0),MATCH(V$2,data!$1:$1,0)),"#data"),IFERROR(U1391*INDEX(indexy_SDcast!$A:$ALI,MATCH($R1391,indexy_SDcast!$K:$K,0),MATCH(V$2,indexy_SDcast!$2:$2,0)),"#ekrk")),"#popis")</f>
        <v>689774.45241999999</v>
      </c>
      <c r="W1391" s="365">
        <f>IF($Q1391="ekrk",IF($R1391="data",IFERROR(INDEX(data!$A:$ALL,MATCH($M1391,data!$A:$A,0),MATCH(W$2,data!$1:$1,0)),"#data"),IFERROR(V1391*INDEX(indexy_SDcast!$A:$ALI,MATCH($R1391,indexy_SDcast!$K:$K,0),MATCH(W$2,indexy_SDcast!$2:$2,0)),"#ekrk")),"#popis")</f>
        <v>689774.45241999999</v>
      </c>
      <c r="X1391" s="365">
        <f>IF($Q1391="ekrk",IF($R1391="data",IFERROR(INDEX(data!$A:$ALL,MATCH($M1391,data!$A:$A,0),MATCH(X$2,data!$1:$1,0)),"#data"),IFERROR(W1391*INDEX(indexy_SDcast!$A:$ALI,MATCH($R1391,indexy_SDcast!$K:$K,0),MATCH(X$2,indexy_SDcast!$2:$2,0)),"#ekrk")),"#popis")</f>
        <v>689774.45241999999</v>
      </c>
      <c r="Y1391" s="362">
        <f>IF($Q1391="ekrk",IF($R1391="data",IFERROR(INDEX(data!$A:$ALL,MATCH($M1391,data!$A:$A,0),MATCH(Y$2,data!$1:$1,0)),"#data"),IFERROR(X1391*INDEX(indexy_SDcast!$A:$ALI,MATCH($R1391,indexy_SDcast!$K:$K,0),MATCH(Y$2,indexy_SDcast!$2:$2,0)),"#ekrk")),"#popis")</f>
        <v>689774.45241999999</v>
      </c>
    </row>
    <row r="1392" spans="1:44" x14ac:dyDescent="0.25">
      <c r="A1392" s="330">
        <v>223003</v>
      </c>
      <c r="B1392" s="329">
        <v>170043.23158999998</v>
      </c>
      <c r="C1392" s="157"/>
      <c r="D1392" s="330">
        <v>223003</v>
      </c>
      <c r="E1392" s="329">
        <v>170043.23158999998</v>
      </c>
      <c r="F1392" s="157"/>
      <c r="G1392" s="330">
        <v>223003</v>
      </c>
      <c r="H1392" s="329">
        <v>170043.23158999998</v>
      </c>
      <c r="I1392" s="157"/>
      <c r="J1392" s="330">
        <v>223003</v>
      </c>
      <c r="K1392" s="329">
        <v>170043.23158999998</v>
      </c>
      <c r="L1392" s="157"/>
      <c r="M1392" s="360">
        <f t="shared" si="153"/>
        <v>223003</v>
      </c>
      <c r="N1392" s="237">
        <f t="shared" si="154"/>
        <v>170043.23158999998</v>
      </c>
      <c r="O1392" s="361"/>
      <c r="P1392" s="361"/>
      <c r="Q1392" s="361" t="s">
        <v>698</v>
      </c>
      <c r="R1392" s="362">
        <f>IF(Q1392="ekrk",INDEX(indexy_SDcast!$A:$C,MATCH($M1392,indexy_SDcast!$A:$A,0),2),"")</f>
        <v>55</v>
      </c>
      <c r="S1392" s="236"/>
      <c r="T1392" s="364">
        <f t="shared" si="151"/>
        <v>223003</v>
      </c>
      <c r="U1392" s="365">
        <f t="shared" si="152"/>
        <v>170043.23158999998</v>
      </c>
      <c r="V1392" s="365">
        <f>IF($Q1392="ekrk",IF($R1392="data",IFERROR(INDEX(data!$A:$ALL,MATCH($M1392,data!$A:$A,0),MATCH(V$2,data!$1:$1,0)),"#data"),IFERROR(U1392*INDEX(indexy_SDcast!$A:$ALI,MATCH($R1392,indexy_SDcast!$K:$K,0),MATCH(V$2,indexy_SDcast!$2:$2,0)),"#ekrk")),"#popis")</f>
        <v>168830.70696841643</v>
      </c>
      <c r="W1392" s="365">
        <f>IF($Q1392="ekrk",IF($R1392="data",IFERROR(INDEX(data!$A:$ALL,MATCH($M1392,data!$A:$A,0),MATCH(W$2,data!$1:$1,0)),"#data"),IFERROR(V1392*INDEX(indexy_SDcast!$A:$ALI,MATCH($R1392,indexy_SDcast!$K:$K,0),MATCH(W$2,indexy_SDcast!$2:$2,0)),"#ekrk")),"#popis")</f>
        <v>170245.81001899211</v>
      </c>
      <c r="X1392" s="365">
        <f>IF($Q1392="ekrk",IF($R1392="data",IFERROR(INDEX(data!$A:$ALL,MATCH($M1392,data!$A:$A,0),MATCH(X$2,data!$1:$1,0)),"#data"),IFERROR(W1392*INDEX(indexy_SDcast!$A:$ALI,MATCH($R1392,indexy_SDcast!$K:$K,0),MATCH(X$2,indexy_SDcast!$2:$2,0)),"#ekrk")),"#popis")</f>
        <v>171634.11305296927</v>
      </c>
      <c r="Y1392" s="362">
        <f>IF($Q1392="ekrk",IF($R1392="data",IFERROR(INDEX(data!$A:$ALL,MATCH($M1392,data!$A:$A,0),MATCH(Y$2,data!$1:$1,0)),"#data"),IFERROR(X1392*INDEX(indexy_SDcast!$A:$ALI,MATCH($R1392,indexy_SDcast!$K:$K,0),MATCH(Y$2,indexy_SDcast!$2:$2,0)),"#ekrk")),"#popis")</f>
        <v>173445.71069468636</v>
      </c>
    </row>
    <row r="1393" spans="1:44" x14ac:dyDescent="0.25">
      <c r="A1393" s="330">
        <v>223004</v>
      </c>
      <c r="B1393" s="329">
        <v>983.81517999999994</v>
      </c>
      <c r="C1393" s="157"/>
      <c r="D1393" s="330">
        <v>223004</v>
      </c>
      <c r="E1393" s="329">
        <v>983.81517999999994</v>
      </c>
      <c r="F1393" s="157"/>
      <c r="G1393" s="330">
        <v>223004</v>
      </c>
      <c r="H1393" s="329">
        <v>983.81517999999994</v>
      </c>
      <c r="I1393" s="157"/>
      <c r="J1393" s="330">
        <v>223004</v>
      </c>
      <c r="K1393" s="329">
        <v>983.81517999999994</v>
      </c>
      <c r="L1393" s="157"/>
      <c r="M1393" s="360">
        <f t="shared" si="153"/>
        <v>223004</v>
      </c>
      <c r="N1393" s="237">
        <f t="shared" si="154"/>
        <v>983.81517999999994</v>
      </c>
      <c r="O1393" s="361"/>
      <c r="P1393" s="361"/>
      <c r="Q1393" s="361" t="s">
        <v>698</v>
      </c>
      <c r="R1393" s="362">
        <f>IF(Q1393="ekrk",INDEX(indexy_SDcast!$A:$C,MATCH($M1393,indexy_SDcast!$A:$A,0),2),"")</f>
        <v>9</v>
      </c>
      <c r="S1393" s="236"/>
      <c r="T1393" s="364">
        <f t="shared" si="151"/>
        <v>223004</v>
      </c>
      <c r="U1393" s="365">
        <f t="shared" si="152"/>
        <v>983.81517999999994</v>
      </c>
      <c r="V1393" s="365">
        <f>IF($Q1393="ekrk",IF($R1393="data",IFERROR(INDEX(data!$A:$ALL,MATCH($M1393,data!$A:$A,0),MATCH(V$2,data!$1:$1,0)),"#data"),IFERROR(U1393*INDEX(indexy_SDcast!$A:$ALI,MATCH($R1393,indexy_SDcast!$K:$K,0),MATCH(V$2,indexy_SDcast!$2:$2,0)),"#ekrk")),"#popis")</f>
        <v>983.81517999999994</v>
      </c>
      <c r="W1393" s="365">
        <f>IF($Q1393="ekrk",IF($R1393="data",IFERROR(INDEX(data!$A:$ALL,MATCH($M1393,data!$A:$A,0),MATCH(W$2,data!$1:$1,0)),"#data"),IFERROR(V1393*INDEX(indexy_SDcast!$A:$ALI,MATCH($R1393,indexy_SDcast!$K:$K,0),MATCH(W$2,indexy_SDcast!$2:$2,0)),"#ekrk")),"#popis")</f>
        <v>983.81517999999994</v>
      </c>
      <c r="X1393" s="365">
        <f>IF($Q1393="ekrk",IF($R1393="data",IFERROR(INDEX(data!$A:$ALL,MATCH($M1393,data!$A:$A,0),MATCH(X$2,data!$1:$1,0)),"#data"),IFERROR(W1393*INDEX(indexy_SDcast!$A:$ALI,MATCH($R1393,indexy_SDcast!$K:$K,0),MATCH(X$2,indexy_SDcast!$2:$2,0)),"#ekrk")),"#popis")</f>
        <v>983.81517999999994</v>
      </c>
      <c r="Y1393" s="362">
        <f>IF($Q1393="ekrk",IF($R1393="data",IFERROR(INDEX(data!$A:$ALL,MATCH($M1393,data!$A:$A,0),MATCH(Y$2,data!$1:$1,0)),"#data"),IFERROR(X1393*INDEX(indexy_SDcast!$A:$ALI,MATCH($R1393,indexy_SDcast!$K:$K,0),MATCH(Y$2,indexy_SDcast!$2:$2,0)),"#ekrk")),"#popis")</f>
        <v>983.81517999999994</v>
      </c>
    </row>
    <row r="1394" spans="1:44" x14ac:dyDescent="0.25">
      <c r="A1394" s="330">
        <v>229000</v>
      </c>
      <c r="B1394" s="329">
        <v>1.9958100000000001</v>
      </c>
      <c r="C1394" s="157"/>
      <c r="D1394" s="330">
        <v>229000</v>
      </c>
      <c r="E1394" s="329">
        <v>1.9958100000000001</v>
      </c>
      <c r="F1394" s="157"/>
      <c r="G1394" s="330">
        <v>229000</v>
      </c>
      <c r="H1394" s="329">
        <v>1.9958100000000001</v>
      </c>
      <c r="I1394" s="157"/>
      <c r="J1394" s="330">
        <v>229000</v>
      </c>
      <c r="K1394" s="329">
        <v>1.9958100000000001</v>
      </c>
      <c r="L1394" s="157"/>
      <c r="M1394" s="360">
        <f t="shared" si="153"/>
        <v>229000</v>
      </c>
      <c r="N1394" s="237">
        <f t="shared" si="154"/>
        <v>1.9958100000000001</v>
      </c>
      <c r="O1394" s="361"/>
      <c r="P1394" s="361"/>
      <c r="Q1394" s="361" t="s">
        <v>698</v>
      </c>
      <c r="R1394" s="362">
        <f>IF(Q1394="ekrk",INDEX(indexy_SDcast!$A:$C,MATCH($M1394,indexy_SDcast!$A:$A,0),2),"")</f>
        <v>22</v>
      </c>
      <c r="S1394" s="236"/>
      <c r="T1394" s="364">
        <f t="shared" si="151"/>
        <v>229000</v>
      </c>
      <c r="U1394" s="365">
        <f t="shared" si="152"/>
        <v>1.9958100000000001</v>
      </c>
      <c r="V1394" s="365">
        <f>IF($Q1394="ekrk",IF($R1394="data",IFERROR(INDEX(data!$A:$ALL,MATCH($M1394,data!$A:$A,0),MATCH(V$2,data!$1:$1,0)),"#data"),IFERROR(U1394*INDEX(indexy_SDcast!$A:$ALI,MATCH($R1394,indexy_SDcast!$K:$K,0),MATCH(V$2,indexy_SDcast!$2:$2,0)),"#ekrk")),"#popis")</f>
        <v>1.9958100000000001</v>
      </c>
      <c r="W1394" s="365">
        <f>IF($Q1394="ekrk",IF($R1394="data",IFERROR(INDEX(data!$A:$ALL,MATCH($M1394,data!$A:$A,0),MATCH(W$2,data!$1:$1,0)),"#data"),IFERROR(V1394*INDEX(indexy_SDcast!$A:$ALI,MATCH($R1394,indexy_SDcast!$K:$K,0),MATCH(W$2,indexy_SDcast!$2:$2,0)),"#ekrk")),"#popis")</f>
        <v>1.9958100000000001</v>
      </c>
      <c r="X1394" s="365">
        <f>IF($Q1394="ekrk",IF($R1394="data",IFERROR(INDEX(data!$A:$ALL,MATCH($M1394,data!$A:$A,0),MATCH(X$2,data!$1:$1,0)),"#data"),IFERROR(W1394*INDEX(indexy_SDcast!$A:$ALI,MATCH($R1394,indexy_SDcast!$K:$K,0),MATCH(X$2,indexy_SDcast!$2:$2,0)),"#ekrk")),"#popis")</f>
        <v>1.9958100000000001</v>
      </c>
      <c r="Y1394" s="362">
        <f>IF($Q1394="ekrk",IF($R1394="data",IFERROR(INDEX(data!$A:$ALL,MATCH($M1394,data!$A:$A,0),MATCH(Y$2,data!$1:$1,0)),"#data"),IFERROR(X1394*INDEX(indexy_SDcast!$A:$ALI,MATCH($R1394,indexy_SDcast!$K:$K,0),MATCH(Y$2,indexy_SDcast!$2:$2,0)),"#ekrk")),"#popis")</f>
        <v>1.9958100000000001</v>
      </c>
    </row>
    <row r="1395" spans="1:44" x14ac:dyDescent="0.25">
      <c r="A1395" s="330">
        <v>229002</v>
      </c>
      <c r="B1395" s="329">
        <v>11322.919239999997</v>
      </c>
      <c r="C1395" s="157"/>
      <c r="D1395" s="330">
        <v>229002</v>
      </c>
      <c r="E1395" s="329">
        <v>11322.919239999997</v>
      </c>
      <c r="F1395" s="157"/>
      <c r="G1395" s="330">
        <v>229002</v>
      </c>
      <c r="H1395" s="329">
        <v>11322.919239999997</v>
      </c>
      <c r="I1395" s="157"/>
      <c r="J1395" s="330">
        <v>229002</v>
      </c>
      <c r="K1395" s="329">
        <v>11322.919239999997</v>
      </c>
      <c r="L1395" s="157"/>
      <c r="M1395" s="360">
        <f t="shared" si="153"/>
        <v>229002</v>
      </c>
      <c r="N1395" s="237">
        <f t="shared" si="154"/>
        <v>11322.919239999997</v>
      </c>
      <c r="O1395" s="361"/>
      <c r="P1395" s="361"/>
      <c r="Q1395" s="361" t="s">
        <v>698</v>
      </c>
      <c r="R1395" s="362">
        <f>IF(Q1395="ekrk",INDEX(indexy_SDcast!$A:$C,MATCH($M1395,indexy_SDcast!$A:$A,0),2),"")</f>
        <v>22</v>
      </c>
      <c r="S1395" s="236"/>
      <c r="T1395" s="364">
        <f t="shared" si="151"/>
        <v>229002</v>
      </c>
      <c r="U1395" s="365">
        <f t="shared" si="152"/>
        <v>11322.919239999997</v>
      </c>
      <c r="V1395" s="365">
        <f>IF($Q1395="ekrk",IF($R1395="data",IFERROR(INDEX(data!$A:$ALL,MATCH($M1395,data!$A:$A,0),MATCH(V$2,data!$1:$1,0)),"#data"),IFERROR(U1395*INDEX(indexy_SDcast!$A:$ALI,MATCH($R1395,indexy_SDcast!$K:$K,0),MATCH(V$2,indexy_SDcast!$2:$2,0)),"#ekrk")),"#popis")</f>
        <v>11322.919239999997</v>
      </c>
      <c r="W1395" s="365">
        <f>IF($Q1395="ekrk",IF($R1395="data",IFERROR(INDEX(data!$A:$ALL,MATCH($M1395,data!$A:$A,0),MATCH(W$2,data!$1:$1,0)),"#data"),IFERROR(V1395*INDEX(indexy_SDcast!$A:$ALI,MATCH($R1395,indexy_SDcast!$K:$K,0),MATCH(W$2,indexy_SDcast!$2:$2,0)),"#ekrk")),"#popis")</f>
        <v>11322.919239999997</v>
      </c>
      <c r="X1395" s="365">
        <f>IF($Q1395="ekrk",IF($R1395="data",IFERROR(INDEX(data!$A:$ALL,MATCH($M1395,data!$A:$A,0),MATCH(X$2,data!$1:$1,0)),"#data"),IFERROR(W1395*INDEX(indexy_SDcast!$A:$ALI,MATCH($R1395,indexy_SDcast!$K:$K,0),MATCH(X$2,indexy_SDcast!$2:$2,0)),"#ekrk")),"#popis")</f>
        <v>11322.919239999997</v>
      </c>
      <c r="Y1395" s="362">
        <f>IF($Q1395="ekrk",IF($R1395="data",IFERROR(INDEX(data!$A:$ALL,MATCH($M1395,data!$A:$A,0),MATCH(Y$2,data!$1:$1,0)),"#data"),IFERROR(X1395*INDEX(indexy_SDcast!$A:$ALI,MATCH($R1395,indexy_SDcast!$K:$K,0),MATCH(Y$2,indexy_SDcast!$2:$2,0)),"#ekrk")),"#popis")</f>
        <v>11322.919239999997</v>
      </c>
    </row>
    <row r="1396" spans="1:44" x14ac:dyDescent="0.25">
      <c r="A1396" s="330" t="s">
        <v>699</v>
      </c>
      <c r="B1396" s="329">
        <v>210473</v>
      </c>
      <c r="C1396" s="157"/>
      <c r="D1396" s="348">
        <v>223001</v>
      </c>
      <c r="E1396" s="329">
        <v>210473</v>
      </c>
      <c r="F1396" s="157"/>
      <c r="G1396" s="330"/>
      <c r="H1396" s="329"/>
      <c r="I1396" s="157"/>
      <c r="J1396" s="330"/>
      <c r="K1396" s="329"/>
      <c r="L1396" s="157"/>
      <c r="M1396" s="360">
        <f t="shared" si="153"/>
        <v>0</v>
      </c>
      <c r="N1396" s="237">
        <f t="shared" si="154"/>
        <v>0</v>
      </c>
      <c r="O1396" s="361"/>
      <c r="P1396" s="361"/>
      <c r="Q1396" s="361"/>
      <c r="R1396" s="362"/>
      <c r="S1396" s="236"/>
      <c r="T1396" s="364">
        <f t="shared" si="151"/>
        <v>0</v>
      </c>
      <c r="U1396" s="365"/>
      <c r="V1396" s="365"/>
      <c r="W1396" s="365"/>
      <c r="X1396" s="365"/>
      <c r="Y1396" s="362"/>
    </row>
    <row r="1397" spans="1:44" x14ac:dyDescent="0.25">
      <c r="A1397" s="330" t="s">
        <v>992</v>
      </c>
      <c r="B1397" s="329">
        <v>85994</v>
      </c>
      <c r="C1397" s="157"/>
      <c r="D1397" s="348">
        <v>292000</v>
      </c>
      <c r="E1397" s="329">
        <v>85994</v>
      </c>
      <c r="F1397" s="157"/>
      <c r="G1397" s="330">
        <v>292000</v>
      </c>
      <c r="H1397" s="329">
        <v>85994</v>
      </c>
      <c r="I1397" s="157"/>
      <c r="J1397" s="330">
        <v>292000</v>
      </c>
      <c r="K1397" s="329">
        <v>85994</v>
      </c>
      <c r="L1397" s="157"/>
      <c r="M1397" s="360">
        <f t="shared" si="153"/>
        <v>292000</v>
      </c>
      <c r="N1397" s="237">
        <f t="shared" si="154"/>
        <v>85994</v>
      </c>
      <c r="O1397" s="361"/>
      <c r="P1397" s="361"/>
      <c r="Q1397" s="361" t="s">
        <v>698</v>
      </c>
      <c r="R1397" s="362">
        <f>IF(Q1397="ekrk",INDEX(indexy_SDcast!$A:$C,MATCH($M1397,indexy_SDcast!$A:$A,0),2),"")</f>
        <v>22</v>
      </c>
      <c r="S1397" s="236"/>
      <c r="T1397" s="364">
        <f t="shared" si="151"/>
        <v>292000</v>
      </c>
      <c r="U1397" s="365">
        <f>N1397</f>
        <v>85994</v>
      </c>
      <c r="V1397" s="365">
        <f>IF($Q1397="ekrk",IF($R1397="data",IFERROR(INDEX(data!$A:$ALL,MATCH($M1397,data!$A:$A,0),MATCH(V$2,data!$1:$1,0)),"#data"),IFERROR(U1397*INDEX(indexy_SDcast!$A:$ALI,MATCH($R1397,indexy_SDcast!$K:$K,0),MATCH(V$2,indexy_SDcast!$2:$2,0)),"#ekrk")),"#popis")</f>
        <v>85994</v>
      </c>
      <c r="W1397" s="365">
        <f>IF($Q1397="ekrk",IF($R1397="data",IFERROR(INDEX(data!$A:$ALL,MATCH($M1397,data!$A:$A,0),MATCH(W$2,data!$1:$1,0)),"#data"),IFERROR(V1397*INDEX(indexy_SDcast!$A:$ALI,MATCH($R1397,indexy_SDcast!$K:$K,0),MATCH(W$2,indexy_SDcast!$2:$2,0)),"#ekrk")),"#popis")</f>
        <v>85994</v>
      </c>
      <c r="X1397" s="365">
        <f>IF($Q1397="ekrk",IF($R1397="data",IFERROR(INDEX(data!$A:$ALL,MATCH($M1397,data!$A:$A,0),MATCH(X$2,data!$1:$1,0)),"#data"),IFERROR(W1397*INDEX(indexy_SDcast!$A:$ALI,MATCH($R1397,indexy_SDcast!$K:$K,0),MATCH(X$2,indexy_SDcast!$2:$2,0)),"#ekrk")),"#popis")</f>
        <v>85994</v>
      </c>
      <c r="Y1397" s="362">
        <f>IF($Q1397="ekrk",IF($R1397="data",IFERROR(INDEX(data!$A:$ALL,MATCH($M1397,data!$A:$A,0),MATCH(Y$2,data!$1:$1,0)),"#data"),IFERROR(X1397*INDEX(indexy_SDcast!$A:$ALI,MATCH($R1397,indexy_SDcast!$K:$K,0),MATCH(Y$2,indexy_SDcast!$2:$2,0)),"#ekrk")),"#popis")</f>
        <v>85994</v>
      </c>
    </row>
    <row r="1398" spans="1:44" s="18" customFormat="1" x14ac:dyDescent="0.25">
      <c r="A1398" s="333" t="s">
        <v>750</v>
      </c>
      <c r="B1398" s="334">
        <v>7090</v>
      </c>
      <c r="C1398" s="164"/>
      <c r="D1398" s="333" t="s">
        <v>750</v>
      </c>
      <c r="E1398" s="334">
        <v>7090</v>
      </c>
      <c r="F1398" s="164"/>
      <c r="G1398" s="333" t="s">
        <v>750</v>
      </c>
      <c r="H1398" s="334">
        <v>7090</v>
      </c>
      <c r="I1398" s="164"/>
      <c r="J1398" s="333" t="s">
        <v>750</v>
      </c>
      <c r="K1398" s="334">
        <v>7090</v>
      </c>
      <c r="L1398" s="164"/>
      <c r="M1398" s="358" t="str">
        <f t="shared" si="153"/>
        <v>P12</v>
      </c>
      <c r="N1398" s="239">
        <f t="shared" si="154"/>
        <v>7090</v>
      </c>
      <c r="O1398" s="243"/>
      <c r="P1398" s="243">
        <f>MATCH(Q1398,Q1399:Q$1550,0)</f>
        <v>2</v>
      </c>
      <c r="Q1398" s="243" t="s">
        <v>697</v>
      </c>
      <c r="R1398" s="359" t="str">
        <f>IF(Q1398="ekrk",INDEX(indexy_SDcast!$A:$C,MATCH($M1398,indexy_SDcast!$A:$A,0),2),"")</f>
        <v/>
      </c>
      <c r="S1398" s="240"/>
      <c r="T1398" s="363" t="str">
        <f t="shared" si="151"/>
        <v>P12</v>
      </c>
      <c r="U1398" s="244">
        <f>SUM(U1399:U1399)</f>
        <v>7090</v>
      </c>
      <c r="V1398" s="244">
        <f>SUM(V1399:V1399)</f>
        <v>7090</v>
      </c>
      <c r="W1398" s="244">
        <f>SUM(W1399:W1399)</f>
        <v>7090</v>
      </c>
      <c r="X1398" s="244">
        <f>SUM(X1399:X1399)</f>
        <v>7090</v>
      </c>
      <c r="Y1398" s="359">
        <f>SUM(Y1399:Y1399)</f>
        <v>7090</v>
      </c>
      <c r="Z1398" s="58"/>
      <c r="AA1398" s="58"/>
      <c r="AB1398" s="58"/>
      <c r="AC1398" s="58"/>
      <c r="AD1398" s="58"/>
      <c r="AE1398" s="58"/>
      <c r="AF1398" s="58"/>
      <c r="AG1398" s="58"/>
      <c r="AH1398" s="58"/>
      <c r="AI1398" s="58"/>
      <c r="AJ1398" s="58"/>
      <c r="AK1398" s="58"/>
      <c r="AL1398" s="58"/>
      <c r="AM1398" s="58"/>
      <c r="AN1398" s="58"/>
      <c r="AO1398" s="58"/>
      <c r="AP1398" s="58"/>
      <c r="AQ1398" s="58"/>
      <c r="AR1398" s="58"/>
    </row>
    <row r="1399" spans="1:44" x14ac:dyDescent="0.25">
      <c r="A1399" s="330" t="s">
        <v>751</v>
      </c>
      <c r="B1399" s="329">
        <v>7090</v>
      </c>
      <c r="C1399" s="157"/>
      <c r="D1399" s="348">
        <v>292000</v>
      </c>
      <c r="E1399" s="329">
        <v>7090</v>
      </c>
      <c r="F1399" s="157"/>
      <c r="G1399" s="330">
        <v>292000</v>
      </c>
      <c r="H1399" s="329">
        <v>7090</v>
      </c>
      <c r="I1399" s="157"/>
      <c r="J1399" s="330">
        <v>292000</v>
      </c>
      <c r="K1399" s="329">
        <v>7090</v>
      </c>
      <c r="L1399" s="157"/>
      <c r="M1399" s="360">
        <f t="shared" si="153"/>
        <v>292000</v>
      </c>
      <c r="N1399" s="237">
        <f t="shared" si="154"/>
        <v>7090</v>
      </c>
      <c r="O1399" s="361"/>
      <c r="P1399" s="361"/>
      <c r="Q1399" s="361" t="s">
        <v>698</v>
      </c>
      <c r="R1399" s="362">
        <f>IF(Q1399="ekrk",INDEX(indexy_SDcast!$A:$C,MATCH($M1399,indexy_SDcast!$A:$A,0),2),"")</f>
        <v>22</v>
      </c>
      <c r="S1399" s="236"/>
      <c r="T1399" s="364">
        <f t="shared" si="151"/>
        <v>292000</v>
      </c>
      <c r="U1399" s="365">
        <f>N1399</f>
        <v>7090</v>
      </c>
      <c r="V1399" s="365">
        <f>IF($Q1399="ekrk",IF($R1399="data",IFERROR(INDEX(data!$A:$ALL,MATCH($M1399,data!$A:$A,0),MATCH(V$2,data!$1:$1,0)),"#data"),IFERROR(U1399*INDEX(indexy_SDcast!$A:$ALI,MATCH($R1399,indexy_SDcast!$K:$K,0),MATCH(V$2,indexy_SDcast!$2:$2,0)),"#ekrk")),"#popis")</f>
        <v>7090</v>
      </c>
      <c r="W1399" s="365">
        <f>IF($Q1399="ekrk",IF($R1399="data",IFERROR(INDEX(data!$A:$ALL,MATCH($M1399,data!$A:$A,0),MATCH(W$2,data!$1:$1,0)),"#data"),IFERROR(V1399*INDEX(indexy_SDcast!$A:$ALI,MATCH($R1399,indexy_SDcast!$K:$K,0),MATCH(W$2,indexy_SDcast!$2:$2,0)),"#ekrk")),"#popis")</f>
        <v>7090</v>
      </c>
      <c r="X1399" s="365">
        <f>IF($Q1399="ekrk",IF($R1399="data",IFERROR(INDEX(data!$A:$ALL,MATCH($M1399,data!$A:$A,0),MATCH(X$2,data!$1:$1,0)),"#data"),IFERROR(W1399*INDEX(indexy_SDcast!$A:$ALI,MATCH($R1399,indexy_SDcast!$K:$K,0),MATCH(X$2,indexy_SDcast!$2:$2,0)),"#ekrk")),"#popis")</f>
        <v>7090</v>
      </c>
      <c r="Y1399" s="362">
        <f>IF($Q1399="ekrk",IF($R1399="data",IFERROR(INDEX(data!$A:$ALL,MATCH($M1399,data!$A:$A,0),MATCH(Y$2,data!$1:$1,0)),"#data"),IFERROR(X1399*INDEX(indexy_SDcast!$A:$ALI,MATCH($R1399,indexy_SDcast!$K:$K,0),MATCH(Y$2,indexy_SDcast!$2:$2,0)),"#ekrk")),"#popis")</f>
        <v>7090</v>
      </c>
    </row>
    <row r="1400" spans="1:44" s="18" customFormat="1" x14ac:dyDescent="0.25">
      <c r="A1400" s="333" t="s">
        <v>752</v>
      </c>
      <c r="B1400" s="334">
        <v>27527.275889999994</v>
      </c>
      <c r="C1400" s="164"/>
      <c r="D1400" s="333" t="s">
        <v>752</v>
      </c>
      <c r="E1400" s="334">
        <v>27527.275889999994</v>
      </c>
      <c r="F1400" s="164"/>
      <c r="G1400" s="333" t="s">
        <v>752</v>
      </c>
      <c r="H1400" s="334">
        <v>27527.275889999994</v>
      </c>
      <c r="I1400" s="164"/>
      <c r="J1400" s="333" t="s">
        <v>752</v>
      </c>
      <c r="K1400" s="334">
        <v>27527.275889999994</v>
      </c>
      <c r="L1400" s="164"/>
      <c r="M1400" s="358" t="str">
        <f t="shared" si="153"/>
        <v>P131</v>
      </c>
      <c r="N1400" s="239">
        <f t="shared" si="154"/>
        <v>27527.275889999994</v>
      </c>
      <c r="O1400" s="243"/>
      <c r="P1400" s="243">
        <f>MATCH(Q1400,Q1401:Q$1550,0)</f>
        <v>2</v>
      </c>
      <c r="Q1400" s="243" t="s">
        <v>697</v>
      </c>
      <c r="R1400" s="359" t="str">
        <f>IF(Q1400="ekrk",INDEX(indexy_SDcast!$A:$C,MATCH($M1400,indexy_SDcast!$A:$A,0),2),"")</f>
        <v/>
      </c>
      <c r="S1400" s="240"/>
      <c r="T1400" s="363" t="str">
        <f t="shared" si="151"/>
        <v>P131</v>
      </c>
      <c r="U1400" s="244">
        <f>SUM(U1401:U1401)</f>
        <v>27527.275889999994</v>
      </c>
      <c r="V1400" s="244">
        <f>SUM(V1401:V1401)</f>
        <v>27735.037853445167</v>
      </c>
      <c r="W1400" s="244">
        <f>SUM(W1401:W1401)</f>
        <v>28310.529637872543</v>
      </c>
      <c r="X1400" s="244">
        <f>SUM(X1401:X1401)</f>
        <v>28954.526561759558</v>
      </c>
      <c r="Y1400" s="359">
        <f>SUM(Y1401:Y1401)</f>
        <v>29636.502719055501</v>
      </c>
      <c r="Z1400" s="58"/>
      <c r="AA1400" s="58"/>
      <c r="AB1400" s="58"/>
      <c r="AC1400" s="58"/>
      <c r="AD1400" s="58"/>
      <c r="AE1400" s="58"/>
      <c r="AF1400" s="58"/>
      <c r="AG1400" s="58"/>
      <c r="AH1400" s="58"/>
      <c r="AI1400" s="58"/>
      <c r="AJ1400" s="58"/>
      <c r="AK1400" s="58"/>
      <c r="AL1400" s="58"/>
      <c r="AM1400" s="58"/>
      <c r="AN1400" s="58"/>
      <c r="AO1400" s="58"/>
      <c r="AP1400" s="58"/>
      <c r="AQ1400" s="58"/>
      <c r="AR1400" s="58"/>
    </row>
    <row r="1401" spans="1:44" x14ac:dyDescent="0.25">
      <c r="A1401" s="330">
        <v>223002</v>
      </c>
      <c r="B1401" s="329">
        <v>27527.275889999994</v>
      </c>
      <c r="C1401" s="157"/>
      <c r="D1401" s="330">
        <v>223002</v>
      </c>
      <c r="E1401" s="329">
        <v>27527.275889999994</v>
      </c>
      <c r="F1401" s="157"/>
      <c r="G1401" s="330">
        <v>223002</v>
      </c>
      <c r="H1401" s="329">
        <v>27527.275889999994</v>
      </c>
      <c r="I1401" s="157"/>
      <c r="J1401" s="330">
        <v>223002</v>
      </c>
      <c r="K1401" s="329">
        <v>27527.275889999994</v>
      </c>
      <c r="L1401" s="157"/>
      <c r="M1401" s="360">
        <f t="shared" si="153"/>
        <v>223002</v>
      </c>
      <c r="N1401" s="237">
        <f t="shared" si="154"/>
        <v>27527.275889999994</v>
      </c>
      <c r="O1401" s="361"/>
      <c r="P1401" s="361"/>
      <c r="Q1401" s="361" t="s">
        <v>698</v>
      </c>
      <c r="R1401" s="362">
        <f>IF(Q1401="ekrk",INDEX(indexy_SDcast!$A:$C,MATCH($M1401,indexy_SDcast!$A:$A,0),2),"")</f>
        <v>25</v>
      </c>
      <c r="S1401" s="236"/>
      <c r="T1401" s="364">
        <f t="shared" si="151"/>
        <v>223002</v>
      </c>
      <c r="U1401" s="365">
        <f>N1401</f>
        <v>27527.275889999994</v>
      </c>
      <c r="V1401" s="365">
        <f>IF($Q1401="ekrk",IF($R1401="data",IFERROR(INDEX(data!$A:$ALL,MATCH($M1401,data!$A:$A,0),MATCH(V$2,data!$1:$1,0)),"#data"),IFERROR(U1401*INDEX(indexy_SDcast!$A:$ALI,MATCH($R1401,indexy_SDcast!$K:$K,0),MATCH(V$2,indexy_SDcast!$2:$2,0)),"#ekrk")),"#popis")</f>
        <v>27735.037853445167</v>
      </c>
      <c r="W1401" s="365">
        <f>IF($Q1401="ekrk",IF($R1401="data",IFERROR(INDEX(data!$A:$ALL,MATCH($M1401,data!$A:$A,0),MATCH(W$2,data!$1:$1,0)),"#data"),IFERROR(V1401*INDEX(indexy_SDcast!$A:$ALI,MATCH($R1401,indexy_SDcast!$K:$K,0),MATCH(W$2,indexy_SDcast!$2:$2,0)),"#ekrk")),"#popis")</f>
        <v>28310.529637872543</v>
      </c>
      <c r="X1401" s="365">
        <f>IF($Q1401="ekrk",IF($R1401="data",IFERROR(INDEX(data!$A:$ALL,MATCH($M1401,data!$A:$A,0),MATCH(X$2,data!$1:$1,0)),"#data"),IFERROR(W1401*INDEX(indexy_SDcast!$A:$ALI,MATCH($R1401,indexy_SDcast!$K:$K,0),MATCH(X$2,indexy_SDcast!$2:$2,0)),"#ekrk")),"#popis")</f>
        <v>28954.526561759558</v>
      </c>
      <c r="Y1401" s="362">
        <f>IF($Q1401="ekrk",IF($R1401="data",IFERROR(INDEX(data!$A:$ALL,MATCH($M1401,data!$A:$A,0),MATCH(Y$2,data!$1:$1,0)),"#data"),IFERROR(X1401*INDEX(indexy_SDcast!$A:$ALI,MATCH($R1401,indexy_SDcast!$K:$K,0),MATCH(Y$2,indexy_SDcast!$2:$2,0)),"#ekrk")),"#popis")</f>
        <v>29636.502719055501</v>
      </c>
    </row>
    <row r="1402" spans="1:44" s="18" customFormat="1" x14ac:dyDescent="0.25">
      <c r="A1402" s="333" t="s">
        <v>753</v>
      </c>
      <c r="B1402" s="334">
        <v>-2524713.4762734226</v>
      </c>
      <c r="C1402" s="164"/>
      <c r="D1402" s="333" t="s">
        <v>753</v>
      </c>
      <c r="E1402" s="334">
        <v>-2524713.4762734226</v>
      </c>
      <c r="F1402" s="164"/>
      <c r="G1402" s="333" t="s">
        <v>753</v>
      </c>
      <c r="H1402" s="334">
        <v>-2524713.4762734226</v>
      </c>
      <c r="I1402" s="164"/>
      <c r="J1402" s="333" t="s">
        <v>753</v>
      </c>
      <c r="K1402" s="334">
        <v>-2524713.4762734226</v>
      </c>
      <c r="L1402" s="164"/>
      <c r="M1402" s="358" t="str">
        <f t="shared" si="153"/>
        <v>P2</v>
      </c>
      <c r="N1402" s="239">
        <f t="shared" si="154"/>
        <v>-2524713.4762734226</v>
      </c>
      <c r="O1402" s="243"/>
      <c r="P1402" s="243">
        <f>MATCH(Q1402,Q1403:Q$1550,0)</f>
        <v>95</v>
      </c>
      <c r="Q1402" s="243" t="s">
        <v>697</v>
      </c>
      <c r="R1402" s="359" t="str">
        <f>IF(Q1402="ekrk",INDEX(indexy_SDcast!$A:$C,MATCH($M1402,indexy_SDcast!$A:$A,0),2),"")</f>
        <v/>
      </c>
      <c r="S1402" s="240"/>
      <c r="T1402" s="363" t="str">
        <f t="shared" si="151"/>
        <v>P2</v>
      </c>
      <c r="U1402" s="244">
        <f>SUM(U1403:U1496)</f>
        <v>-2524713.4762734231</v>
      </c>
      <c r="V1402" s="244">
        <f>SUM(V1403:V1496)</f>
        <v>-2528724.1020224728</v>
      </c>
      <c r="W1402" s="244">
        <f>SUM(W1403:W1496)</f>
        <v>-2574586.244335643</v>
      </c>
      <c r="X1402" s="244">
        <f>SUM(X1403:X1496)</f>
        <v>-2625952.4599001929</v>
      </c>
      <c r="Y1402" s="359">
        <f>SUM(Y1403:Y1496)</f>
        <v>-2680498.5993987541</v>
      </c>
      <c r="Z1402" s="58"/>
      <c r="AA1402" s="58"/>
      <c r="AB1402" s="58"/>
      <c r="AC1402" s="58"/>
      <c r="AD1402" s="58"/>
      <c r="AE1402" s="58"/>
      <c r="AF1402" s="58"/>
      <c r="AG1402" s="58"/>
      <c r="AH1402" s="58"/>
      <c r="AI1402" s="58"/>
      <c r="AJ1402" s="58"/>
      <c r="AK1402" s="58"/>
      <c r="AL1402" s="58"/>
      <c r="AM1402" s="58"/>
      <c r="AN1402" s="58"/>
      <c r="AO1402" s="58"/>
      <c r="AP1402" s="58"/>
      <c r="AQ1402" s="58"/>
      <c r="AR1402" s="58"/>
    </row>
    <row r="1403" spans="1:44" x14ac:dyDescent="0.25">
      <c r="A1403" s="330">
        <v>631000</v>
      </c>
      <c r="B1403" s="329">
        <v>-20.254580000000001</v>
      </c>
      <c r="C1403" s="157"/>
      <c r="D1403" s="330">
        <v>631000</v>
      </c>
      <c r="E1403" s="329">
        <v>-20.254580000000001</v>
      </c>
      <c r="F1403" s="157"/>
      <c r="G1403" s="330">
        <v>631000</v>
      </c>
      <c r="H1403" s="329">
        <v>-20.254580000000001</v>
      </c>
      <c r="I1403" s="157"/>
      <c r="J1403" s="330">
        <v>631000</v>
      </c>
      <c r="K1403" s="329">
        <v>-20.254580000000001</v>
      </c>
      <c r="L1403" s="157"/>
      <c r="M1403" s="360">
        <f t="shared" si="153"/>
        <v>631000</v>
      </c>
      <c r="N1403" s="237">
        <f t="shared" si="154"/>
        <v>-20.254580000000001</v>
      </c>
      <c r="O1403" s="361"/>
      <c r="P1403" s="361"/>
      <c r="Q1403" s="361" t="s">
        <v>698</v>
      </c>
      <c r="R1403" s="362">
        <f>IF(Q1403="ekrk",INDEX(indexy_SDcast!$A:$C,MATCH($M1403,indexy_SDcast!$A:$A,0),2),"")</f>
        <v>25</v>
      </c>
      <c r="S1403" s="236"/>
      <c r="T1403" s="364">
        <f t="shared" si="151"/>
        <v>631000</v>
      </c>
      <c r="U1403" s="365">
        <f t="shared" ref="U1403:U1434" si="155">N1403</f>
        <v>-20.254580000000001</v>
      </c>
      <c r="V1403" s="365">
        <f>IF($Q1403="ekrk",IF($R1403="data",IFERROR(INDEX(data!$A:$ALL,MATCH($M1403,data!$A:$A,0),MATCH(V$2,data!$1:$1,0)),"#data"),IFERROR(U1403*INDEX(indexy_SDcast!$A:$ALI,MATCH($R1403,indexy_SDcast!$K:$K,0),MATCH(V$2,indexy_SDcast!$2:$2,0)),"#ekrk")),"#popis")</f>
        <v>-20.407451331197944</v>
      </c>
      <c r="W1403" s="365">
        <f>IF($Q1403="ekrk",IF($R1403="data",IFERROR(INDEX(data!$A:$ALL,MATCH($M1403,data!$A:$A,0),MATCH(W$2,data!$1:$1,0)),"#data"),IFERROR(V1403*INDEX(indexy_SDcast!$A:$ALI,MATCH($R1403,indexy_SDcast!$K:$K,0),MATCH(W$2,indexy_SDcast!$2:$2,0)),"#ekrk")),"#popis")</f>
        <v>-20.830898403607371</v>
      </c>
      <c r="X1403" s="365">
        <f>IF($Q1403="ekrk",IF($R1403="data",IFERROR(INDEX(data!$A:$ALL,MATCH($M1403,data!$A:$A,0),MATCH(X$2,data!$1:$1,0)),"#data"),IFERROR(W1403*INDEX(indexy_SDcast!$A:$ALI,MATCH($R1403,indexy_SDcast!$K:$K,0),MATCH(X$2,indexy_SDcast!$2:$2,0)),"#ekrk")),"#popis")</f>
        <v>-21.304751583513269</v>
      </c>
      <c r="Y1403" s="362">
        <f>IF($Q1403="ekrk",IF($R1403="data",IFERROR(INDEX(data!$A:$ALL,MATCH($M1403,data!$A:$A,0),MATCH(Y$2,data!$1:$1,0)),"#data"),IFERROR(X1403*INDEX(indexy_SDcast!$A:$ALI,MATCH($R1403,indexy_SDcast!$K:$K,0),MATCH(Y$2,indexy_SDcast!$2:$2,0)),"#ekrk")),"#popis")</f>
        <v>-21.806549897710472</v>
      </c>
    </row>
    <row r="1404" spans="1:44" x14ac:dyDescent="0.25">
      <c r="A1404" s="330">
        <v>631001</v>
      </c>
      <c r="B1404" s="329">
        <v>-9139.8226200000026</v>
      </c>
      <c r="C1404" s="157"/>
      <c r="D1404" s="330">
        <v>631001</v>
      </c>
      <c r="E1404" s="329">
        <v>-9139.8226200000026</v>
      </c>
      <c r="F1404" s="157"/>
      <c r="G1404" s="330">
        <v>631001</v>
      </c>
      <c r="H1404" s="329">
        <v>-9139.8226200000026</v>
      </c>
      <c r="I1404" s="157"/>
      <c r="J1404" s="330">
        <v>631001</v>
      </c>
      <c r="K1404" s="329">
        <v>-9139.8226200000026</v>
      </c>
      <c r="L1404" s="157"/>
      <c r="M1404" s="360">
        <f t="shared" si="153"/>
        <v>631001</v>
      </c>
      <c r="N1404" s="237">
        <f t="shared" si="154"/>
        <v>-9139.8226200000026</v>
      </c>
      <c r="O1404" s="361"/>
      <c r="P1404" s="361"/>
      <c r="Q1404" s="361" t="s">
        <v>698</v>
      </c>
      <c r="R1404" s="362">
        <f>IF(Q1404="ekrk",INDEX(indexy_SDcast!$A:$C,MATCH($M1404,indexy_SDcast!$A:$A,0),2),"")</f>
        <v>25</v>
      </c>
      <c r="S1404" s="236"/>
      <c r="T1404" s="364">
        <f t="shared" si="151"/>
        <v>631001</v>
      </c>
      <c r="U1404" s="365">
        <f t="shared" si="155"/>
        <v>-9139.8226200000026</v>
      </c>
      <c r="V1404" s="365">
        <f>IF($Q1404="ekrk",IF($R1404="data",IFERROR(INDEX(data!$A:$ALL,MATCH($M1404,data!$A:$A,0),MATCH(V$2,data!$1:$1,0)),"#data"),IFERROR(U1404*INDEX(indexy_SDcast!$A:$ALI,MATCH($R1404,indexy_SDcast!$K:$K,0),MATCH(V$2,indexy_SDcast!$2:$2,0)),"#ekrk")),"#popis")</f>
        <v>-9208.8053809771482</v>
      </c>
      <c r="W1404" s="365">
        <f>IF($Q1404="ekrk",IF($R1404="data",IFERROR(INDEX(data!$A:$ALL,MATCH($M1404,data!$A:$A,0),MATCH(W$2,data!$1:$1,0)),"#data"),IFERROR(V1404*INDEX(indexy_SDcast!$A:$ALI,MATCH($R1404,indexy_SDcast!$K:$K,0),MATCH(W$2,indexy_SDcast!$2:$2,0)),"#ekrk")),"#popis")</f>
        <v>-9399.8846890042933</v>
      </c>
      <c r="X1404" s="365">
        <f>IF($Q1404="ekrk",IF($R1404="data",IFERROR(INDEX(data!$A:$ALL,MATCH($M1404,data!$A:$A,0),MATCH(X$2,data!$1:$1,0)),"#data"),IFERROR(W1404*INDEX(indexy_SDcast!$A:$ALI,MATCH($R1404,indexy_SDcast!$K:$K,0),MATCH(X$2,indexy_SDcast!$2:$2,0)),"#ekrk")),"#popis")</f>
        <v>-9613.7096121704544</v>
      </c>
      <c r="Y1404" s="362">
        <f>IF($Q1404="ekrk",IF($R1404="data",IFERROR(INDEX(data!$A:$ALL,MATCH($M1404,data!$A:$A,0),MATCH(Y$2,data!$1:$1,0)),"#data"),IFERROR(X1404*INDEX(indexy_SDcast!$A:$ALI,MATCH($R1404,indexy_SDcast!$K:$K,0),MATCH(Y$2,indexy_SDcast!$2:$2,0)),"#ekrk")),"#popis")</f>
        <v>-9840.144699087954</v>
      </c>
    </row>
    <row r="1405" spans="1:44" x14ac:dyDescent="0.25">
      <c r="A1405" s="330">
        <v>631002</v>
      </c>
      <c r="B1405" s="329">
        <v>-16803.251469999996</v>
      </c>
      <c r="C1405" s="157"/>
      <c r="D1405" s="330">
        <v>631002</v>
      </c>
      <c r="E1405" s="329">
        <v>-16803.251469999996</v>
      </c>
      <c r="F1405" s="157"/>
      <c r="G1405" s="330">
        <v>631002</v>
      </c>
      <c r="H1405" s="329">
        <v>-16803.251469999996</v>
      </c>
      <c r="I1405" s="157"/>
      <c r="J1405" s="330">
        <v>631002</v>
      </c>
      <c r="K1405" s="329">
        <v>-16803.251469999996</v>
      </c>
      <c r="L1405" s="157"/>
      <c r="M1405" s="360">
        <f t="shared" si="153"/>
        <v>631002</v>
      </c>
      <c r="N1405" s="237">
        <f t="shared" si="154"/>
        <v>-16803.251469999996</v>
      </c>
      <c r="O1405" s="361"/>
      <c r="P1405" s="361"/>
      <c r="Q1405" s="361" t="s">
        <v>698</v>
      </c>
      <c r="R1405" s="362">
        <f>IF(Q1405="ekrk",INDEX(indexy_SDcast!$A:$C,MATCH($M1405,indexy_SDcast!$A:$A,0),2),"")</f>
        <v>25</v>
      </c>
      <c r="S1405" s="236"/>
      <c r="T1405" s="364">
        <f t="shared" si="151"/>
        <v>631002</v>
      </c>
      <c r="U1405" s="365">
        <f t="shared" si="155"/>
        <v>-16803.251469999996</v>
      </c>
      <c r="V1405" s="365">
        <f>IF($Q1405="ekrk",IF($R1405="data",IFERROR(INDEX(data!$A:$ALL,MATCH($M1405,data!$A:$A,0),MATCH(V$2,data!$1:$1,0)),"#data"),IFERROR(U1405*INDEX(indexy_SDcast!$A:$ALI,MATCH($R1405,indexy_SDcast!$K:$K,0),MATCH(V$2,indexy_SDcast!$2:$2,0)),"#ekrk")),"#popis")</f>
        <v>-16930.073918091868</v>
      </c>
      <c r="W1405" s="365">
        <f>IF($Q1405="ekrk",IF($R1405="data",IFERROR(INDEX(data!$A:$ALL,MATCH($M1405,data!$A:$A,0),MATCH(W$2,data!$1:$1,0)),"#data"),IFERROR(V1405*INDEX(indexy_SDcast!$A:$ALI,MATCH($R1405,indexy_SDcast!$K:$K,0),MATCH(W$2,indexy_SDcast!$2:$2,0)),"#ekrk")),"#popis")</f>
        <v>-17281.3666944383</v>
      </c>
      <c r="X1405" s="365">
        <f>IF($Q1405="ekrk",IF($R1405="data",IFERROR(INDEX(data!$A:$ALL,MATCH($M1405,data!$A:$A,0),MATCH(X$2,data!$1:$1,0)),"#data"),IFERROR(W1405*INDEX(indexy_SDcast!$A:$ALI,MATCH($R1405,indexy_SDcast!$K:$K,0),MATCH(X$2,indexy_SDcast!$2:$2,0)),"#ekrk")),"#popis")</f>
        <v>-17674.476506728555</v>
      </c>
      <c r="Y1405" s="362">
        <f>IF($Q1405="ekrk",IF($R1405="data",IFERROR(INDEX(data!$A:$ALL,MATCH($M1405,data!$A:$A,0),MATCH(Y$2,data!$1:$1,0)),"#data"),IFERROR(X1405*INDEX(indexy_SDcast!$A:$ALI,MATCH($R1405,indexy_SDcast!$K:$K,0),MATCH(Y$2,indexy_SDcast!$2:$2,0)),"#ekrk")),"#popis")</f>
        <v>-18090.769674035782</v>
      </c>
    </row>
    <row r="1406" spans="1:44" x14ac:dyDescent="0.25">
      <c r="A1406" s="330">
        <v>631003</v>
      </c>
      <c r="B1406" s="329">
        <v>-1762.8755100000003</v>
      </c>
      <c r="C1406" s="157"/>
      <c r="D1406" s="330">
        <v>631003</v>
      </c>
      <c r="E1406" s="329">
        <v>-1762.8755100000003</v>
      </c>
      <c r="F1406" s="157"/>
      <c r="G1406" s="330">
        <v>631003</v>
      </c>
      <c r="H1406" s="329">
        <v>-1762.8755100000003</v>
      </c>
      <c r="I1406" s="157"/>
      <c r="J1406" s="330">
        <v>631003</v>
      </c>
      <c r="K1406" s="329">
        <v>-1762.8755100000003</v>
      </c>
      <c r="L1406" s="157"/>
      <c r="M1406" s="360">
        <f t="shared" si="153"/>
        <v>631003</v>
      </c>
      <c r="N1406" s="237">
        <f t="shared" si="154"/>
        <v>-1762.8755100000003</v>
      </c>
      <c r="O1406" s="361"/>
      <c r="P1406" s="361"/>
      <c r="Q1406" s="361" t="s">
        <v>698</v>
      </c>
      <c r="R1406" s="362">
        <f>IF(Q1406="ekrk",INDEX(indexy_SDcast!$A:$C,MATCH($M1406,indexy_SDcast!$A:$A,0),2),"")</f>
        <v>25</v>
      </c>
      <c r="S1406" s="236"/>
      <c r="T1406" s="364">
        <f t="shared" si="151"/>
        <v>631003</v>
      </c>
      <c r="U1406" s="365">
        <f t="shared" si="155"/>
        <v>-1762.8755100000003</v>
      </c>
      <c r="V1406" s="365">
        <f>IF($Q1406="ekrk",IF($R1406="data",IFERROR(INDEX(data!$A:$ALL,MATCH($M1406,data!$A:$A,0),MATCH(V$2,data!$1:$1,0)),"#data"),IFERROR(U1406*INDEX(indexy_SDcast!$A:$ALI,MATCH($R1406,indexy_SDcast!$K:$K,0),MATCH(V$2,indexy_SDcast!$2:$2,0)),"#ekrk")),"#popis")</f>
        <v>-1776.1808032200993</v>
      </c>
      <c r="W1406" s="365">
        <f>IF($Q1406="ekrk",IF($R1406="data",IFERROR(INDEX(data!$A:$ALL,MATCH($M1406,data!$A:$A,0),MATCH(W$2,data!$1:$1,0)),"#data"),IFERROR(V1406*INDEX(indexy_SDcast!$A:$ALI,MATCH($R1406,indexy_SDcast!$K:$K,0),MATCH(W$2,indexy_SDcast!$2:$2,0)),"#ekrk")),"#popis")</f>
        <v>-1813.0358984001411</v>
      </c>
      <c r="X1406" s="365">
        <f>IF($Q1406="ekrk",IF($R1406="data",IFERROR(INDEX(data!$A:$ALL,MATCH($M1406,data!$A:$A,0),MATCH(X$2,data!$1:$1,0)),"#data"),IFERROR(W1406*INDEX(indexy_SDcast!$A:$ALI,MATCH($R1406,indexy_SDcast!$K:$K,0),MATCH(X$2,indexy_SDcast!$2:$2,0)),"#ekrk")),"#popis")</f>
        <v>-1854.2781342890971</v>
      </c>
      <c r="Y1406" s="362">
        <f>IF($Q1406="ekrk",IF($R1406="data",IFERROR(INDEX(data!$A:$ALL,MATCH($M1406,data!$A:$A,0),MATCH(Y$2,data!$1:$1,0)),"#data"),IFERROR(X1406*INDEX(indexy_SDcast!$A:$ALI,MATCH($R1406,indexy_SDcast!$K:$K,0),MATCH(Y$2,indexy_SDcast!$2:$2,0)),"#ekrk")),"#popis")</f>
        <v>-1897.9525999683426</v>
      </c>
    </row>
    <row r="1407" spans="1:44" x14ac:dyDescent="0.25">
      <c r="A1407" s="330">
        <v>631004</v>
      </c>
      <c r="B1407" s="329">
        <v>-11.906839999999997</v>
      </c>
      <c r="C1407" s="157"/>
      <c r="D1407" s="330">
        <v>631004</v>
      </c>
      <c r="E1407" s="329">
        <v>-11.906839999999997</v>
      </c>
      <c r="F1407" s="157"/>
      <c r="G1407" s="330">
        <v>631004</v>
      </c>
      <c r="H1407" s="329">
        <v>-11.906839999999997</v>
      </c>
      <c r="I1407" s="157"/>
      <c r="J1407" s="330">
        <v>631004</v>
      </c>
      <c r="K1407" s="329">
        <v>-11.906839999999997</v>
      </c>
      <c r="L1407" s="157"/>
      <c r="M1407" s="360">
        <f t="shared" si="153"/>
        <v>631004</v>
      </c>
      <c r="N1407" s="237">
        <f t="shared" si="154"/>
        <v>-11.906839999999997</v>
      </c>
      <c r="O1407" s="361"/>
      <c r="P1407" s="361"/>
      <c r="Q1407" s="361" t="s">
        <v>698</v>
      </c>
      <c r="R1407" s="362">
        <f>IF(Q1407="ekrk",INDEX(indexy_SDcast!$A:$C,MATCH($M1407,indexy_SDcast!$A:$A,0),2),"")</f>
        <v>25</v>
      </c>
      <c r="S1407" s="236"/>
      <c r="T1407" s="364">
        <f t="shared" si="151"/>
        <v>631004</v>
      </c>
      <c r="U1407" s="365">
        <f t="shared" si="155"/>
        <v>-11.906839999999997</v>
      </c>
      <c r="V1407" s="365">
        <f>IF($Q1407="ekrk",IF($R1407="data",IFERROR(INDEX(data!$A:$ALL,MATCH($M1407,data!$A:$A,0),MATCH(V$2,data!$1:$1,0)),"#data"),IFERROR(U1407*INDEX(indexy_SDcast!$A:$ALI,MATCH($R1407,indexy_SDcast!$K:$K,0),MATCH(V$2,indexy_SDcast!$2:$2,0)),"#ekrk")),"#popis")</f>
        <v>-11.996706809440672</v>
      </c>
      <c r="W1407" s="365">
        <f>IF($Q1407="ekrk",IF($R1407="data",IFERROR(INDEX(data!$A:$ALL,MATCH($M1407,data!$A:$A,0),MATCH(W$2,data!$1:$1,0)),"#data"),IFERROR(V1407*INDEX(indexy_SDcast!$A:$ALI,MATCH($R1407,indexy_SDcast!$K:$K,0),MATCH(W$2,indexy_SDcast!$2:$2,0)),"#ekrk")),"#popis")</f>
        <v>-12.245634041683822</v>
      </c>
      <c r="X1407" s="365">
        <f>IF($Q1407="ekrk",IF($R1407="data",IFERROR(INDEX(data!$A:$ALL,MATCH($M1407,data!$A:$A,0),MATCH(X$2,data!$1:$1,0)),"#data"),IFERROR(W1407*INDEX(indexy_SDcast!$A:$ALI,MATCH($R1407,indexy_SDcast!$K:$K,0),MATCH(X$2,indexy_SDcast!$2:$2,0)),"#ekrk")),"#popis")</f>
        <v>-12.524192964980713</v>
      </c>
      <c r="Y1407" s="362">
        <f>IF($Q1407="ekrk",IF($R1407="data",IFERROR(INDEX(data!$A:$ALL,MATCH($M1407,data!$A:$A,0),MATCH(Y$2,data!$1:$1,0)),"#data"),IFERROR(X1407*INDEX(indexy_SDcast!$A:$ALI,MATCH($R1407,indexy_SDcast!$K:$K,0),MATCH(Y$2,indexy_SDcast!$2:$2,0)),"#ekrk")),"#popis")</f>
        <v>-12.819179690917061</v>
      </c>
    </row>
    <row r="1408" spans="1:44" x14ac:dyDescent="0.25">
      <c r="A1408" s="330">
        <v>632000</v>
      </c>
      <c r="B1408" s="329">
        <v>-1073.2664500000001</v>
      </c>
      <c r="C1408" s="157"/>
      <c r="D1408" s="330">
        <v>632000</v>
      </c>
      <c r="E1408" s="329">
        <v>-1073.2664500000001</v>
      </c>
      <c r="F1408" s="157"/>
      <c r="G1408" s="330">
        <v>632000</v>
      </c>
      <c r="H1408" s="329">
        <v>-1073.2664500000001</v>
      </c>
      <c r="I1408" s="157"/>
      <c r="J1408" s="330">
        <v>632000</v>
      </c>
      <c r="K1408" s="329">
        <v>-1073.2664500000001</v>
      </c>
      <c r="L1408" s="157"/>
      <c r="M1408" s="360">
        <f t="shared" si="153"/>
        <v>632000</v>
      </c>
      <c r="N1408" s="237">
        <f t="shared" si="154"/>
        <v>-1073.2664500000001</v>
      </c>
      <c r="O1408" s="361"/>
      <c r="P1408" s="361"/>
      <c r="Q1408" s="361" t="s">
        <v>698</v>
      </c>
      <c r="R1408" s="362">
        <f>IF(Q1408="ekrk",INDEX(indexy_SDcast!$A:$C,MATCH($M1408,indexy_SDcast!$A:$A,0),2),"")</f>
        <v>25</v>
      </c>
      <c r="S1408" s="236"/>
      <c r="T1408" s="364">
        <f t="shared" si="151"/>
        <v>632000</v>
      </c>
      <c r="U1408" s="365">
        <f t="shared" si="155"/>
        <v>-1073.2664500000001</v>
      </c>
      <c r="V1408" s="365">
        <f>IF($Q1408="ekrk",IF($R1408="data",IFERROR(INDEX(data!$A:$ALL,MATCH($M1408,data!$A:$A,0),MATCH(V$2,data!$1:$1,0)),"#data"),IFERROR(U1408*INDEX(indexy_SDcast!$A:$ALI,MATCH($R1408,indexy_SDcast!$K:$K,0),MATCH(V$2,indexy_SDcast!$2:$2,0)),"#ekrk")),"#popis")</f>
        <v>-1081.3669226309601</v>
      </c>
      <c r="W1408" s="365">
        <f>IF($Q1408="ekrk",IF($R1408="data",IFERROR(INDEX(data!$A:$ALL,MATCH($M1408,data!$A:$A,0),MATCH(W$2,data!$1:$1,0)),"#data"),IFERROR(V1408*INDEX(indexy_SDcast!$A:$ALI,MATCH($R1408,indexy_SDcast!$K:$K,0),MATCH(W$2,indexy_SDcast!$2:$2,0)),"#ekrk")),"#popis")</f>
        <v>-1103.8048865960366</v>
      </c>
      <c r="X1408" s="365">
        <f>IF($Q1408="ekrk",IF($R1408="data",IFERROR(INDEX(data!$A:$ALL,MATCH($M1408,data!$A:$A,0),MATCH(X$2,data!$1:$1,0)),"#data"),IFERROR(W1408*INDEX(indexy_SDcast!$A:$ALI,MATCH($R1408,indexy_SDcast!$K:$K,0),MATCH(X$2,indexy_SDcast!$2:$2,0)),"#ekrk")),"#popis")</f>
        <v>-1128.9138111068787</v>
      </c>
      <c r="Y1408" s="362">
        <f>IF($Q1408="ekrk",IF($R1408="data",IFERROR(INDEX(data!$A:$ALL,MATCH($M1408,data!$A:$A,0),MATCH(Y$2,data!$1:$1,0)),"#data"),IFERROR(X1408*INDEX(indexy_SDcast!$A:$ALI,MATCH($R1408,indexy_SDcast!$K:$K,0),MATCH(Y$2,indexy_SDcast!$2:$2,0)),"#ekrk")),"#popis")</f>
        <v>-1155.503515524073</v>
      </c>
    </row>
    <row r="1409" spans="1:25" x14ac:dyDescent="0.25">
      <c r="A1409" s="330">
        <v>632001</v>
      </c>
      <c r="B1409" s="329">
        <v>-226983.94705768023</v>
      </c>
      <c r="C1409" s="157"/>
      <c r="D1409" s="330">
        <v>632001</v>
      </c>
      <c r="E1409" s="329">
        <v>-226983.94705768023</v>
      </c>
      <c r="F1409" s="157"/>
      <c r="G1409" s="330">
        <v>632001</v>
      </c>
      <c r="H1409" s="329">
        <v>-226983.94705768023</v>
      </c>
      <c r="I1409" s="157"/>
      <c r="J1409" s="330">
        <v>632001</v>
      </c>
      <c r="K1409" s="329">
        <v>-226983.94705768023</v>
      </c>
      <c r="L1409" s="157"/>
      <c r="M1409" s="360">
        <f t="shared" si="153"/>
        <v>632001</v>
      </c>
      <c r="N1409" s="237">
        <f t="shared" si="154"/>
        <v>-226983.94705768023</v>
      </c>
      <c r="O1409" s="361"/>
      <c r="P1409" s="361"/>
      <c r="Q1409" s="361" t="s">
        <v>698</v>
      </c>
      <c r="R1409" s="362">
        <f>IF(Q1409="ekrk",INDEX(indexy_SDcast!$A:$C,MATCH($M1409,indexy_SDcast!$A:$A,0),2),"")</f>
        <v>25</v>
      </c>
      <c r="S1409" s="236"/>
      <c r="T1409" s="364">
        <f t="shared" si="151"/>
        <v>632001</v>
      </c>
      <c r="U1409" s="365">
        <f t="shared" si="155"/>
        <v>-226983.94705768023</v>
      </c>
      <c r="V1409" s="365">
        <f>IF($Q1409="ekrk",IF($R1409="data",IFERROR(INDEX(data!$A:$ALL,MATCH($M1409,data!$A:$A,0),MATCH(V$2,data!$1:$1,0)),"#data"),IFERROR(U1409*INDEX(indexy_SDcast!$A:$ALI,MATCH($R1409,indexy_SDcast!$K:$K,0),MATCH(V$2,indexy_SDcast!$2:$2,0)),"#ekrk")),"#popis")</f>
        <v>-228697.10715022575</v>
      </c>
      <c r="W1409" s="365">
        <f>IF($Q1409="ekrk",IF($R1409="data",IFERROR(INDEX(data!$A:$ALL,MATCH($M1409,data!$A:$A,0),MATCH(W$2,data!$1:$1,0)),"#data"),IFERROR(V1409*INDEX(indexy_SDcast!$A:$ALI,MATCH($R1409,indexy_SDcast!$K:$K,0),MATCH(W$2,indexy_SDcast!$2:$2,0)),"#ekrk")),"#popis")</f>
        <v>-233442.48759580948</v>
      </c>
      <c r="X1409" s="365">
        <f>IF($Q1409="ekrk",IF($R1409="data",IFERROR(INDEX(data!$A:$ALL,MATCH($M1409,data!$A:$A,0),MATCH(X$2,data!$1:$1,0)),"#data"),IFERROR(W1409*INDEX(indexy_SDcast!$A:$ALI,MATCH($R1409,indexy_SDcast!$K:$K,0),MATCH(X$2,indexy_SDcast!$2:$2,0)),"#ekrk")),"#popis")</f>
        <v>-238752.74656444145</v>
      </c>
      <c r="Y1409" s="362">
        <f>IF($Q1409="ekrk",IF($R1409="data",IFERROR(INDEX(data!$A:$ALL,MATCH($M1409,data!$A:$A,0),MATCH(Y$2,data!$1:$1,0)),"#data"),IFERROR(X1409*INDEX(indexy_SDcast!$A:$ALI,MATCH($R1409,indexy_SDcast!$K:$K,0),MATCH(Y$2,indexy_SDcast!$2:$2,0)),"#ekrk")),"#popis")</f>
        <v>-244376.17405508162</v>
      </c>
    </row>
    <row r="1410" spans="1:25" x14ac:dyDescent="0.25">
      <c r="A1410" s="330">
        <v>632002</v>
      </c>
      <c r="B1410" s="329">
        <v>-35502.790559582165</v>
      </c>
      <c r="C1410" s="157"/>
      <c r="D1410" s="330">
        <v>632002</v>
      </c>
      <c r="E1410" s="329">
        <v>-35502.790559582165</v>
      </c>
      <c r="F1410" s="157"/>
      <c r="G1410" s="330">
        <v>632002</v>
      </c>
      <c r="H1410" s="329">
        <v>-35502.790559582165</v>
      </c>
      <c r="I1410" s="157"/>
      <c r="J1410" s="330">
        <v>632002</v>
      </c>
      <c r="K1410" s="329">
        <v>-35502.790559582165</v>
      </c>
      <c r="L1410" s="157"/>
      <c r="M1410" s="360">
        <f t="shared" si="153"/>
        <v>632002</v>
      </c>
      <c r="N1410" s="237">
        <f t="shared" si="154"/>
        <v>-35502.790559582165</v>
      </c>
      <c r="O1410" s="361"/>
      <c r="P1410" s="361"/>
      <c r="Q1410" s="361" t="s">
        <v>698</v>
      </c>
      <c r="R1410" s="362">
        <f>IF(Q1410="ekrk",INDEX(indexy_SDcast!$A:$C,MATCH($M1410,indexy_SDcast!$A:$A,0),2),"")</f>
        <v>25</v>
      </c>
      <c r="S1410" s="236"/>
      <c r="T1410" s="364">
        <f t="shared" si="151"/>
        <v>632002</v>
      </c>
      <c r="U1410" s="365">
        <f t="shared" si="155"/>
        <v>-35502.790559582165</v>
      </c>
      <c r="V1410" s="365">
        <f>IF($Q1410="ekrk",IF($R1410="data",IFERROR(INDEX(data!$A:$ALL,MATCH($M1410,data!$A:$A,0),MATCH(V$2,data!$1:$1,0)),"#data"),IFERROR(U1410*INDEX(indexy_SDcast!$A:$ALI,MATCH($R1410,indexy_SDcast!$K:$K,0),MATCH(V$2,indexy_SDcast!$2:$2,0)),"#ekrk")),"#popis")</f>
        <v>-35770.747676149629</v>
      </c>
      <c r="W1410" s="365">
        <f>IF($Q1410="ekrk",IF($R1410="data",IFERROR(INDEX(data!$A:$ALL,MATCH($M1410,data!$A:$A,0),MATCH(W$2,data!$1:$1,0)),"#data"),IFERROR(V1410*INDEX(indexy_SDcast!$A:$ALI,MATCH($R1410,indexy_SDcast!$K:$K,0),MATCH(W$2,indexy_SDcast!$2:$2,0)),"#ekrk")),"#popis")</f>
        <v>-36512.977469352947</v>
      </c>
      <c r="X1410" s="365">
        <f>IF($Q1410="ekrk",IF($R1410="data",IFERROR(INDEX(data!$A:$ALL,MATCH($M1410,data!$A:$A,0),MATCH(X$2,data!$1:$1,0)),"#data"),IFERROR(W1410*INDEX(indexy_SDcast!$A:$ALI,MATCH($R1410,indexy_SDcast!$K:$K,0),MATCH(X$2,indexy_SDcast!$2:$2,0)),"#ekrk")),"#popis")</f>
        <v>-37343.5604882154</v>
      </c>
      <c r="Y1410" s="362">
        <f>IF($Q1410="ekrk",IF($R1410="data",IFERROR(INDEX(data!$A:$ALL,MATCH($M1410,data!$A:$A,0),MATCH(Y$2,data!$1:$1,0)),"#data"),IFERROR(X1410*INDEX(indexy_SDcast!$A:$ALI,MATCH($R1410,indexy_SDcast!$K:$K,0),MATCH(Y$2,indexy_SDcast!$2:$2,0)),"#ekrk")),"#popis")</f>
        <v>-38223.126514866883</v>
      </c>
    </row>
    <row r="1411" spans="1:25" x14ac:dyDescent="0.25">
      <c r="A1411" s="330">
        <v>632003</v>
      </c>
      <c r="B1411" s="329">
        <v>-98358.966449999934</v>
      </c>
      <c r="C1411" s="157"/>
      <c r="D1411" s="330">
        <v>632003</v>
      </c>
      <c r="E1411" s="329">
        <v>-98358.966449999934</v>
      </c>
      <c r="F1411" s="157"/>
      <c r="G1411" s="330">
        <v>632003</v>
      </c>
      <c r="H1411" s="329">
        <v>-98358.966449999934</v>
      </c>
      <c r="I1411" s="157"/>
      <c r="J1411" s="330">
        <v>632003</v>
      </c>
      <c r="K1411" s="329">
        <v>-98358.966449999934</v>
      </c>
      <c r="L1411" s="157"/>
      <c r="M1411" s="360">
        <f t="shared" si="153"/>
        <v>632003</v>
      </c>
      <c r="N1411" s="237">
        <f t="shared" si="154"/>
        <v>-98358.966449999934</v>
      </c>
      <c r="O1411" s="361"/>
      <c r="P1411" s="361"/>
      <c r="Q1411" s="361" t="s">
        <v>698</v>
      </c>
      <c r="R1411" s="362">
        <f>IF(Q1411="ekrk",INDEX(indexy_SDcast!$A:$C,MATCH($M1411,indexy_SDcast!$A:$A,0),2),"")</f>
        <v>25</v>
      </c>
      <c r="S1411" s="236"/>
      <c r="T1411" s="364">
        <f t="shared" si="151"/>
        <v>632003</v>
      </c>
      <c r="U1411" s="365">
        <f t="shared" si="155"/>
        <v>-98358.966449999934</v>
      </c>
      <c r="V1411" s="365">
        <f>IF($Q1411="ekrk",IF($R1411="data",IFERROR(INDEX(data!$A:$ALL,MATCH($M1411,data!$A:$A,0),MATCH(V$2,data!$1:$1,0)),"#data"),IFERROR(U1411*INDEX(indexy_SDcast!$A:$ALI,MATCH($R1411,indexy_SDcast!$K:$K,0),MATCH(V$2,indexy_SDcast!$2:$2,0)),"#ekrk")),"#popis")</f>
        <v>-99101.330208540734</v>
      </c>
      <c r="W1411" s="365">
        <f>IF($Q1411="ekrk",IF($R1411="data",IFERROR(INDEX(data!$A:$ALL,MATCH($M1411,data!$A:$A,0),MATCH(W$2,data!$1:$1,0)),"#data"),IFERROR(V1411*INDEX(indexy_SDcast!$A:$ALI,MATCH($R1411,indexy_SDcast!$K:$K,0),MATCH(W$2,indexy_SDcast!$2:$2,0)),"#ekrk")),"#popis")</f>
        <v>-101157.64618193882</v>
      </c>
      <c r="X1411" s="365">
        <f>IF($Q1411="ekrk",IF($R1411="data",IFERROR(INDEX(data!$A:$ALL,MATCH($M1411,data!$A:$A,0),MATCH(X$2,data!$1:$1,0)),"#data"),IFERROR(W1411*INDEX(indexy_SDcast!$A:$ALI,MATCH($R1411,indexy_SDcast!$K:$K,0),MATCH(X$2,indexy_SDcast!$2:$2,0)),"#ekrk")),"#popis")</f>
        <v>-103458.74099726405</v>
      </c>
      <c r="Y1411" s="362">
        <f>IF($Q1411="ekrk",IF($R1411="data",IFERROR(INDEX(data!$A:$ALL,MATCH($M1411,data!$A:$A,0),MATCH(Y$2,data!$1:$1,0)),"#data"),IFERROR(X1411*INDEX(indexy_SDcast!$A:$ALI,MATCH($R1411,indexy_SDcast!$K:$K,0),MATCH(Y$2,indexy_SDcast!$2:$2,0)),"#ekrk")),"#popis")</f>
        <v>-105895.54114571388</v>
      </c>
    </row>
    <row r="1412" spans="1:25" x14ac:dyDescent="0.25">
      <c r="A1412" s="330">
        <v>632004</v>
      </c>
      <c r="B1412" s="329">
        <v>-53271.168119999966</v>
      </c>
      <c r="C1412" s="157"/>
      <c r="D1412" s="330">
        <v>632004</v>
      </c>
      <c r="E1412" s="329">
        <v>-53271.168119999966</v>
      </c>
      <c r="F1412" s="157"/>
      <c r="G1412" s="330">
        <v>632004</v>
      </c>
      <c r="H1412" s="329">
        <v>-53271.168119999966</v>
      </c>
      <c r="I1412" s="157"/>
      <c r="J1412" s="330">
        <v>632004</v>
      </c>
      <c r="K1412" s="329">
        <v>-53271.168119999966</v>
      </c>
      <c r="L1412" s="157"/>
      <c r="M1412" s="360">
        <f t="shared" si="153"/>
        <v>632004</v>
      </c>
      <c r="N1412" s="237">
        <f t="shared" si="154"/>
        <v>-53271.168119999966</v>
      </c>
      <c r="O1412" s="361"/>
      <c r="P1412" s="361"/>
      <c r="Q1412" s="361" t="s">
        <v>698</v>
      </c>
      <c r="R1412" s="362">
        <f>IF(Q1412="ekrk",INDEX(indexy_SDcast!$A:$C,MATCH($M1412,indexy_SDcast!$A:$A,0),2),"")</f>
        <v>25</v>
      </c>
      <c r="S1412" s="236"/>
      <c r="T1412" s="364">
        <f t="shared" si="151"/>
        <v>632004</v>
      </c>
      <c r="U1412" s="365">
        <f t="shared" si="155"/>
        <v>-53271.168119999966</v>
      </c>
      <c r="V1412" s="365">
        <f>IF($Q1412="ekrk",IF($R1412="data",IFERROR(INDEX(data!$A:$ALL,MATCH($M1412,data!$A:$A,0),MATCH(V$2,data!$1:$1,0)),"#data"),IFERROR(U1412*INDEX(indexy_SDcast!$A:$ALI,MATCH($R1412,indexy_SDcast!$K:$K,0),MATCH(V$2,indexy_SDcast!$2:$2,0)),"#ekrk")),"#popis")</f>
        <v>-53673.231968520835</v>
      </c>
      <c r="W1412" s="365">
        <f>IF($Q1412="ekrk",IF($R1412="data",IFERROR(INDEX(data!$A:$ALL,MATCH($M1412,data!$A:$A,0),MATCH(W$2,data!$1:$1,0)),"#data"),IFERROR(V1412*INDEX(indexy_SDcast!$A:$ALI,MATCH($R1412,indexy_SDcast!$K:$K,0),MATCH(W$2,indexy_SDcast!$2:$2,0)),"#ekrk")),"#popis")</f>
        <v>-54786.931693928338</v>
      </c>
      <c r="X1412" s="365">
        <f>IF($Q1412="ekrk",IF($R1412="data",IFERROR(INDEX(data!$A:$ALL,MATCH($M1412,data!$A:$A,0),MATCH(X$2,data!$1:$1,0)),"#data"),IFERROR(W1412*INDEX(indexy_SDcast!$A:$ALI,MATCH($R1412,indexy_SDcast!$K:$K,0),MATCH(X$2,indexy_SDcast!$2:$2,0)),"#ekrk")),"#popis")</f>
        <v>-56033.203520397394</v>
      </c>
      <c r="Y1412" s="362">
        <f>IF($Q1412="ekrk",IF($R1412="data",IFERROR(INDEX(data!$A:$ALL,MATCH($M1412,data!$A:$A,0),MATCH(Y$2,data!$1:$1,0)),"#data"),IFERROR(X1412*INDEX(indexy_SDcast!$A:$ALI,MATCH($R1412,indexy_SDcast!$K:$K,0),MATCH(Y$2,indexy_SDcast!$2:$2,0)),"#ekrk")),"#popis")</f>
        <v>-57352.973288910573</v>
      </c>
    </row>
    <row r="1413" spans="1:25" x14ac:dyDescent="0.25">
      <c r="A1413" s="330">
        <v>633000</v>
      </c>
      <c r="B1413" s="329">
        <v>0</v>
      </c>
      <c r="C1413" s="157"/>
      <c r="D1413" s="330">
        <v>633000</v>
      </c>
      <c r="E1413" s="329">
        <v>0</v>
      </c>
      <c r="F1413" s="157"/>
      <c r="G1413" s="330">
        <v>633000</v>
      </c>
      <c r="H1413" s="329">
        <v>0</v>
      </c>
      <c r="I1413" s="157"/>
      <c r="J1413" s="330">
        <v>633000</v>
      </c>
      <c r="K1413" s="329">
        <v>0</v>
      </c>
      <c r="L1413" s="157"/>
      <c r="M1413" s="360">
        <f t="shared" si="153"/>
        <v>633000</v>
      </c>
      <c r="N1413" s="237">
        <f t="shared" si="154"/>
        <v>0</v>
      </c>
      <c r="O1413" s="361"/>
      <c r="P1413" s="361"/>
      <c r="Q1413" s="361" t="s">
        <v>698</v>
      </c>
      <c r="R1413" s="362">
        <f>IF(Q1413="ekrk",INDEX(indexy_SDcast!$A:$C,MATCH($M1413,indexy_SDcast!$A:$A,0),2),"")</f>
        <v>25</v>
      </c>
      <c r="S1413" s="236"/>
      <c r="T1413" s="364">
        <f t="shared" si="151"/>
        <v>633000</v>
      </c>
      <c r="U1413" s="365">
        <f t="shared" si="155"/>
        <v>0</v>
      </c>
      <c r="V1413" s="365">
        <f>IF($Q1413="ekrk",IF($R1413="data",IFERROR(INDEX(data!$A:$ALL,MATCH($M1413,data!$A:$A,0),MATCH(V$2,data!$1:$1,0)),"#data"),IFERROR(U1413*INDEX(indexy_SDcast!$A:$ALI,MATCH($R1413,indexy_SDcast!$K:$K,0),MATCH(V$2,indexy_SDcast!$2:$2,0)),"#ekrk")),"#popis")</f>
        <v>0</v>
      </c>
      <c r="W1413" s="365">
        <f>IF($Q1413="ekrk",IF($R1413="data",IFERROR(INDEX(data!$A:$ALL,MATCH($M1413,data!$A:$A,0),MATCH(W$2,data!$1:$1,0)),"#data"),IFERROR(V1413*INDEX(indexy_SDcast!$A:$ALI,MATCH($R1413,indexy_SDcast!$K:$K,0),MATCH(W$2,indexy_SDcast!$2:$2,0)),"#ekrk")),"#popis")</f>
        <v>0</v>
      </c>
      <c r="X1413" s="365">
        <f>IF($Q1413="ekrk",IF($R1413="data",IFERROR(INDEX(data!$A:$ALL,MATCH($M1413,data!$A:$A,0),MATCH(X$2,data!$1:$1,0)),"#data"),IFERROR(W1413*INDEX(indexy_SDcast!$A:$ALI,MATCH($R1413,indexy_SDcast!$K:$K,0),MATCH(X$2,indexy_SDcast!$2:$2,0)),"#ekrk")),"#popis")</f>
        <v>0</v>
      </c>
      <c r="Y1413" s="362">
        <f>IF($Q1413="ekrk",IF($R1413="data",IFERROR(INDEX(data!$A:$ALL,MATCH($M1413,data!$A:$A,0),MATCH(Y$2,data!$1:$1,0)),"#data"),IFERROR(X1413*INDEX(indexy_SDcast!$A:$ALI,MATCH($R1413,indexy_SDcast!$K:$K,0),MATCH(Y$2,indexy_SDcast!$2:$2,0)),"#ekrk")),"#popis")</f>
        <v>0</v>
      </c>
    </row>
    <row r="1414" spans="1:25" x14ac:dyDescent="0.25">
      <c r="A1414" s="330">
        <v>633001</v>
      </c>
      <c r="B1414" s="329">
        <v>-9725.5859000000055</v>
      </c>
      <c r="C1414" s="157"/>
      <c r="D1414" s="330">
        <v>633001</v>
      </c>
      <c r="E1414" s="329">
        <v>-9725.5859000000055</v>
      </c>
      <c r="F1414" s="157"/>
      <c r="G1414" s="330">
        <v>633001</v>
      </c>
      <c r="H1414" s="329">
        <v>-9725.5859000000055</v>
      </c>
      <c r="I1414" s="157"/>
      <c r="J1414" s="330">
        <v>633001</v>
      </c>
      <c r="K1414" s="329">
        <v>-9725.5859000000055</v>
      </c>
      <c r="L1414" s="157"/>
      <c r="M1414" s="360">
        <f t="shared" si="153"/>
        <v>633001</v>
      </c>
      <c r="N1414" s="237">
        <f t="shared" si="154"/>
        <v>-9725.5859000000055</v>
      </c>
      <c r="O1414" s="361"/>
      <c r="P1414" s="361"/>
      <c r="Q1414" s="361" t="s">
        <v>698</v>
      </c>
      <c r="R1414" s="362">
        <f>IF(Q1414="ekrk",INDEX(indexy_SDcast!$A:$C,MATCH($M1414,indexy_SDcast!$A:$A,0),2),"")</f>
        <v>25</v>
      </c>
      <c r="S1414" s="236"/>
      <c r="T1414" s="364">
        <f t="shared" si="151"/>
        <v>633001</v>
      </c>
      <c r="U1414" s="365">
        <f t="shared" si="155"/>
        <v>-9725.5859000000055</v>
      </c>
      <c r="V1414" s="365">
        <f>IF($Q1414="ekrk",IF($R1414="data",IFERROR(INDEX(data!$A:$ALL,MATCH($M1414,data!$A:$A,0),MATCH(V$2,data!$1:$1,0)),"#data"),IFERROR(U1414*INDEX(indexy_SDcast!$A:$ALI,MATCH($R1414,indexy_SDcast!$K:$K,0),MATCH(V$2,indexy_SDcast!$2:$2,0)),"#ekrk")),"#popis")</f>
        <v>-9798.9897061126449</v>
      </c>
      <c r="W1414" s="365">
        <f>IF($Q1414="ekrk",IF($R1414="data",IFERROR(INDEX(data!$A:$ALL,MATCH($M1414,data!$A:$A,0),MATCH(W$2,data!$1:$1,0)),"#data"),IFERROR(V1414*INDEX(indexy_SDcast!$A:$ALI,MATCH($R1414,indexy_SDcast!$K:$K,0),MATCH(W$2,indexy_SDcast!$2:$2,0)),"#ekrk")),"#popis")</f>
        <v>-10002.315120750785</v>
      </c>
      <c r="X1414" s="365">
        <f>IF($Q1414="ekrk",IF($R1414="data",IFERROR(INDEX(data!$A:$ALL,MATCH($M1414,data!$A:$A,0),MATCH(X$2,data!$1:$1,0)),"#data"),IFERROR(W1414*INDEX(indexy_SDcast!$A:$ALI,MATCH($R1414,indexy_SDcast!$K:$K,0),MATCH(X$2,indexy_SDcast!$2:$2,0)),"#ekrk")),"#popis")</f>
        <v>-10229.843897213343</v>
      </c>
      <c r="Y1414" s="362">
        <f>IF($Q1414="ekrk",IF($R1414="data",IFERROR(INDEX(data!$A:$ALL,MATCH($M1414,data!$A:$A,0),MATCH(Y$2,data!$1:$1,0)),"#data"),IFERROR(X1414*INDEX(indexy_SDcast!$A:$ALI,MATCH($R1414,indexy_SDcast!$K:$K,0),MATCH(Y$2,indexy_SDcast!$2:$2,0)),"#ekrk")),"#popis")</f>
        <v>-10470.791011851123</v>
      </c>
    </row>
    <row r="1415" spans="1:25" x14ac:dyDescent="0.25">
      <c r="A1415" s="330">
        <v>633002</v>
      </c>
      <c r="B1415" s="329">
        <v>-34243.254539999965</v>
      </c>
      <c r="C1415" s="157"/>
      <c r="D1415" s="330">
        <v>633002</v>
      </c>
      <c r="E1415" s="329">
        <v>-34243.254539999965</v>
      </c>
      <c r="F1415" s="157"/>
      <c r="G1415" s="330">
        <v>633002</v>
      </c>
      <c r="H1415" s="329">
        <v>-34243.254539999965</v>
      </c>
      <c r="I1415" s="157"/>
      <c r="J1415" s="330">
        <v>633002</v>
      </c>
      <c r="K1415" s="329">
        <v>-34243.254539999965</v>
      </c>
      <c r="L1415" s="157"/>
      <c r="M1415" s="360">
        <f t="shared" si="153"/>
        <v>633002</v>
      </c>
      <c r="N1415" s="237">
        <f t="shared" si="154"/>
        <v>-34243.254539999965</v>
      </c>
      <c r="O1415" s="361"/>
      <c r="P1415" s="361"/>
      <c r="Q1415" s="361" t="s">
        <v>698</v>
      </c>
      <c r="R1415" s="362">
        <f>IF(Q1415="ekrk",INDEX(indexy_SDcast!$A:$C,MATCH($M1415,indexy_SDcast!$A:$A,0),2),"")</f>
        <v>25</v>
      </c>
      <c r="S1415" s="236"/>
      <c r="T1415" s="364">
        <f t="shared" si="151"/>
        <v>633002</v>
      </c>
      <c r="U1415" s="365">
        <f t="shared" si="155"/>
        <v>-34243.254539999965</v>
      </c>
      <c r="V1415" s="365">
        <f>IF($Q1415="ekrk",IF($R1415="data",IFERROR(INDEX(data!$A:$ALL,MATCH($M1415,data!$A:$A,0),MATCH(V$2,data!$1:$1,0)),"#data"),IFERROR(U1415*INDEX(indexy_SDcast!$A:$ALI,MATCH($R1415,indexy_SDcast!$K:$K,0),MATCH(V$2,indexy_SDcast!$2:$2,0)),"#ekrk")),"#popis")</f>
        <v>-34501.70531538409</v>
      </c>
      <c r="W1415" s="365">
        <f>IF($Q1415="ekrk",IF($R1415="data",IFERROR(INDEX(data!$A:$ALL,MATCH($M1415,data!$A:$A,0),MATCH(W$2,data!$1:$1,0)),"#data"),IFERROR(V1415*INDEX(indexy_SDcast!$A:$ALI,MATCH($R1415,indexy_SDcast!$K:$K,0),MATCH(W$2,indexy_SDcast!$2:$2,0)),"#ekrk")),"#popis")</f>
        <v>-35217.602948646978</v>
      </c>
      <c r="X1415" s="365">
        <f>IF($Q1415="ekrk",IF($R1415="data",IFERROR(INDEX(data!$A:$ALL,MATCH($M1415,data!$A:$A,0),MATCH(X$2,data!$1:$1,0)),"#data"),IFERROR(W1415*INDEX(indexy_SDcast!$A:$ALI,MATCH($R1415,indexy_SDcast!$K:$K,0),MATCH(X$2,indexy_SDcast!$2:$2,0)),"#ekrk")),"#popis")</f>
        <v>-36018.719291425055</v>
      </c>
      <c r="Y1415" s="362">
        <f>IF($Q1415="ekrk",IF($R1415="data",IFERROR(INDEX(data!$A:$ALL,MATCH($M1415,data!$A:$A,0),MATCH(Y$2,data!$1:$1,0)),"#data"),IFERROR(X1415*INDEX(indexy_SDcast!$A:$ALI,MATCH($R1415,indexy_SDcast!$K:$K,0),MATCH(Y$2,indexy_SDcast!$2:$2,0)),"#ekrk")),"#popis")</f>
        <v>-36867.080866969831</v>
      </c>
    </row>
    <row r="1416" spans="1:25" x14ac:dyDescent="0.25">
      <c r="A1416" s="330">
        <v>633003</v>
      </c>
      <c r="B1416" s="329">
        <v>-14768.645879999996</v>
      </c>
      <c r="C1416" s="157"/>
      <c r="D1416" s="330">
        <v>633003</v>
      </c>
      <c r="E1416" s="329">
        <v>-14768.645879999996</v>
      </c>
      <c r="F1416" s="157"/>
      <c r="G1416" s="330">
        <v>633003</v>
      </c>
      <c r="H1416" s="329">
        <v>-14768.645879999996</v>
      </c>
      <c r="I1416" s="157"/>
      <c r="J1416" s="330">
        <v>633003</v>
      </c>
      <c r="K1416" s="329">
        <v>-14768.645879999996</v>
      </c>
      <c r="L1416" s="157"/>
      <c r="M1416" s="360">
        <f t="shared" si="153"/>
        <v>633003</v>
      </c>
      <c r="N1416" s="237">
        <f t="shared" si="154"/>
        <v>-14768.645879999996</v>
      </c>
      <c r="O1416" s="361"/>
      <c r="P1416" s="361"/>
      <c r="Q1416" s="361" t="s">
        <v>698</v>
      </c>
      <c r="R1416" s="362">
        <f>IF(Q1416="ekrk",INDEX(indexy_SDcast!$A:$C,MATCH($M1416,indexy_SDcast!$A:$A,0),2),"")</f>
        <v>25</v>
      </c>
      <c r="S1416" s="236"/>
      <c r="T1416" s="364">
        <f t="shared" si="151"/>
        <v>633003</v>
      </c>
      <c r="U1416" s="365">
        <f t="shared" si="155"/>
        <v>-14768.645879999996</v>
      </c>
      <c r="V1416" s="365">
        <f>IF($Q1416="ekrk",IF($R1416="data",IFERROR(INDEX(data!$A:$ALL,MATCH($M1416,data!$A:$A,0),MATCH(V$2,data!$1:$1,0)),"#data"),IFERROR(U1416*INDEX(indexy_SDcast!$A:$ALI,MATCH($R1416,indexy_SDcast!$K:$K,0),MATCH(V$2,indexy_SDcast!$2:$2,0)),"#ekrk")),"#popis")</f>
        <v>-14880.112153586839</v>
      </c>
      <c r="W1416" s="365">
        <f>IF($Q1416="ekrk",IF($R1416="data",IFERROR(INDEX(data!$A:$ALL,MATCH($M1416,data!$A:$A,0),MATCH(W$2,data!$1:$1,0)),"#data"),IFERROR(V1416*INDEX(indexy_SDcast!$A:$ALI,MATCH($R1416,indexy_SDcast!$K:$K,0),MATCH(W$2,indexy_SDcast!$2:$2,0)),"#ekrk")),"#popis")</f>
        <v>-15188.868980997604</v>
      </c>
      <c r="X1416" s="365">
        <f>IF($Q1416="ekrk",IF($R1416="data",IFERROR(INDEX(data!$A:$ALL,MATCH($M1416,data!$A:$A,0),MATCH(X$2,data!$1:$1,0)),"#data"),IFERROR(W1416*INDEX(indexy_SDcast!$A:$ALI,MATCH($R1416,indexy_SDcast!$K:$K,0),MATCH(X$2,indexy_SDcast!$2:$2,0)),"#ekrk")),"#popis")</f>
        <v>-15534.379468657291</v>
      </c>
      <c r="Y1416" s="362">
        <f>IF($Q1416="ekrk",IF($R1416="data",IFERROR(INDEX(data!$A:$ALL,MATCH($M1416,data!$A:$A,0),MATCH(Y$2,data!$1:$1,0)),"#data"),IFERROR(X1416*INDEX(indexy_SDcast!$A:$ALI,MATCH($R1416,indexy_SDcast!$K:$K,0),MATCH(Y$2,indexy_SDcast!$2:$2,0)),"#ekrk")),"#popis")</f>
        <v>-15900.266177024458</v>
      </c>
    </row>
    <row r="1417" spans="1:25" x14ac:dyDescent="0.25">
      <c r="A1417" s="330">
        <v>633004</v>
      </c>
      <c r="B1417" s="329">
        <v>-10987.964059999986</v>
      </c>
      <c r="C1417" s="157"/>
      <c r="D1417" s="330">
        <v>633004</v>
      </c>
      <c r="E1417" s="329">
        <v>-10987.964059999986</v>
      </c>
      <c r="F1417" s="157"/>
      <c r="G1417" s="330">
        <v>633004</v>
      </c>
      <c r="H1417" s="329">
        <v>-10987.964059999986</v>
      </c>
      <c r="I1417" s="157"/>
      <c r="J1417" s="330">
        <v>633004</v>
      </c>
      <c r="K1417" s="329">
        <v>-10987.964059999986</v>
      </c>
      <c r="L1417" s="157"/>
      <c r="M1417" s="360">
        <f t="shared" si="153"/>
        <v>633004</v>
      </c>
      <c r="N1417" s="237">
        <f t="shared" si="154"/>
        <v>-10987.964059999986</v>
      </c>
      <c r="O1417" s="361"/>
      <c r="P1417" s="361"/>
      <c r="Q1417" s="361" t="s">
        <v>698</v>
      </c>
      <c r="R1417" s="362">
        <f>IF(Q1417="ekrk",INDEX(indexy_SDcast!$A:$C,MATCH($M1417,indexy_SDcast!$A:$A,0),2),"")</f>
        <v>25</v>
      </c>
      <c r="S1417" s="236"/>
      <c r="T1417" s="364">
        <f t="shared" si="151"/>
        <v>633004</v>
      </c>
      <c r="U1417" s="365">
        <f t="shared" si="155"/>
        <v>-10987.964059999986</v>
      </c>
      <c r="V1417" s="365">
        <f>IF($Q1417="ekrk",IF($R1417="data",IFERROR(INDEX(data!$A:$ALL,MATCH($M1417,data!$A:$A,0),MATCH(V$2,data!$1:$1,0)),"#data"),IFERROR(U1417*INDEX(indexy_SDcast!$A:$ALI,MATCH($R1417,indexy_SDcast!$K:$K,0),MATCH(V$2,indexy_SDcast!$2:$2,0)),"#ekrk")),"#popis")</f>
        <v>-11070.895658335145</v>
      </c>
      <c r="W1417" s="365">
        <f>IF($Q1417="ekrk",IF($R1417="data",IFERROR(INDEX(data!$A:$ALL,MATCH($M1417,data!$A:$A,0),MATCH(W$2,data!$1:$1,0)),"#data"),IFERROR(V1417*INDEX(indexy_SDcast!$A:$ALI,MATCH($R1417,indexy_SDcast!$K:$K,0),MATCH(W$2,indexy_SDcast!$2:$2,0)),"#ekrk")),"#popis")</f>
        <v>-11300.612651378051</v>
      </c>
      <c r="X1417" s="365">
        <f>IF($Q1417="ekrk",IF($R1417="data",IFERROR(INDEX(data!$A:$ALL,MATCH($M1417,data!$A:$A,0),MATCH(X$2,data!$1:$1,0)),"#data"),IFERROR(W1417*INDEX(indexy_SDcast!$A:$ALI,MATCH($R1417,indexy_SDcast!$K:$K,0),MATCH(X$2,indexy_SDcast!$2:$2,0)),"#ekrk")),"#popis")</f>
        <v>-11557.674595418495</v>
      </c>
      <c r="Y1417" s="362">
        <f>IF($Q1417="ekrk",IF($R1417="data",IFERROR(INDEX(data!$A:$ALL,MATCH($M1417,data!$A:$A,0),MATCH(Y$2,data!$1:$1,0)),"#data"),IFERROR(X1417*INDEX(indexy_SDcast!$A:$ALI,MATCH($R1417,indexy_SDcast!$K:$K,0),MATCH(Y$2,indexy_SDcast!$2:$2,0)),"#ekrk")),"#popis")</f>
        <v>-11829.896573942238</v>
      </c>
    </row>
    <row r="1418" spans="1:25" x14ac:dyDescent="0.25">
      <c r="A1418" s="330">
        <v>633005</v>
      </c>
      <c r="B1418" s="329">
        <v>-29614.70295000001</v>
      </c>
      <c r="C1418" s="157"/>
      <c r="D1418" s="330">
        <v>633005</v>
      </c>
      <c r="E1418" s="329">
        <v>-29614.70295000001</v>
      </c>
      <c r="F1418" s="157"/>
      <c r="G1418" s="330">
        <v>633005</v>
      </c>
      <c r="H1418" s="329">
        <v>-29614.70295000001</v>
      </c>
      <c r="I1418" s="157"/>
      <c r="J1418" s="330">
        <v>633005</v>
      </c>
      <c r="K1418" s="329">
        <v>-29614.70295000001</v>
      </c>
      <c r="L1418" s="157"/>
      <c r="M1418" s="360">
        <f t="shared" si="153"/>
        <v>633005</v>
      </c>
      <c r="N1418" s="237">
        <f t="shared" si="154"/>
        <v>-29614.70295000001</v>
      </c>
      <c r="O1418" s="361"/>
      <c r="P1418" s="361"/>
      <c r="Q1418" s="361" t="s">
        <v>698</v>
      </c>
      <c r="R1418" s="362">
        <f>IF(Q1418="ekrk",INDEX(indexy_SDcast!$A:$C,MATCH($M1418,indexy_SDcast!$A:$A,0),2),"")</f>
        <v>25</v>
      </c>
      <c r="S1418" s="236"/>
      <c r="T1418" s="364">
        <f t="shared" si="151"/>
        <v>633005</v>
      </c>
      <c r="U1418" s="365">
        <f t="shared" si="155"/>
        <v>-29614.70295000001</v>
      </c>
      <c r="V1418" s="365">
        <f>IF($Q1418="ekrk",IF($R1418="data",IFERROR(INDEX(data!$A:$ALL,MATCH($M1418,data!$A:$A,0),MATCH(V$2,data!$1:$1,0)),"#data"),IFERROR(U1418*INDEX(indexy_SDcast!$A:$ALI,MATCH($R1418,indexy_SDcast!$K:$K,0),MATCH(V$2,indexy_SDcast!$2:$2,0)),"#ekrk")),"#popis")</f>
        <v>-29838.219757704643</v>
      </c>
      <c r="W1418" s="365">
        <f>IF($Q1418="ekrk",IF($R1418="data",IFERROR(INDEX(data!$A:$ALL,MATCH($M1418,data!$A:$A,0),MATCH(W$2,data!$1:$1,0)),"#data"),IFERROR(V1418*INDEX(indexy_SDcast!$A:$ALI,MATCH($R1418,indexy_SDcast!$K:$K,0),MATCH(W$2,indexy_SDcast!$2:$2,0)),"#ekrk")),"#popis")</f>
        <v>-30457.351789297118</v>
      </c>
      <c r="X1418" s="365">
        <f>IF($Q1418="ekrk",IF($R1418="data",IFERROR(INDEX(data!$A:$ALL,MATCH($M1418,data!$A:$A,0),MATCH(X$2,data!$1:$1,0)),"#data"),IFERROR(W1418*INDEX(indexy_SDcast!$A:$ALI,MATCH($R1418,indexy_SDcast!$K:$K,0),MATCH(X$2,indexy_SDcast!$2:$2,0)),"#ekrk")),"#popis")</f>
        <v>-31150.183789014023</v>
      </c>
      <c r="Y1418" s="362">
        <f>IF($Q1418="ekrk",IF($R1418="data",IFERROR(INDEX(data!$A:$ALL,MATCH($M1418,data!$A:$A,0),MATCH(Y$2,data!$1:$1,0)),"#data"),IFERROR(X1418*INDEX(indexy_SDcast!$A:$ALI,MATCH($R1418,indexy_SDcast!$K:$K,0),MATCH(Y$2,indexy_SDcast!$2:$2,0)),"#ekrk")),"#popis")</f>
        <v>-31883.875033945336</v>
      </c>
    </row>
    <row r="1419" spans="1:25" x14ac:dyDescent="0.25">
      <c r="A1419" s="330">
        <v>633006</v>
      </c>
      <c r="B1419" s="329">
        <v>-113043.46425613378</v>
      </c>
      <c r="C1419" s="157"/>
      <c r="D1419" s="330">
        <v>633006</v>
      </c>
      <c r="E1419" s="329">
        <v>-113043.46425613378</v>
      </c>
      <c r="F1419" s="157"/>
      <c r="G1419" s="330">
        <v>633006</v>
      </c>
      <c r="H1419" s="329">
        <v>-113043.46425613378</v>
      </c>
      <c r="I1419" s="157"/>
      <c r="J1419" s="330">
        <v>633006</v>
      </c>
      <c r="K1419" s="329">
        <v>-113043.46425613378</v>
      </c>
      <c r="L1419" s="157"/>
      <c r="M1419" s="360">
        <f t="shared" si="153"/>
        <v>633006</v>
      </c>
      <c r="N1419" s="237">
        <f t="shared" si="154"/>
        <v>-113043.46425613378</v>
      </c>
      <c r="O1419" s="361"/>
      <c r="P1419" s="361"/>
      <c r="Q1419" s="361" t="s">
        <v>698</v>
      </c>
      <c r="R1419" s="362">
        <f>IF(Q1419="ekrk",INDEX(indexy_SDcast!$A:$C,MATCH($M1419,indexy_SDcast!$A:$A,0),2),"")</f>
        <v>25</v>
      </c>
      <c r="S1419" s="236"/>
      <c r="T1419" s="364">
        <f t="shared" si="151"/>
        <v>633006</v>
      </c>
      <c r="U1419" s="365">
        <f t="shared" si="155"/>
        <v>-113043.46425613378</v>
      </c>
      <c r="V1419" s="365">
        <f>IF($Q1419="ekrk",IF($R1419="data",IFERROR(INDEX(data!$A:$ALL,MATCH($M1419,data!$A:$A,0),MATCH(V$2,data!$1:$1,0)),"#data"),IFERROR(U1419*INDEX(indexy_SDcast!$A:$ALI,MATCH($R1419,indexy_SDcast!$K:$K,0),MATCH(V$2,indexy_SDcast!$2:$2,0)),"#ekrk")),"#popis")</f>
        <v>-113896.65918113654</v>
      </c>
      <c r="W1419" s="365">
        <f>IF($Q1419="ekrk",IF($R1419="data",IFERROR(INDEX(data!$A:$ALL,MATCH($M1419,data!$A:$A,0),MATCH(W$2,data!$1:$1,0)),"#data"),IFERROR(V1419*INDEX(indexy_SDcast!$A:$ALI,MATCH($R1419,indexy_SDcast!$K:$K,0),MATCH(W$2,indexy_SDcast!$2:$2,0)),"#ekrk")),"#popis")</f>
        <v>-116259.97276227619</v>
      </c>
      <c r="X1419" s="365">
        <f>IF($Q1419="ekrk",IF($R1419="data",IFERROR(INDEX(data!$A:$ALL,MATCH($M1419,data!$A:$A,0),MATCH(X$2,data!$1:$1,0)),"#data"),IFERROR(W1419*INDEX(indexy_SDcast!$A:$ALI,MATCH($R1419,indexy_SDcast!$K:$K,0),MATCH(X$2,indexy_SDcast!$2:$2,0)),"#ekrk")),"#popis")</f>
        <v>-118904.60943236995</v>
      </c>
      <c r="Y1419" s="362">
        <f>IF($Q1419="ekrk",IF($R1419="data",IFERROR(INDEX(data!$A:$ALL,MATCH($M1419,data!$A:$A,0),MATCH(Y$2,data!$1:$1,0)),"#data"),IFERROR(X1419*INDEX(indexy_SDcast!$A:$ALI,MATCH($R1419,indexy_SDcast!$K:$K,0),MATCH(Y$2,indexy_SDcast!$2:$2,0)),"#ekrk")),"#popis")</f>
        <v>-121705.21155765418</v>
      </c>
    </row>
    <row r="1420" spans="1:25" x14ac:dyDescent="0.25">
      <c r="A1420" s="330">
        <v>633007</v>
      </c>
      <c r="B1420" s="329">
        <v>-17926.333430000002</v>
      </c>
      <c r="C1420" s="157"/>
      <c r="D1420" s="330">
        <v>633007</v>
      </c>
      <c r="E1420" s="329">
        <v>-17926.333430000002</v>
      </c>
      <c r="F1420" s="157"/>
      <c r="G1420" s="330">
        <v>633007</v>
      </c>
      <c r="H1420" s="329">
        <v>-17926.333430000002</v>
      </c>
      <c r="I1420" s="157"/>
      <c r="J1420" s="330">
        <v>633007</v>
      </c>
      <c r="K1420" s="329">
        <v>-17926.333430000002</v>
      </c>
      <c r="L1420" s="157"/>
      <c r="M1420" s="360">
        <f t="shared" si="153"/>
        <v>633007</v>
      </c>
      <c r="N1420" s="237">
        <f t="shared" si="154"/>
        <v>-17926.333430000002</v>
      </c>
      <c r="O1420" s="361"/>
      <c r="P1420" s="361"/>
      <c r="Q1420" s="361" t="s">
        <v>698</v>
      </c>
      <c r="R1420" s="362">
        <f>IF(Q1420="ekrk",INDEX(indexy_SDcast!$A:$C,MATCH($M1420,indexy_SDcast!$A:$A,0),2),"")</f>
        <v>25</v>
      </c>
      <c r="S1420" s="236"/>
      <c r="T1420" s="364">
        <f t="shared" si="151"/>
        <v>633007</v>
      </c>
      <c r="U1420" s="365">
        <f t="shared" si="155"/>
        <v>-17926.333430000002</v>
      </c>
      <c r="V1420" s="365">
        <f>IF($Q1420="ekrk",IF($R1420="data",IFERROR(INDEX(data!$A:$ALL,MATCH($M1420,data!$A:$A,0),MATCH(V$2,data!$1:$1,0)),"#data"),IFERROR(U1420*INDEX(indexy_SDcast!$A:$ALI,MATCH($R1420,indexy_SDcast!$K:$K,0),MATCH(V$2,indexy_SDcast!$2:$2,0)),"#ekrk")),"#popis")</f>
        <v>-18061.632333010693</v>
      </c>
      <c r="W1420" s="365">
        <f>IF($Q1420="ekrk",IF($R1420="data",IFERROR(INDEX(data!$A:$ALL,MATCH($M1420,data!$A:$A,0),MATCH(W$2,data!$1:$1,0)),"#data"),IFERROR(V1420*INDEX(indexy_SDcast!$A:$ALI,MATCH($R1420,indexy_SDcast!$K:$K,0),MATCH(W$2,indexy_SDcast!$2:$2,0)),"#ekrk")),"#popis")</f>
        <v>-18436.404528236104</v>
      </c>
      <c r="X1420" s="365">
        <f>IF($Q1420="ekrk",IF($R1420="data",IFERROR(INDEX(data!$A:$ALL,MATCH($M1420,data!$A:$A,0),MATCH(X$2,data!$1:$1,0)),"#data"),IFERROR(W1420*INDEX(indexy_SDcast!$A:$ALI,MATCH($R1420,indexy_SDcast!$K:$K,0),MATCH(X$2,indexy_SDcast!$2:$2,0)),"#ekrk")),"#popis")</f>
        <v>-18855.788692205879</v>
      </c>
      <c r="Y1420" s="362">
        <f>IF($Q1420="ekrk",IF($R1420="data",IFERROR(INDEX(data!$A:$ALL,MATCH($M1420,data!$A:$A,0),MATCH(Y$2,data!$1:$1,0)),"#data"),IFERROR(X1420*INDEX(indexy_SDcast!$A:$ALI,MATCH($R1420,indexy_SDcast!$K:$K,0),MATCH(Y$2,indexy_SDcast!$2:$2,0)),"#ekrk")),"#popis")</f>
        <v>-19299.905721288236</v>
      </c>
    </row>
    <row r="1421" spans="1:25" x14ac:dyDescent="0.25">
      <c r="A1421" s="330">
        <v>633008</v>
      </c>
      <c r="B1421" s="329">
        <v>-11.072430000000002</v>
      </c>
      <c r="C1421" s="157"/>
      <c r="D1421" s="330">
        <v>633008</v>
      </c>
      <c r="E1421" s="329">
        <v>-11.072430000000002</v>
      </c>
      <c r="F1421" s="157"/>
      <c r="G1421" s="330">
        <v>633008</v>
      </c>
      <c r="H1421" s="329">
        <v>-11.072430000000002</v>
      </c>
      <c r="I1421" s="157"/>
      <c r="J1421" s="330">
        <v>633008</v>
      </c>
      <c r="K1421" s="329">
        <v>-11.072430000000002</v>
      </c>
      <c r="L1421" s="157"/>
      <c r="M1421" s="360">
        <f t="shared" si="153"/>
        <v>633008</v>
      </c>
      <c r="N1421" s="237">
        <f t="shared" si="154"/>
        <v>-11.072430000000002</v>
      </c>
      <c r="O1421" s="361"/>
      <c r="P1421" s="361"/>
      <c r="Q1421" s="361" t="s">
        <v>698</v>
      </c>
      <c r="R1421" s="362">
        <f>IF(Q1421="ekrk",INDEX(indexy_SDcast!$A:$C,MATCH($M1421,indexy_SDcast!$A:$A,0),2),"")</f>
        <v>25</v>
      </c>
      <c r="S1421" s="236"/>
      <c r="T1421" s="364">
        <f t="shared" si="151"/>
        <v>633008</v>
      </c>
      <c r="U1421" s="365">
        <f t="shared" si="155"/>
        <v>-11.072430000000002</v>
      </c>
      <c r="V1421" s="365">
        <f>IF($Q1421="ekrk",IF($R1421="data",IFERROR(INDEX(data!$A:$ALL,MATCH($M1421,data!$A:$A,0),MATCH(V$2,data!$1:$1,0)),"#data"),IFERROR(U1421*INDEX(indexy_SDcast!$A:$ALI,MATCH($R1421,indexy_SDcast!$K:$K,0),MATCH(V$2,indexy_SDcast!$2:$2,0)),"#ekrk")),"#popis")</f>
        <v>-11.155999104552949</v>
      </c>
      <c r="W1421" s="365">
        <f>IF($Q1421="ekrk",IF($R1421="data",IFERROR(INDEX(data!$A:$ALL,MATCH($M1421,data!$A:$A,0),MATCH(W$2,data!$1:$1,0)),"#data"),IFERROR(V1421*INDEX(indexy_SDcast!$A:$ALI,MATCH($R1421,indexy_SDcast!$K:$K,0),MATCH(W$2,indexy_SDcast!$2:$2,0)),"#ekrk")),"#popis")</f>
        <v>-11.387481962650146</v>
      </c>
      <c r="X1421" s="365">
        <f>IF($Q1421="ekrk",IF($R1421="data",IFERROR(INDEX(data!$A:$ALL,MATCH($M1421,data!$A:$A,0),MATCH(X$2,data!$1:$1,0)),"#data"),IFERROR(W1421*INDEX(indexy_SDcast!$A:$ALI,MATCH($R1421,indexy_SDcast!$K:$K,0),MATCH(X$2,indexy_SDcast!$2:$2,0)),"#ekrk")),"#popis")</f>
        <v>-11.646519976017268</v>
      </c>
      <c r="Y1421" s="362">
        <f>IF($Q1421="ekrk",IF($R1421="data",IFERROR(INDEX(data!$A:$ALL,MATCH($M1421,data!$A:$A,0),MATCH(Y$2,data!$1:$1,0)),"#data"),IFERROR(X1421*INDEX(indexy_SDcast!$A:$ALI,MATCH($R1421,indexy_SDcast!$K:$K,0),MATCH(Y$2,indexy_SDcast!$2:$2,0)),"#ekrk")),"#popis")</f>
        <v>-11.92083456106749</v>
      </c>
    </row>
    <row r="1422" spans="1:25" x14ac:dyDescent="0.25">
      <c r="A1422" s="330">
        <v>633009</v>
      </c>
      <c r="B1422" s="329">
        <v>-8574.8071100000034</v>
      </c>
      <c r="C1422" s="157"/>
      <c r="D1422" s="330">
        <v>633009</v>
      </c>
      <c r="E1422" s="329">
        <v>-8574.8071100000034</v>
      </c>
      <c r="F1422" s="157"/>
      <c r="G1422" s="330">
        <v>633009</v>
      </c>
      <c r="H1422" s="329">
        <v>-8574.8071100000034</v>
      </c>
      <c r="I1422" s="157"/>
      <c r="J1422" s="330">
        <v>633009</v>
      </c>
      <c r="K1422" s="329">
        <v>-8574.8071100000034</v>
      </c>
      <c r="L1422" s="157"/>
      <c r="M1422" s="360">
        <f t="shared" si="153"/>
        <v>633009</v>
      </c>
      <c r="N1422" s="237">
        <f t="shared" si="154"/>
        <v>-8574.8071100000034</v>
      </c>
      <c r="O1422" s="361"/>
      <c r="P1422" s="361"/>
      <c r="Q1422" s="361" t="s">
        <v>698</v>
      </c>
      <c r="R1422" s="362">
        <f>IF(Q1422="ekrk",INDEX(indexy_SDcast!$A:$C,MATCH($M1422,indexy_SDcast!$A:$A,0),2),"")</f>
        <v>25</v>
      </c>
      <c r="S1422" s="236"/>
      <c r="T1422" s="364">
        <f t="shared" si="151"/>
        <v>633009</v>
      </c>
      <c r="U1422" s="365">
        <f t="shared" si="155"/>
        <v>-8574.8071100000034</v>
      </c>
      <c r="V1422" s="365">
        <f>IF($Q1422="ekrk",IF($R1422="data",IFERROR(INDEX(data!$A:$ALL,MATCH($M1422,data!$A:$A,0),MATCH(V$2,data!$1:$1,0)),"#data"),IFERROR(U1422*INDEX(indexy_SDcast!$A:$ALI,MATCH($R1422,indexy_SDcast!$K:$K,0),MATCH(V$2,indexy_SDcast!$2:$2,0)),"#ekrk")),"#popis")</f>
        <v>-8639.5254195216658</v>
      </c>
      <c r="W1422" s="365">
        <f>IF($Q1422="ekrk",IF($R1422="data",IFERROR(INDEX(data!$A:$ALL,MATCH($M1422,data!$A:$A,0),MATCH(W$2,data!$1:$1,0)),"#data"),IFERROR(V1422*INDEX(indexy_SDcast!$A:$ALI,MATCH($R1422,indexy_SDcast!$K:$K,0),MATCH(W$2,indexy_SDcast!$2:$2,0)),"#ekrk")),"#popis")</f>
        <v>-8818.7923787578002</v>
      </c>
      <c r="X1422" s="365">
        <f>IF($Q1422="ekrk",IF($R1422="data",IFERROR(INDEX(data!$A:$ALL,MATCH($M1422,data!$A:$A,0),MATCH(X$2,data!$1:$1,0)),"#data"),IFERROR(W1422*INDEX(indexy_SDcast!$A:$ALI,MATCH($R1422,indexy_SDcast!$K:$K,0),MATCH(X$2,indexy_SDcast!$2:$2,0)),"#ekrk")),"#popis")</f>
        <v>-9019.3988399213104</v>
      </c>
      <c r="Y1422" s="362">
        <f>IF($Q1422="ekrk",IF($R1422="data",IFERROR(INDEX(data!$A:$ALL,MATCH($M1422,data!$A:$A,0),MATCH(Y$2,data!$1:$1,0)),"#data"),IFERROR(X1422*INDEX(indexy_SDcast!$A:$ALI,MATCH($R1422,indexy_SDcast!$K:$K,0),MATCH(Y$2,indexy_SDcast!$2:$2,0)),"#ekrk")),"#popis")</f>
        <v>-9231.8359159981374</v>
      </c>
    </row>
    <row r="1423" spans="1:25" x14ac:dyDescent="0.25">
      <c r="A1423" s="330">
        <v>633010</v>
      </c>
      <c r="B1423" s="329">
        <v>-18898.327699999998</v>
      </c>
      <c r="C1423" s="157"/>
      <c r="D1423" s="330">
        <v>633010</v>
      </c>
      <c r="E1423" s="329">
        <v>-18898.327699999998</v>
      </c>
      <c r="F1423" s="157"/>
      <c r="G1423" s="330">
        <v>633010</v>
      </c>
      <c r="H1423" s="329">
        <v>-18898.327699999998</v>
      </c>
      <c r="I1423" s="157"/>
      <c r="J1423" s="330">
        <v>633010</v>
      </c>
      <c r="K1423" s="329">
        <v>-18898.327699999998</v>
      </c>
      <c r="L1423" s="157"/>
      <c r="M1423" s="360">
        <f t="shared" si="153"/>
        <v>633010</v>
      </c>
      <c r="N1423" s="237">
        <f t="shared" si="154"/>
        <v>-18898.327699999998</v>
      </c>
      <c r="O1423" s="361"/>
      <c r="P1423" s="361"/>
      <c r="Q1423" s="361" t="s">
        <v>698</v>
      </c>
      <c r="R1423" s="362">
        <f>IF(Q1423="ekrk",INDEX(indexy_SDcast!$A:$C,MATCH($M1423,indexy_SDcast!$A:$A,0),2),"")</f>
        <v>25</v>
      </c>
      <c r="S1423" s="236"/>
      <c r="T1423" s="364">
        <f t="shared" si="151"/>
        <v>633010</v>
      </c>
      <c r="U1423" s="365">
        <f t="shared" si="155"/>
        <v>-18898.327699999998</v>
      </c>
      <c r="V1423" s="365">
        <f>IF($Q1423="ekrk",IF($R1423="data",IFERROR(INDEX(data!$A:$ALL,MATCH($M1423,data!$A:$A,0),MATCH(V$2,data!$1:$1,0)),"#data"),IFERROR(U1423*INDEX(indexy_SDcast!$A:$ALI,MATCH($R1423,indexy_SDcast!$K:$K,0),MATCH(V$2,indexy_SDcast!$2:$2,0)),"#ekrk")),"#popis")</f>
        <v>-19040.962724419856</v>
      </c>
      <c r="W1423" s="365">
        <f>IF($Q1423="ekrk",IF($R1423="data",IFERROR(INDEX(data!$A:$ALL,MATCH($M1423,data!$A:$A,0),MATCH(W$2,data!$1:$1,0)),"#data"),IFERROR(V1423*INDEX(indexy_SDcast!$A:$ALI,MATCH($R1423,indexy_SDcast!$K:$K,0),MATCH(W$2,indexy_SDcast!$2:$2,0)),"#ekrk")),"#popis")</f>
        <v>-19436.055663300791</v>
      </c>
      <c r="X1423" s="365">
        <f>IF($Q1423="ekrk",IF($R1423="data",IFERROR(INDEX(data!$A:$ALL,MATCH($M1423,data!$A:$A,0),MATCH(X$2,data!$1:$1,0)),"#data"),IFERROR(W1423*INDEX(indexy_SDcast!$A:$ALI,MATCH($R1423,indexy_SDcast!$K:$K,0),MATCH(X$2,indexy_SDcast!$2:$2,0)),"#ekrk")),"#popis")</f>
        <v>-19878.17950272618</v>
      </c>
      <c r="Y1423" s="362">
        <f>IF($Q1423="ekrk",IF($R1423="data",IFERROR(INDEX(data!$A:$ALL,MATCH($M1423,data!$A:$A,0),MATCH(Y$2,data!$1:$1,0)),"#data"),IFERROR(X1423*INDEX(indexy_SDcast!$A:$ALI,MATCH($R1423,indexy_SDcast!$K:$K,0),MATCH(Y$2,indexy_SDcast!$2:$2,0)),"#ekrk")),"#popis")</f>
        <v>-20346.377262492428</v>
      </c>
    </row>
    <row r="1424" spans="1:25" x14ac:dyDescent="0.25">
      <c r="A1424" s="330">
        <v>633011</v>
      </c>
      <c r="B1424" s="329">
        <v>-26630.158367431501</v>
      </c>
      <c r="C1424" s="157"/>
      <c r="D1424" s="330">
        <v>633011</v>
      </c>
      <c r="E1424" s="329">
        <v>-26630.158367431501</v>
      </c>
      <c r="F1424" s="157"/>
      <c r="G1424" s="330">
        <v>633011</v>
      </c>
      <c r="H1424" s="329">
        <v>-26630.158367431501</v>
      </c>
      <c r="I1424" s="157"/>
      <c r="J1424" s="330">
        <v>633011</v>
      </c>
      <c r="K1424" s="329">
        <v>-26630.158367431501</v>
      </c>
      <c r="L1424" s="157"/>
      <c r="M1424" s="360">
        <f t="shared" si="153"/>
        <v>633011</v>
      </c>
      <c r="N1424" s="237">
        <f t="shared" si="154"/>
        <v>-26630.158367431501</v>
      </c>
      <c r="O1424" s="361"/>
      <c r="P1424" s="361"/>
      <c r="Q1424" s="361" t="s">
        <v>698</v>
      </c>
      <c r="R1424" s="362">
        <f>IF(Q1424="ekrk",INDEX(indexy_SDcast!$A:$C,MATCH($M1424,indexy_SDcast!$A:$A,0),2),"")</f>
        <v>55</v>
      </c>
      <c r="S1424" s="236"/>
      <c r="T1424" s="364">
        <f t="shared" si="151"/>
        <v>633011</v>
      </c>
      <c r="U1424" s="365">
        <f t="shared" si="155"/>
        <v>-26630.158367431501</v>
      </c>
      <c r="V1424" s="365">
        <f>IF($Q1424="ekrk",IF($R1424="data",IFERROR(INDEX(data!$A:$ALL,MATCH($M1424,data!$A:$A,0),MATCH(V$2,data!$1:$1,0)),"#data"),IFERROR(U1424*INDEX(indexy_SDcast!$A:$ALI,MATCH($R1424,indexy_SDcast!$K:$K,0),MATCH(V$2,indexy_SDcast!$2:$2,0)),"#ekrk")),"#popis")</f>
        <v>-26440.267112159225</v>
      </c>
      <c r="W1424" s="365">
        <f>IF($Q1424="ekrk",IF($R1424="data",IFERROR(INDEX(data!$A:$ALL,MATCH($M1424,data!$A:$A,0),MATCH(W$2,data!$1:$1,0)),"#data"),IFERROR(V1424*INDEX(indexy_SDcast!$A:$ALI,MATCH($R1424,indexy_SDcast!$K:$K,0),MATCH(W$2,indexy_SDcast!$2:$2,0)),"#ekrk")),"#popis")</f>
        <v>-26661.883803342374</v>
      </c>
      <c r="X1424" s="365">
        <f>IF($Q1424="ekrk",IF($R1424="data",IFERROR(INDEX(data!$A:$ALL,MATCH($M1424,data!$A:$A,0),MATCH(X$2,data!$1:$1,0)),"#data"),IFERROR(W1424*INDEX(indexy_SDcast!$A:$ALI,MATCH($R1424,indexy_SDcast!$K:$K,0),MATCH(X$2,indexy_SDcast!$2:$2,0)),"#ekrk")),"#popis")</f>
        <v>-26879.303393120223</v>
      </c>
      <c r="Y1424" s="362">
        <f>IF($Q1424="ekrk",IF($R1424="data",IFERROR(INDEX(data!$A:$ALL,MATCH($M1424,data!$A:$A,0),MATCH(Y$2,data!$1:$1,0)),"#data"),IFERROR(X1424*INDEX(indexy_SDcast!$A:$ALI,MATCH($R1424,indexy_SDcast!$K:$K,0),MATCH(Y$2,indexy_SDcast!$2:$2,0)),"#ekrk")),"#popis")</f>
        <v>-27163.014374415339</v>
      </c>
    </row>
    <row r="1425" spans="1:25" x14ac:dyDescent="0.25">
      <c r="A1425" s="330">
        <v>633012</v>
      </c>
      <c r="B1425" s="329">
        <v>-21.564820000000001</v>
      </c>
      <c r="C1425" s="157"/>
      <c r="D1425" s="330">
        <v>633012</v>
      </c>
      <c r="E1425" s="329">
        <v>-21.564820000000001</v>
      </c>
      <c r="F1425" s="157"/>
      <c r="G1425" s="330">
        <v>633012</v>
      </c>
      <c r="H1425" s="329">
        <v>-21.564820000000001</v>
      </c>
      <c r="I1425" s="157"/>
      <c r="J1425" s="330">
        <v>633012</v>
      </c>
      <c r="K1425" s="329">
        <v>-21.564820000000001</v>
      </c>
      <c r="L1425" s="157"/>
      <c r="M1425" s="360">
        <f t="shared" si="153"/>
        <v>633012</v>
      </c>
      <c r="N1425" s="237">
        <f t="shared" si="154"/>
        <v>-21.564820000000001</v>
      </c>
      <c r="O1425" s="361"/>
      <c r="P1425" s="361"/>
      <c r="Q1425" s="361" t="s">
        <v>698</v>
      </c>
      <c r="R1425" s="362">
        <f>IF(Q1425="ekrk",INDEX(indexy_SDcast!$A:$C,MATCH($M1425,indexy_SDcast!$A:$A,0),2),"")</f>
        <v>25</v>
      </c>
      <c r="S1425" s="236"/>
      <c r="T1425" s="364">
        <f t="shared" si="151"/>
        <v>633012</v>
      </c>
      <c r="U1425" s="365">
        <f t="shared" si="155"/>
        <v>-21.564820000000001</v>
      </c>
      <c r="V1425" s="365">
        <f>IF($Q1425="ekrk",IF($R1425="data",IFERROR(INDEX(data!$A:$ALL,MATCH($M1425,data!$A:$A,0),MATCH(V$2,data!$1:$1,0)),"#data"),IFERROR(U1425*INDEX(indexy_SDcast!$A:$ALI,MATCH($R1425,indexy_SDcast!$K:$K,0),MATCH(V$2,indexy_SDcast!$2:$2,0)),"#ekrk")),"#popis")</f>
        <v>-21.727580360394736</v>
      </c>
      <c r="W1425" s="365">
        <f>IF($Q1425="ekrk",IF($R1425="data",IFERROR(INDEX(data!$A:$ALL,MATCH($M1425,data!$A:$A,0),MATCH(W$2,data!$1:$1,0)),"#data"),IFERROR(V1425*INDEX(indexy_SDcast!$A:$ALI,MATCH($R1425,indexy_SDcast!$K:$K,0),MATCH(W$2,indexy_SDcast!$2:$2,0)),"#ekrk")),"#popis")</f>
        <v>-22.178419622232614</v>
      </c>
      <c r="X1425" s="365">
        <f>IF($Q1425="ekrk",IF($R1425="data",IFERROR(INDEX(data!$A:$ALL,MATCH($M1425,data!$A:$A,0),MATCH(X$2,data!$1:$1,0)),"#data"),IFERROR(W1425*INDEX(indexy_SDcast!$A:$ALI,MATCH($R1425,indexy_SDcast!$K:$K,0),MATCH(X$2,indexy_SDcast!$2:$2,0)),"#ekrk")),"#popis")</f>
        <v>-22.68292569103771</v>
      </c>
      <c r="Y1425" s="362">
        <f>IF($Q1425="ekrk",IF($R1425="data",IFERROR(INDEX(data!$A:$ALL,MATCH($M1425,data!$A:$A,0),MATCH(Y$2,data!$1:$1,0)),"#data"),IFERROR(X1425*INDEX(indexy_SDcast!$A:$ALI,MATCH($R1425,indexy_SDcast!$K:$K,0),MATCH(Y$2,indexy_SDcast!$2:$2,0)),"#ekrk")),"#popis")</f>
        <v>-23.217184625163526</v>
      </c>
    </row>
    <row r="1426" spans="1:25" x14ac:dyDescent="0.25">
      <c r="A1426" s="330">
        <v>633013</v>
      </c>
      <c r="B1426" s="329">
        <v>-30469.167739999986</v>
      </c>
      <c r="C1426" s="157"/>
      <c r="D1426" s="330">
        <v>633013</v>
      </c>
      <c r="E1426" s="329">
        <v>-30469.167739999986</v>
      </c>
      <c r="F1426" s="157"/>
      <c r="G1426" s="330">
        <v>633013</v>
      </c>
      <c r="H1426" s="329">
        <v>-30469.167739999986</v>
      </c>
      <c r="I1426" s="157"/>
      <c r="J1426" s="330">
        <v>633013</v>
      </c>
      <c r="K1426" s="329">
        <v>-30469.167739999986</v>
      </c>
      <c r="L1426" s="157"/>
      <c r="M1426" s="360">
        <f t="shared" si="153"/>
        <v>633013</v>
      </c>
      <c r="N1426" s="237">
        <f t="shared" si="154"/>
        <v>-30469.167739999986</v>
      </c>
      <c r="O1426" s="361"/>
      <c r="P1426" s="361"/>
      <c r="Q1426" s="361" t="s">
        <v>698</v>
      </c>
      <c r="R1426" s="362">
        <f>IF(Q1426="ekrk",INDEX(indexy_SDcast!$A:$C,MATCH($M1426,indexy_SDcast!$A:$A,0),2),"")</f>
        <v>25</v>
      </c>
      <c r="S1426" s="236"/>
      <c r="T1426" s="364">
        <f t="shared" si="151"/>
        <v>633013</v>
      </c>
      <c r="U1426" s="365">
        <f t="shared" si="155"/>
        <v>-30469.167739999986</v>
      </c>
      <c r="V1426" s="365">
        <f>IF($Q1426="ekrk",IF($R1426="data",IFERROR(INDEX(data!$A:$ALL,MATCH($M1426,data!$A:$A,0),MATCH(V$2,data!$1:$1,0)),"#data"),IFERROR(U1426*INDEX(indexy_SDcast!$A:$ALI,MATCH($R1426,indexy_SDcast!$K:$K,0),MATCH(V$2,indexy_SDcast!$2:$2,0)),"#ekrk")),"#popis")</f>
        <v>-30699.133616009618</v>
      </c>
      <c r="W1426" s="365">
        <f>IF($Q1426="ekrk",IF($R1426="data",IFERROR(INDEX(data!$A:$ALL,MATCH($M1426,data!$A:$A,0),MATCH(W$2,data!$1:$1,0)),"#data"),IFERROR(V1426*INDEX(indexy_SDcast!$A:$ALI,MATCH($R1426,indexy_SDcast!$K:$K,0),MATCH(W$2,indexy_SDcast!$2:$2,0)),"#ekrk")),"#popis")</f>
        <v>-31336.129291963141</v>
      </c>
      <c r="X1426" s="365">
        <f>IF($Q1426="ekrk",IF($R1426="data",IFERROR(INDEX(data!$A:$ALL,MATCH($M1426,data!$A:$A,0),MATCH(X$2,data!$1:$1,0)),"#data"),IFERROR(W1426*INDEX(indexy_SDcast!$A:$ALI,MATCH($R1426,indexy_SDcast!$K:$K,0),MATCH(X$2,indexy_SDcast!$2:$2,0)),"#ekrk")),"#popis")</f>
        <v>-32048.951380729493</v>
      </c>
      <c r="Y1426" s="362">
        <f>IF($Q1426="ekrk",IF($R1426="data",IFERROR(INDEX(data!$A:$ALL,MATCH($M1426,data!$A:$A,0),MATCH(Y$2,data!$1:$1,0)),"#data"),IFERROR(X1426*INDEX(indexy_SDcast!$A:$ALI,MATCH($R1426,indexy_SDcast!$K:$K,0),MATCH(Y$2,indexy_SDcast!$2:$2,0)),"#ekrk")),"#popis")</f>
        <v>-32803.811615151717</v>
      </c>
    </row>
    <row r="1427" spans="1:25" x14ac:dyDescent="0.25">
      <c r="A1427" s="330">
        <v>633014</v>
      </c>
      <c r="B1427" s="329">
        <v>-1073.5225600000001</v>
      </c>
      <c r="C1427" s="157"/>
      <c r="D1427" s="330">
        <v>633014</v>
      </c>
      <c r="E1427" s="329">
        <v>-1073.5225600000001</v>
      </c>
      <c r="F1427" s="157"/>
      <c r="G1427" s="330">
        <v>633014</v>
      </c>
      <c r="H1427" s="329">
        <v>-1073.5225600000001</v>
      </c>
      <c r="I1427" s="157"/>
      <c r="J1427" s="330">
        <v>633014</v>
      </c>
      <c r="K1427" s="329">
        <v>-1073.5225600000001</v>
      </c>
      <c r="L1427" s="157"/>
      <c r="M1427" s="360">
        <f t="shared" si="153"/>
        <v>633014</v>
      </c>
      <c r="N1427" s="237">
        <f t="shared" si="154"/>
        <v>-1073.5225600000001</v>
      </c>
      <c r="O1427" s="361"/>
      <c r="P1427" s="361"/>
      <c r="Q1427" s="361" t="s">
        <v>698</v>
      </c>
      <c r="R1427" s="362">
        <f>IF(Q1427="ekrk",INDEX(indexy_SDcast!$A:$C,MATCH($M1427,indexy_SDcast!$A:$A,0),2),"")</f>
        <v>37</v>
      </c>
      <c r="S1427" s="236"/>
      <c r="T1427" s="364">
        <f t="shared" si="151"/>
        <v>633014</v>
      </c>
      <c r="U1427" s="365">
        <f t="shared" si="155"/>
        <v>-1073.5225600000001</v>
      </c>
      <c r="V1427" s="365">
        <f>IF($Q1427="ekrk",IF($R1427="data",IFERROR(INDEX(data!$A:$ALL,MATCH($M1427,data!$A:$A,0),MATCH(V$2,data!$1:$1,0)),"#data"),IFERROR(U1427*INDEX(indexy_SDcast!$A:$ALI,MATCH($R1427,indexy_SDcast!$K:$K,0),MATCH(V$2,indexy_SDcast!$2:$2,0)),"#ekrk")),"#popis")</f>
        <v>-1108.3758713701807</v>
      </c>
      <c r="W1427" s="365">
        <f>IF($Q1427="ekrk",IF($R1427="data",IFERROR(INDEX(data!$A:$ALL,MATCH($M1427,data!$A:$A,0),MATCH(W$2,data!$1:$1,0)),"#data"),IFERROR(V1427*INDEX(indexy_SDcast!$A:$ALI,MATCH($R1427,indexy_SDcast!$K:$K,0),MATCH(W$2,indexy_SDcast!$2:$2,0)),"#ekrk")),"#popis")</f>
        <v>-1157.3968237021691</v>
      </c>
      <c r="X1427" s="365">
        <f>IF($Q1427="ekrk",IF($R1427="data",IFERROR(INDEX(data!$A:$ALL,MATCH($M1427,data!$A:$A,0),MATCH(X$2,data!$1:$1,0)),"#data"),IFERROR(W1427*INDEX(indexy_SDcast!$A:$ALI,MATCH($R1427,indexy_SDcast!$K:$K,0),MATCH(X$2,indexy_SDcast!$2:$2,0)),"#ekrk")),"#popis")</f>
        <v>-1215.768375520408</v>
      </c>
      <c r="Y1427" s="362">
        <f>IF($Q1427="ekrk",IF($R1427="data",IFERROR(INDEX(data!$A:$ALL,MATCH($M1427,data!$A:$A,0),MATCH(Y$2,data!$1:$1,0)),"#data"),IFERROR(X1427*INDEX(indexy_SDcast!$A:$ALI,MATCH($R1427,indexy_SDcast!$K:$K,0),MATCH(Y$2,indexy_SDcast!$2:$2,0)),"#ekrk")),"#popis")</f>
        <v>-1282.7324355213404</v>
      </c>
    </row>
    <row r="1428" spans="1:25" x14ac:dyDescent="0.25">
      <c r="A1428" s="330">
        <v>633015</v>
      </c>
      <c r="B1428" s="329">
        <v>-2487.6419800000017</v>
      </c>
      <c r="C1428" s="157"/>
      <c r="D1428" s="330">
        <v>633015</v>
      </c>
      <c r="E1428" s="329">
        <v>-2487.6419800000017</v>
      </c>
      <c r="F1428" s="157"/>
      <c r="G1428" s="330">
        <v>633015</v>
      </c>
      <c r="H1428" s="329">
        <v>-2487.6419800000017</v>
      </c>
      <c r="I1428" s="157"/>
      <c r="J1428" s="330">
        <v>633015</v>
      </c>
      <c r="K1428" s="329">
        <v>-2487.6419800000017</v>
      </c>
      <c r="L1428" s="157"/>
      <c r="M1428" s="360">
        <f t="shared" si="153"/>
        <v>633015</v>
      </c>
      <c r="N1428" s="237">
        <f t="shared" si="154"/>
        <v>-2487.6419800000017</v>
      </c>
      <c r="O1428" s="361"/>
      <c r="P1428" s="361"/>
      <c r="Q1428" s="361" t="s">
        <v>698</v>
      </c>
      <c r="R1428" s="362">
        <f>IF(Q1428="ekrk",INDEX(indexy_SDcast!$A:$C,MATCH($M1428,indexy_SDcast!$A:$A,0),2),"")</f>
        <v>25</v>
      </c>
      <c r="S1428" s="236"/>
      <c r="T1428" s="364">
        <f t="shared" ref="T1428:T1489" si="156">M1428</f>
        <v>633015</v>
      </c>
      <c r="U1428" s="365">
        <f t="shared" si="155"/>
        <v>-2487.6419800000017</v>
      </c>
      <c r="V1428" s="365">
        <f>IF($Q1428="ekrk",IF($R1428="data",IFERROR(INDEX(data!$A:$ALL,MATCH($M1428,data!$A:$A,0),MATCH(V$2,data!$1:$1,0)),"#data"),IFERROR(U1428*INDEX(indexy_SDcast!$A:$ALI,MATCH($R1428,indexy_SDcast!$K:$K,0),MATCH(V$2,indexy_SDcast!$2:$2,0)),"#ekrk")),"#popis")</f>
        <v>-2506.4174441679324</v>
      </c>
      <c r="W1428" s="365">
        <f>IF($Q1428="ekrk",IF($R1428="data",IFERROR(INDEX(data!$A:$ALL,MATCH($M1428,data!$A:$A,0),MATCH(W$2,data!$1:$1,0)),"#data"),IFERROR(V1428*INDEX(indexy_SDcast!$A:$ALI,MATCH($R1428,indexy_SDcast!$K:$K,0),MATCH(W$2,indexy_SDcast!$2:$2,0)),"#ekrk")),"#popis")</f>
        <v>-2558.4246797479241</v>
      </c>
      <c r="X1428" s="365">
        <f>IF($Q1428="ekrk",IF($R1428="data",IFERROR(INDEX(data!$A:$ALL,MATCH($M1428,data!$A:$A,0),MATCH(X$2,data!$1:$1,0)),"#data"),IFERROR(W1428*INDEX(indexy_SDcast!$A:$ALI,MATCH($R1428,indexy_SDcast!$K:$K,0),MATCH(X$2,indexy_SDcast!$2:$2,0)),"#ekrk")),"#popis")</f>
        <v>-2616.6227299020325</v>
      </c>
      <c r="Y1428" s="362">
        <f>IF($Q1428="ekrk",IF($R1428="data",IFERROR(INDEX(data!$A:$ALL,MATCH($M1428,data!$A:$A,0),MATCH(Y$2,data!$1:$1,0)),"#data"),IFERROR(X1428*INDEX(indexy_SDcast!$A:$ALI,MATCH($R1428,indexy_SDcast!$K:$K,0),MATCH(Y$2,indexy_SDcast!$2:$2,0)),"#ekrk")),"#popis")</f>
        <v>-2678.2529662184697</v>
      </c>
    </row>
    <row r="1429" spans="1:25" x14ac:dyDescent="0.25">
      <c r="A1429" s="330">
        <v>633016</v>
      </c>
      <c r="B1429" s="329">
        <v>-7464.1094300000013</v>
      </c>
      <c r="C1429" s="157"/>
      <c r="D1429" s="330">
        <v>633016</v>
      </c>
      <c r="E1429" s="329">
        <v>-7464.1094300000013</v>
      </c>
      <c r="F1429" s="157"/>
      <c r="G1429" s="330">
        <v>633016</v>
      </c>
      <c r="H1429" s="329">
        <v>-7464.1094300000013</v>
      </c>
      <c r="I1429" s="157"/>
      <c r="J1429" s="330">
        <v>633016</v>
      </c>
      <c r="K1429" s="329">
        <v>-7464.1094300000013</v>
      </c>
      <c r="L1429" s="157"/>
      <c r="M1429" s="360">
        <f t="shared" si="153"/>
        <v>633016</v>
      </c>
      <c r="N1429" s="237">
        <f t="shared" si="154"/>
        <v>-7464.1094300000013</v>
      </c>
      <c r="O1429" s="361"/>
      <c r="P1429" s="361"/>
      <c r="Q1429" s="361" t="s">
        <v>698</v>
      </c>
      <c r="R1429" s="362">
        <f>IF(Q1429="ekrk",INDEX(indexy_SDcast!$A:$C,MATCH($M1429,indexy_SDcast!$A:$A,0),2),"")</f>
        <v>25</v>
      </c>
      <c r="S1429" s="236"/>
      <c r="T1429" s="364">
        <f t="shared" si="156"/>
        <v>633016</v>
      </c>
      <c r="U1429" s="365">
        <f t="shared" si="155"/>
        <v>-7464.1094300000013</v>
      </c>
      <c r="V1429" s="365">
        <f>IF($Q1429="ekrk",IF($R1429="data",IFERROR(INDEX(data!$A:$ALL,MATCH($M1429,data!$A:$A,0),MATCH(V$2,data!$1:$1,0)),"#data"),IFERROR(U1429*INDEX(indexy_SDcast!$A:$ALI,MATCH($R1429,indexy_SDcast!$K:$K,0),MATCH(V$2,indexy_SDcast!$2:$2,0)),"#ekrk")),"#popis")</f>
        <v>-7520.4447548880617</v>
      </c>
      <c r="W1429" s="365">
        <f>IF($Q1429="ekrk",IF($R1429="data",IFERROR(INDEX(data!$A:$ALL,MATCH($M1429,data!$A:$A,0),MATCH(W$2,data!$1:$1,0)),"#data"),IFERROR(V1429*INDEX(indexy_SDcast!$A:$ALI,MATCH($R1429,indexy_SDcast!$K:$K,0),MATCH(W$2,indexy_SDcast!$2:$2,0)),"#ekrk")),"#popis")</f>
        <v>-7676.491203951784</v>
      </c>
      <c r="X1429" s="365">
        <f>IF($Q1429="ekrk",IF($R1429="data",IFERROR(INDEX(data!$A:$ALL,MATCH($M1429,data!$A:$A,0),MATCH(X$2,data!$1:$1,0)),"#data"),IFERROR(W1429*INDEX(indexy_SDcast!$A:$ALI,MATCH($R1429,indexy_SDcast!$K:$K,0),MATCH(X$2,indexy_SDcast!$2:$2,0)),"#ekrk")),"#popis")</f>
        <v>-7851.1130420037753</v>
      </c>
      <c r="Y1429" s="362">
        <f>IF($Q1429="ekrk",IF($R1429="data",IFERROR(INDEX(data!$A:$ALL,MATCH($M1429,data!$A:$A,0),MATCH(Y$2,data!$1:$1,0)),"#data"),IFERROR(X1429*INDEX(indexy_SDcast!$A:$ALI,MATCH($R1429,indexy_SDcast!$K:$K,0),MATCH(Y$2,indexy_SDcast!$2:$2,0)),"#ekrk")),"#popis")</f>
        <v>-8036.0330713974945</v>
      </c>
    </row>
    <row r="1430" spans="1:25" x14ac:dyDescent="0.25">
      <c r="A1430" s="330">
        <v>633018</v>
      </c>
      <c r="B1430" s="329">
        <v>-6534.8532799999994</v>
      </c>
      <c r="C1430" s="157"/>
      <c r="D1430" s="330">
        <v>633018</v>
      </c>
      <c r="E1430" s="329">
        <v>-6534.8532799999994</v>
      </c>
      <c r="F1430" s="157"/>
      <c r="G1430" s="330">
        <v>633018</v>
      </c>
      <c r="H1430" s="329">
        <v>-6534.8532799999994</v>
      </c>
      <c r="I1430" s="157"/>
      <c r="J1430" s="330">
        <v>633018</v>
      </c>
      <c r="K1430" s="329">
        <v>-6534.8532799999994</v>
      </c>
      <c r="L1430" s="157"/>
      <c r="M1430" s="360">
        <f t="shared" si="153"/>
        <v>633018</v>
      </c>
      <c r="N1430" s="237">
        <f t="shared" si="154"/>
        <v>-6534.8532799999994</v>
      </c>
      <c r="O1430" s="361"/>
      <c r="P1430" s="361"/>
      <c r="Q1430" s="361" t="s">
        <v>698</v>
      </c>
      <c r="R1430" s="362">
        <f>IF(Q1430="ekrk",INDEX(indexy_SDcast!$A:$C,MATCH($M1430,indexy_SDcast!$A:$A,0),2),"")</f>
        <v>25</v>
      </c>
      <c r="S1430" s="236"/>
      <c r="T1430" s="364">
        <f t="shared" si="156"/>
        <v>633018</v>
      </c>
      <c r="U1430" s="365">
        <f t="shared" si="155"/>
        <v>-6534.8532799999994</v>
      </c>
      <c r="V1430" s="365">
        <f>IF($Q1430="ekrk",IF($R1430="data",IFERROR(INDEX(data!$A:$ALL,MATCH($M1430,data!$A:$A,0),MATCH(V$2,data!$1:$1,0)),"#data"),IFERROR(U1430*INDEX(indexy_SDcast!$A:$ALI,MATCH($R1430,indexy_SDcast!$K:$K,0),MATCH(V$2,indexy_SDcast!$2:$2,0)),"#ekrk")),"#popis")</f>
        <v>-6584.1750492046358</v>
      </c>
      <c r="W1430" s="365">
        <f>IF($Q1430="ekrk",IF($R1430="data",IFERROR(INDEX(data!$A:$ALL,MATCH($M1430,data!$A:$A,0),MATCH(W$2,data!$1:$1,0)),"#data"),IFERROR(V1430*INDEX(indexy_SDcast!$A:$ALI,MATCH($R1430,indexy_SDcast!$K:$K,0),MATCH(W$2,indexy_SDcast!$2:$2,0)),"#ekrk")),"#popis")</f>
        <v>-6720.7942479261665</v>
      </c>
      <c r="X1430" s="365">
        <f>IF($Q1430="ekrk",IF($R1430="data",IFERROR(INDEX(data!$A:$ALL,MATCH($M1430,data!$A:$A,0),MATCH(X$2,data!$1:$1,0)),"#data"),IFERROR(W1430*INDEX(indexy_SDcast!$A:$ALI,MATCH($R1430,indexy_SDcast!$K:$K,0),MATCH(X$2,indexy_SDcast!$2:$2,0)),"#ekrk")),"#popis")</f>
        <v>-6873.6762631023139</v>
      </c>
      <c r="Y1430" s="362">
        <f>IF($Q1430="ekrk",IF($R1430="data",IFERROR(INDEX(data!$A:$ALL,MATCH($M1430,data!$A:$A,0),MATCH(Y$2,data!$1:$1,0)),"#data"),IFERROR(X1430*INDEX(indexy_SDcast!$A:$ALI,MATCH($R1430,indexy_SDcast!$K:$K,0),MATCH(Y$2,indexy_SDcast!$2:$2,0)),"#ekrk")),"#popis")</f>
        <v>-7035.5743799445318</v>
      </c>
    </row>
    <row r="1431" spans="1:25" x14ac:dyDescent="0.25">
      <c r="A1431" s="330">
        <v>633019</v>
      </c>
      <c r="B1431" s="329">
        <v>-81.891480000000016</v>
      </c>
      <c r="C1431" s="157"/>
      <c r="D1431" s="330">
        <v>633019</v>
      </c>
      <c r="E1431" s="329">
        <v>-81.891480000000016</v>
      </c>
      <c r="F1431" s="157"/>
      <c r="G1431" s="330">
        <v>633019</v>
      </c>
      <c r="H1431" s="329">
        <v>-81.891480000000016</v>
      </c>
      <c r="I1431" s="157"/>
      <c r="J1431" s="330">
        <v>633019</v>
      </c>
      <c r="K1431" s="329">
        <v>-81.891480000000016</v>
      </c>
      <c r="L1431" s="157"/>
      <c r="M1431" s="360">
        <f t="shared" si="153"/>
        <v>633019</v>
      </c>
      <c r="N1431" s="237">
        <f t="shared" si="154"/>
        <v>-81.891480000000016</v>
      </c>
      <c r="O1431" s="361"/>
      <c r="P1431" s="361"/>
      <c r="Q1431" s="361" t="s">
        <v>698</v>
      </c>
      <c r="R1431" s="362">
        <f>IF(Q1431="ekrk",INDEX(indexy_SDcast!$A:$C,MATCH($M1431,indexy_SDcast!$A:$A,0),2),"")</f>
        <v>25</v>
      </c>
      <c r="S1431" s="236"/>
      <c r="T1431" s="364">
        <f t="shared" si="156"/>
        <v>633019</v>
      </c>
      <c r="U1431" s="365">
        <f t="shared" si="155"/>
        <v>-81.891480000000016</v>
      </c>
      <c r="V1431" s="365">
        <f>IF($Q1431="ekrk",IF($R1431="data",IFERROR(INDEX(data!$A:$ALL,MATCH($M1431,data!$A:$A,0),MATCH(V$2,data!$1:$1,0)),"#data"),IFERROR(U1431*INDEX(indexy_SDcast!$A:$ALI,MATCH($R1431,indexy_SDcast!$K:$K,0),MATCH(V$2,indexy_SDcast!$2:$2,0)),"#ekrk")),"#popis")</f>
        <v>-82.509555495091476</v>
      </c>
      <c r="W1431" s="365">
        <f>IF($Q1431="ekrk",IF($R1431="data",IFERROR(INDEX(data!$A:$ALL,MATCH($M1431,data!$A:$A,0),MATCH(W$2,data!$1:$1,0)),"#data"),IFERROR(V1431*INDEX(indexy_SDcast!$A:$ALI,MATCH($R1431,indexy_SDcast!$K:$K,0),MATCH(W$2,indexy_SDcast!$2:$2,0)),"#ekrk")),"#popis")</f>
        <v>-84.221598275602105</v>
      </c>
      <c r="X1431" s="365">
        <f>IF($Q1431="ekrk",IF($R1431="data",IFERROR(INDEX(data!$A:$ALL,MATCH($M1431,data!$A:$A,0),MATCH(X$2,data!$1:$1,0)),"#data"),IFERROR(W1431*INDEX(indexy_SDcast!$A:$ALI,MATCH($R1431,indexy_SDcast!$K:$K,0),MATCH(X$2,indexy_SDcast!$2:$2,0)),"#ekrk")),"#popis")</f>
        <v>-86.137438456203242</v>
      </c>
      <c r="Y1431" s="362">
        <f>IF($Q1431="ekrk",IF($R1431="data",IFERROR(INDEX(data!$A:$ALL,MATCH($M1431,data!$A:$A,0),MATCH(Y$2,data!$1:$1,0)),"#data"),IFERROR(X1431*INDEX(indexy_SDcast!$A:$ALI,MATCH($R1431,indexy_SDcast!$K:$K,0),MATCH(Y$2,indexy_SDcast!$2:$2,0)),"#ekrk")),"#popis")</f>
        <v>-88.166263868091008</v>
      </c>
    </row>
    <row r="1432" spans="1:25" x14ac:dyDescent="0.25">
      <c r="A1432" s="330">
        <v>633200</v>
      </c>
      <c r="B1432" s="329">
        <v>-50.116259999999997</v>
      </c>
      <c r="C1432" s="157"/>
      <c r="D1432" s="330">
        <v>633200</v>
      </c>
      <c r="E1432" s="329">
        <v>-50.116259999999997</v>
      </c>
      <c r="F1432" s="157"/>
      <c r="G1432" s="330">
        <v>633200</v>
      </c>
      <c r="H1432" s="329">
        <v>-50.116259999999997</v>
      </c>
      <c r="I1432" s="157"/>
      <c r="J1432" s="330">
        <v>633200</v>
      </c>
      <c r="K1432" s="329">
        <v>-50.116259999999997</v>
      </c>
      <c r="L1432" s="157"/>
      <c r="M1432" s="360">
        <f t="shared" si="153"/>
        <v>633200</v>
      </c>
      <c r="N1432" s="237">
        <f t="shared" si="154"/>
        <v>-50.116259999999997</v>
      </c>
      <c r="O1432" s="361"/>
      <c r="P1432" s="361"/>
      <c r="Q1432" s="361" t="s">
        <v>698</v>
      </c>
      <c r="R1432" s="362">
        <f>IF(Q1432="ekrk",INDEX(indexy_SDcast!$A:$C,MATCH($M1432,indexy_SDcast!$A:$A,0),2),"")</f>
        <v>25</v>
      </c>
      <c r="S1432" s="236"/>
      <c r="T1432" s="364">
        <f t="shared" si="156"/>
        <v>633200</v>
      </c>
      <c r="U1432" s="365">
        <f t="shared" si="155"/>
        <v>-50.116259999999997</v>
      </c>
      <c r="V1432" s="365">
        <f>IF($Q1432="ekrk",IF($R1432="data",IFERROR(INDEX(data!$A:$ALL,MATCH($M1432,data!$A:$A,0),MATCH(V$2,data!$1:$1,0)),"#data"),IFERROR(U1432*INDEX(indexy_SDcast!$A:$ALI,MATCH($R1432,indexy_SDcast!$K:$K,0),MATCH(V$2,indexy_SDcast!$2:$2,0)),"#ekrk")),"#popis")</f>
        <v>-50.49451219682966</v>
      </c>
      <c r="W1432" s="365">
        <f>IF($Q1432="ekrk",IF($R1432="data",IFERROR(INDEX(data!$A:$ALL,MATCH($M1432,data!$A:$A,0),MATCH(W$2,data!$1:$1,0)),"#data"),IFERROR(V1432*INDEX(indexy_SDcast!$A:$ALI,MATCH($R1432,indexy_SDcast!$K:$K,0),MATCH(W$2,indexy_SDcast!$2:$2,0)),"#ekrk")),"#popis")</f>
        <v>-51.542254661847927</v>
      </c>
      <c r="X1432" s="365">
        <f>IF($Q1432="ekrk",IF($R1432="data",IFERROR(INDEX(data!$A:$ALL,MATCH($M1432,data!$A:$A,0),MATCH(X$2,data!$1:$1,0)),"#data"),IFERROR(W1432*INDEX(indexy_SDcast!$A:$ALI,MATCH($R1432,indexy_SDcast!$K:$K,0),MATCH(X$2,indexy_SDcast!$2:$2,0)),"#ekrk")),"#popis")</f>
        <v>-52.714717836398606</v>
      </c>
      <c r="Y1432" s="362">
        <f>IF($Q1432="ekrk",IF($R1432="data",IFERROR(INDEX(data!$A:$ALL,MATCH($M1432,data!$A:$A,0),MATCH(Y$2,data!$1:$1,0)),"#data"),IFERROR(X1432*INDEX(indexy_SDcast!$A:$ALI,MATCH($R1432,indexy_SDcast!$K:$K,0),MATCH(Y$2,indexy_SDcast!$2:$2,0)),"#ekrk")),"#popis")</f>
        <v>-53.956326143352818</v>
      </c>
    </row>
    <row r="1433" spans="1:25" x14ac:dyDescent="0.25">
      <c r="A1433" s="330">
        <v>634000</v>
      </c>
      <c r="B1433" s="329">
        <v>-120.25444</v>
      </c>
      <c r="C1433" s="157"/>
      <c r="D1433" s="330">
        <v>634000</v>
      </c>
      <c r="E1433" s="329">
        <v>-120.25444</v>
      </c>
      <c r="F1433" s="157"/>
      <c r="G1433" s="330">
        <v>634000</v>
      </c>
      <c r="H1433" s="329">
        <v>-120.25444</v>
      </c>
      <c r="I1433" s="157"/>
      <c r="J1433" s="330">
        <v>634000</v>
      </c>
      <c r="K1433" s="329">
        <v>-120.25444</v>
      </c>
      <c r="L1433" s="157"/>
      <c r="M1433" s="360">
        <f t="shared" si="153"/>
        <v>634000</v>
      </c>
      <c r="N1433" s="237">
        <f t="shared" si="154"/>
        <v>-120.25444</v>
      </c>
      <c r="O1433" s="361"/>
      <c r="P1433" s="361"/>
      <c r="Q1433" s="361" t="s">
        <v>698</v>
      </c>
      <c r="R1433" s="362">
        <f>IF(Q1433="ekrk",INDEX(indexy_SDcast!$A:$C,MATCH($M1433,indexy_SDcast!$A:$A,0),2),"")</f>
        <v>25</v>
      </c>
      <c r="S1433" s="236"/>
      <c r="T1433" s="364">
        <f t="shared" si="156"/>
        <v>634000</v>
      </c>
      <c r="U1433" s="365">
        <f t="shared" si="155"/>
        <v>-120.25444</v>
      </c>
      <c r="V1433" s="365">
        <f>IF($Q1433="ekrk",IF($R1433="data",IFERROR(INDEX(data!$A:$ALL,MATCH($M1433,data!$A:$A,0),MATCH(V$2,data!$1:$1,0)),"#data"),IFERROR(U1433*INDEX(indexy_SDcast!$A:$ALI,MATCH($R1433,indexy_SDcast!$K:$K,0),MATCH(V$2,indexy_SDcast!$2:$2,0)),"#ekrk")),"#popis")</f>
        <v>-121.16205972478635</v>
      </c>
      <c r="W1433" s="365">
        <f>IF($Q1433="ekrk",IF($R1433="data",IFERROR(INDEX(data!$A:$ALL,MATCH($M1433,data!$A:$A,0),MATCH(W$2,data!$1:$1,0)),"#data"),IFERROR(V1433*INDEX(indexy_SDcast!$A:$ALI,MATCH($R1433,indexy_SDcast!$K:$K,0),MATCH(W$2,indexy_SDcast!$2:$2,0)),"#ekrk")),"#popis")</f>
        <v>-123.67612768187234</v>
      </c>
      <c r="X1433" s="365">
        <f>IF($Q1433="ekrk",IF($R1433="data",IFERROR(INDEX(data!$A:$ALL,MATCH($M1433,data!$A:$A,0),MATCH(X$2,data!$1:$1,0)),"#data"),IFERROR(W1433*INDEX(indexy_SDcast!$A:$ALI,MATCH($R1433,indexy_SDcast!$K:$K,0),MATCH(X$2,indexy_SDcast!$2:$2,0)),"#ekrk")),"#popis")</f>
        <v>-126.4894641614144</v>
      </c>
      <c r="Y1433" s="362">
        <f>IF($Q1433="ekrk",IF($R1433="data",IFERROR(INDEX(data!$A:$ALL,MATCH($M1433,data!$A:$A,0),MATCH(Y$2,data!$1:$1,0)),"#data"),IFERROR(X1433*INDEX(indexy_SDcast!$A:$ALI,MATCH($R1433,indexy_SDcast!$K:$K,0),MATCH(Y$2,indexy_SDcast!$2:$2,0)),"#ekrk")),"#popis")</f>
        <v>-129.46871504031333</v>
      </c>
    </row>
    <row r="1434" spans="1:25" x14ac:dyDescent="0.25">
      <c r="A1434" s="330">
        <v>634001</v>
      </c>
      <c r="B1434" s="329">
        <v>-72730.42512</v>
      </c>
      <c r="C1434" s="157"/>
      <c r="D1434" s="330">
        <v>634001</v>
      </c>
      <c r="E1434" s="329">
        <v>-72730.42512</v>
      </c>
      <c r="F1434" s="157"/>
      <c r="G1434" s="330">
        <v>634001</v>
      </c>
      <c r="H1434" s="329">
        <v>-72730.42512</v>
      </c>
      <c r="I1434" s="157"/>
      <c r="J1434" s="330">
        <v>634001</v>
      </c>
      <c r="K1434" s="329">
        <v>-72730.42512</v>
      </c>
      <c r="L1434" s="157"/>
      <c r="M1434" s="360">
        <f t="shared" si="153"/>
        <v>634001</v>
      </c>
      <c r="N1434" s="237">
        <f t="shared" si="154"/>
        <v>-72730.42512</v>
      </c>
      <c r="O1434" s="361"/>
      <c r="P1434" s="361"/>
      <c r="Q1434" s="361" t="s">
        <v>698</v>
      </c>
      <c r="R1434" s="362">
        <f>IF(Q1434="ekrk",INDEX(indexy_SDcast!$A:$C,MATCH($M1434,indexy_SDcast!$A:$A,0),2),"")</f>
        <v>25</v>
      </c>
      <c r="S1434" s="236"/>
      <c r="T1434" s="364">
        <f t="shared" si="156"/>
        <v>634001</v>
      </c>
      <c r="U1434" s="365">
        <f t="shared" si="155"/>
        <v>-72730.42512</v>
      </c>
      <c r="V1434" s="365">
        <f>IF($Q1434="ekrk",IF($R1434="data",IFERROR(INDEX(data!$A:$ALL,MATCH($M1434,data!$A:$A,0),MATCH(V$2,data!$1:$1,0)),"#data"),IFERROR(U1434*INDEX(indexy_SDcast!$A:$ALI,MATCH($R1434,indexy_SDcast!$K:$K,0),MATCH(V$2,indexy_SDcast!$2:$2,0)),"#ekrk")),"#popis")</f>
        <v>-73279.357603748693</v>
      </c>
      <c r="W1434" s="365">
        <f>IF($Q1434="ekrk",IF($R1434="data",IFERROR(INDEX(data!$A:$ALL,MATCH($M1434,data!$A:$A,0),MATCH(W$2,data!$1:$1,0)),"#data"),IFERROR(V1434*INDEX(indexy_SDcast!$A:$ALI,MATCH($R1434,indexy_SDcast!$K:$K,0),MATCH(W$2,indexy_SDcast!$2:$2,0)),"#ekrk")),"#popis")</f>
        <v>-74799.87718954889</v>
      </c>
      <c r="X1434" s="365">
        <f>IF($Q1434="ekrk",IF($R1434="data",IFERROR(INDEX(data!$A:$ALL,MATCH($M1434,data!$A:$A,0),MATCH(X$2,data!$1:$1,0)),"#data"),IFERROR(W1434*INDEX(indexy_SDcast!$A:$ALI,MATCH($R1434,indexy_SDcast!$K:$K,0),MATCH(X$2,indexy_SDcast!$2:$2,0)),"#ekrk")),"#popis")</f>
        <v>-76501.395721111621</v>
      </c>
      <c r="Y1434" s="362">
        <f>IF($Q1434="ekrk",IF($R1434="data",IFERROR(INDEX(data!$A:$ALL,MATCH($M1434,data!$A:$A,0),MATCH(Y$2,data!$1:$1,0)),"#data"),IFERROR(X1434*INDEX(indexy_SDcast!$A:$ALI,MATCH($R1434,indexy_SDcast!$K:$K,0),MATCH(Y$2,indexy_SDcast!$2:$2,0)),"#ekrk")),"#popis")</f>
        <v>-78303.260026175558</v>
      </c>
    </row>
    <row r="1435" spans="1:25" x14ac:dyDescent="0.25">
      <c r="A1435" s="330">
        <v>634002</v>
      </c>
      <c r="B1435" s="329">
        <v>-32033.950669999991</v>
      </c>
      <c r="C1435" s="157"/>
      <c r="D1435" s="330">
        <v>634002</v>
      </c>
      <c r="E1435" s="329">
        <v>-32033.950669999991</v>
      </c>
      <c r="F1435" s="157"/>
      <c r="G1435" s="330">
        <v>634002</v>
      </c>
      <c r="H1435" s="329">
        <v>-32033.950669999991</v>
      </c>
      <c r="I1435" s="157"/>
      <c r="J1435" s="330">
        <v>634002</v>
      </c>
      <c r="K1435" s="329">
        <v>-32033.950669999991</v>
      </c>
      <c r="L1435" s="157"/>
      <c r="M1435" s="360">
        <f t="shared" si="153"/>
        <v>634002</v>
      </c>
      <c r="N1435" s="237">
        <f t="shared" si="154"/>
        <v>-32033.950669999991</v>
      </c>
      <c r="O1435" s="361"/>
      <c r="P1435" s="361"/>
      <c r="Q1435" s="361" t="s">
        <v>698</v>
      </c>
      <c r="R1435" s="362">
        <f>IF(Q1435="ekrk",INDEX(indexy_SDcast!$A:$C,MATCH($M1435,indexy_SDcast!$A:$A,0),2),"")</f>
        <v>25</v>
      </c>
      <c r="S1435" s="236"/>
      <c r="T1435" s="364">
        <f t="shared" si="156"/>
        <v>634002</v>
      </c>
      <c r="U1435" s="365">
        <f t="shared" ref="U1435:U1466" si="157">N1435</f>
        <v>-32033.950669999991</v>
      </c>
      <c r="V1435" s="365">
        <f>IF($Q1435="ekrk",IF($R1435="data",IFERROR(INDEX(data!$A:$ALL,MATCH($M1435,data!$A:$A,0),MATCH(V$2,data!$1:$1,0)),"#data"),IFERROR(U1435*INDEX(indexy_SDcast!$A:$ALI,MATCH($R1435,indexy_SDcast!$K:$K,0),MATCH(V$2,indexy_SDcast!$2:$2,0)),"#ekrk")),"#popis")</f>
        <v>-32275.72673657121</v>
      </c>
      <c r="W1435" s="365">
        <f>IF($Q1435="ekrk",IF($R1435="data",IFERROR(INDEX(data!$A:$ALL,MATCH($M1435,data!$A:$A,0),MATCH(W$2,data!$1:$1,0)),"#data"),IFERROR(V1435*INDEX(indexy_SDcast!$A:$ALI,MATCH($R1435,indexy_SDcast!$K:$K,0),MATCH(W$2,indexy_SDcast!$2:$2,0)),"#ekrk")),"#popis")</f>
        <v>-32945.436137058387</v>
      </c>
      <c r="X1435" s="365">
        <f>IF($Q1435="ekrk",IF($R1435="data",IFERROR(INDEX(data!$A:$ALL,MATCH($M1435,data!$A:$A,0),MATCH(X$2,data!$1:$1,0)),"#data"),IFERROR(W1435*INDEX(indexy_SDcast!$A:$ALI,MATCH($R1435,indexy_SDcast!$K:$K,0),MATCH(X$2,indexy_SDcast!$2:$2,0)),"#ekrk")),"#popis")</f>
        <v>-33694.866112398689</v>
      </c>
      <c r="Y1435" s="362">
        <f>IF($Q1435="ekrk",IF($R1435="data",IFERROR(INDEX(data!$A:$ALL,MATCH($M1435,data!$A:$A,0),MATCH(Y$2,data!$1:$1,0)),"#data"),IFERROR(X1435*INDEX(indexy_SDcast!$A:$ALI,MATCH($R1435,indexy_SDcast!$K:$K,0),MATCH(Y$2,indexy_SDcast!$2:$2,0)),"#ekrk")),"#popis")</f>
        <v>-34488.493155925746</v>
      </c>
    </row>
    <row r="1436" spans="1:25" x14ac:dyDescent="0.25">
      <c r="A1436" s="330">
        <v>634004</v>
      </c>
      <c r="B1436" s="329">
        <v>-6222.764830000001</v>
      </c>
      <c r="C1436" s="157"/>
      <c r="D1436" s="330">
        <v>634004</v>
      </c>
      <c r="E1436" s="329">
        <v>-6222.764830000001</v>
      </c>
      <c r="F1436" s="157"/>
      <c r="G1436" s="330">
        <v>634004</v>
      </c>
      <c r="H1436" s="329">
        <v>-6222.764830000001</v>
      </c>
      <c r="I1436" s="157"/>
      <c r="J1436" s="330">
        <v>634004</v>
      </c>
      <c r="K1436" s="329">
        <v>-6222.764830000001</v>
      </c>
      <c r="L1436" s="157"/>
      <c r="M1436" s="360">
        <f t="shared" si="153"/>
        <v>634004</v>
      </c>
      <c r="N1436" s="237">
        <f t="shared" si="154"/>
        <v>-6222.764830000001</v>
      </c>
      <c r="O1436" s="361"/>
      <c r="P1436" s="361"/>
      <c r="Q1436" s="361" t="s">
        <v>698</v>
      </c>
      <c r="R1436" s="362">
        <f>IF(Q1436="ekrk",INDEX(indexy_SDcast!$A:$C,MATCH($M1436,indexy_SDcast!$A:$A,0),2),"")</f>
        <v>25</v>
      </c>
      <c r="S1436" s="236"/>
      <c r="T1436" s="364">
        <f t="shared" si="156"/>
        <v>634004</v>
      </c>
      <c r="U1436" s="365">
        <f t="shared" si="157"/>
        <v>-6222.764830000001</v>
      </c>
      <c r="V1436" s="365">
        <f>IF($Q1436="ekrk",IF($R1436="data",IFERROR(INDEX(data!$A:$ALL,MATCH($M1436,data!$A:$A,0),MATCH(V$2,data!$1:$1,0)),"#data"),IFERROR(U1436*INDEX(indexy_SDcast!$A:$ALI,MATCH($R1436,indexy_SDcast!$K:$K,0),MATCH(V$2,indexy_SDcast!$2:$2,0)),"#ekrk")),"#popis")</f>
        <v>-6269.7311133440071</v>
      </c>
      <c r="W1436" s="365">
        <f>IF($Q1436="ekrk",IF($R1436="data",IFERROR(INDEX(data!$A:$ALL,MATCH($M1436,data!$A:$A,0),MATCH(W$2,data!$1:$1,0)),"#data"),IFERROR(V1436*INDEX(indexy_SDcast!$A:$ALI,MATCH($R1436,indexy_SDcast!$K:$K,0),MATCH(W$2,indexy_SDcast!$2:$2,0)),"#ekrk")),"#popis")</f>
        <v>-6399.8257166167405</v>
      </c>
      <c r="X1436" s="365">
        <f>IF($Q1436="ekrk",IF($R1436="data",IFERROR(INDEX(data!$A:$ALL,MATCH($M1436,data!$A:$A,0),MATCH(X$2,data!$1:$1,0)),"#data"),IFERROR(W1436*INDEX(indexy_SDcast!$A:$ALI,MATCH($R1436,indexy_SDcast!$K:$K,0),MATCH(X$2,indexy_SDcast!$2:$2,0)),"#ekrk")),"#popis")</f>
        <v>-6545.4064644032696</v>
      </c>
      <c r="Y1436" s="362">
        <f>IF($Q1436="ekrk",IF($R1436="data",IFERROR(INDEX(data!$A:$ALL,MATCH($M1436,data!$A:$A,0),MATCH(Y$2,data!$1:$1,0)),"#data"),IFERROR(X1436*INDEX(indexy_SDcast!$A:$ALI,MATCH($R1436,indexy_SDcast!$K:$K,0),MATCH(Y$2,indexy_SDcast!$2:$2,0)),"#ekrk")),"#popis")</f>
        <v>-6699.5727271122287</v>
      </c>
    </row>
    <row r="1437" spans="1:25" x14ac:dyDescent="0.25">
      <c r="A1437" s="330">
        <v>634005</v>
      </c>
      <c r="B1437" s="329">
        <v>-1256.4558899999981</v>
      </c>
      <c r="C1437" s="157"/>
      <c r="D1437" s="330">
        <v>634005</v>
      </c>
      <c r="E1437" s="329">
        <v>-1256.4558899999981</v>
      </c>
      <c r="F1437" s="157"/>
      <c r="G1437" s="330">
        <v>634005</v>
      </c>
      <c r="H1437" s="329">
        <v>-1256.4558899999981</v>
      </c>
      <c r="I1437" s="157"/>
      <c r="J1437" s="330">
        <v>634005</v>
      </c>
      <c r="K1437" s="329">
        <v>-1256.4558899999981</v>
      </c>
      <c r="L1437" s="157"/>
      <c r="M1437" s="360">
        <f t="shared" si="153"/>
        <v>634005</v>
      </c>
      <c r="N1437" s="237">
        <f t="shared" si="154"/>
        <v>-1256.4558899999981</v>
      </c>
      <c r="O1437" s="361"/>
      <c r="P1437" s="361"/>
      <c r="Q1437" s="361" t="s">
        <v>698</v>
      </c>
      <c r="R1437" s="362">
        <f>IF(Q1437="ekrk",INDEX(indexy_SDcast!$A:$C,MATCH($M1437,indexy_SDcast!$A:$A,0),2),"")</f>
        <v>25</v>
      </c>
      <c r="S1437" s="236"/>
      <c r="T1437" s="364">
        <f t="shared" si="156"/>
        <v>634005</v>
      </c>
      <c r="U1437" s="365">
        <f t="shared" si="157"/>
        <v>-1256.4558899999981</v>
      </c>
      <c r="V1437" s="365">
        <f>IF($Q1437="ekrk",IF($R1437="data",IFERROR(INDEX(data!$A:$ALL,MATCH($M1437,data!$A:$A,0),MATCH(V$2,data!$1:$1,0)),"#data"),IFERROR(U1437*INDEX(indexy_SDcast!$A:$ALI,MATCH($R1437,indexy_SDcast!$K:$K,0),MATCH(V$2,indexy_SDcast!$2:$2,0)),"#ekrk")),"#popis")</f>
        <v>-1265.9389839222515</v>
      </c>
      <c r="W1437" s="365">
        <f>IF($Q1437="ekrk",IF($R1437="data",IFERROR(INDEX(data!$A:$ALL,MATCH($M1437,data!$A:$A,0),MATCH(W$2,data!$1:$1,0)),"#data"),IFERROR(V1437*INDEX(indexy_SDcast!$A:$ALI,MATCH($R1437,indexy_SDcast!$K:$K,0),MATCH(W$2,indexy_SDcast!$2:$2,0)),"#ekrk")),"#popis")</f>
        <v>-1292.2067499402128</v>
      </c>
      <c r="X1437" s="365">
        <f>IF($Q1437="ekrk",IF($R1437="data",IFERROR(INDEX(data!$A:$ALL,MATCH($M1437,data!$A:$A,0),MATCH(X$2,data!$1:$1,0)),"#data"),IFERROR(W1437*INDEX(indexy_SDcast!$A:$ALI,MATCH($R1437,indexy_SDcast!$K:$K,0),MATCH(X$2,indexy_SDcast!$2:$2,0)),"#ekrk")),"#popis")</f>
        <v>-1321.6013668065214</v>
      </c>
      <c r="Y1437" s="362">
        <f>IF($Q1437="ekrk",IF($R1437="data",IFERROR(INDEX(data!$A:$ALL,MATCH($M1437,data!$A:$A,0),MATCH(Y$2,data!$1:$1,0)),"#data"),IFERROR(X1437*INDEX(indexy_SDcast!$A:$ALI,MATCH($R1437,indexy_SDcast!$K:$K,0),MATCH(Y$2,indexy_SDcast!$2:$2,0)),"#ekrk")),"#popis")</f>
        <v>-1352.7295090570713</v>
      </c>
    </row>
    <row r="1438" spans="1:25" x14ac:dyDescent="0.25">
      <c r="A1438" s="330">
        <v>634006</v>
      </c>
      <c r="B1438" s="329">
        <v>-220.89171999999988</v>
      </c>
      <c r="C1438" s="157"/>
      <c r="D1438" s="330">
        <v>634006</v>
      </c>
      <c r="E1438" s="329">
        <v>-220.89171999999988</v>
      </c>
      <c r="F1438" s="157"/>
      <c r="G1438" s="330">
        <v>634006</v>
      </c>
      <c r="H1438" s="329">
        <v>-220.89171999999988</v>
      </c>
      <c r="I1438" s="157"/>
      <c r="J1438" s="330">
        <v>634006</v>
      </c>
      <c r="K1438" s="329">
        <v>-220.89171999999988</v>
      </c>
      <c r="L1438" s="157"/>
      <c r="M1438" s="360">
        <f t="shared" si="153"/>
        <v>634006</v>
      </c>
      <c r="N1438" s="237">
        <f t="shared" si="154"/>
        <v>-220.89171999999988</v>
      </c>
      <c r="O1438" s="361"/>
      <c r="P1438" s="361"/>
      <c r="Q1438" s="361" t="s">
        <v>698</v>
      </c>
      <c r="R1438" s="362">
        <f>IF(Q1438="ekrk",INDEX(indexy_SDcast!$A:$C,MATCH($M1438,indexy_SDcast!$A:$A,0),2),"")</f>
        <v>25</v>
      </c>
      <c r="S1438" s="236"/>
      <c r="T1438" s="364">
        <f t="shared" si="156"/>
        <v>634006</v>
      </c>
      <c r="U1438" s="365">
        <f t="shared" si="157"/>
        <v>-220.89171999999988</v>
      </c>
      <c r="V1438" s="365">
        <f>IF($Q1438="ekrk",IF($R1438="data",IFERROR(INDEX(data!$A:$ALL,MATCH($M1438,data!$A:$A,0),MATCH(V$2,data!$1:$1,0)),"#data"),IFERROR(U1438*INDEX(indexy_SDcast!$A:$ALI,MATCH($R1438,indexy_SDcast!$K:$K,0),MATCH(V$2,indexy_SDcast!$2:$2,0)),"#ekrk")),"#popis")</f>
        <v>-222.55889904232032</v>
      </c>
      <c r="W1438" s="365">
        <f>IF($Q1438="ekrk",IF($R1438="data",IFERROR(INDEX(data!$A:$ALL,MATCH($M1438,data!$A:$A,0),MATCH(W$2,data!$1:$1,0)),"#data"),IFERROR(V1438*INDEX(indexy_SDcast!$A:$ALI,MATCH($R1438,indexy_SDcast!$K:$K,0),MATCH(W$2,indexy_SDcast!$2:$2,0)),"#ekrk")),"#popis")</f>
        <v>-227.17691393838248</v>
      </c>
      <c r="X1438" s="365">
        <f>IF($Q1438="ekrk",IF($R1438="data",IFERROR(INDEX(data!$A:$ALL,MATCH($M1438,data!$A:$A,0),MATCH(X$2,data!$1:$1,0)),"#data"),IFERROR(W1438*INDEX(indexy_SDcast!$A:$ALI,MATCH($R1438,indexy_SDcast!$K:$K,0),MATCH(X$2,indexy_SDcast!$2:$2,0)),"#ekrk")),"#popis")</f>
        <v>-232.34464607288655</v>
      </c>
      <c r="Y1438" s="362">
        <f>IF($Q1438="ekrk",IF($R1438="data",IFERROR(INDEX(data!$A:$ALL,MATCH($M1438,data!$A:$A,0),MATCH(Y$2,data!$1:$1,0)),"#data"),IFERROR(X1438*INDEX(indexy_SDcast!$A:$ALI,MATCH($R1438,indexy_SDcast!$K:$K,0),MATCH(Y$2,indexy_SDcast!$2:$2,0)),"#ekrk")),"#popis")</f>
        <v>-237.81714131673363</v>
      </c>
    </row>
    <row r="1439" spans="1:25" x14ac:dyDescent="0.25">
      <c r="A1439" s="330">
        <v>635000</v>
      </c>
      <c r="B1439" s="329">
        <v>-152.05410999999998</v>
      </c>
      <c r="C1439" s="157"/>
      <c r="D1439" s="330">
        <v>635000</v>
      </c>
      <c r="E1439" s="329">
        <v>-152.05410999999998</v>
      </c>
      <c r="F1439" s="157"/>
      <c r="G1439" s="330">
        <v>635000</v>
      </c>
      <c r="H1439" s="356">
        <f>E1439+E1490+E1491</f>
        <v>-178407.05411</v>
      </c>
      <c r="I1439" s="157"/>
      <c r="J1439" s="330">
        <v>635000</v>
      </c>
      <c r="K1439" s="329">
        <f>H1439+H1490+H1491</f>
        <v>-178407.05411</v>
      </c>
      <c r="L1439" s="157"/>
      <c r="M1439" s="360">
        <f t="shared" si="153"/>
        <v>635000</v>
      </c>
      <c r="N1439" s="237">
        <f t="shared" si="154"/>
        <v>-178407.05411</v>
      </c>
      <c r="O1439" s="361"/>
      <c r="P1439" s="361"/>
      <c r="Q1439" s="361" t="s">
        <v>698</v>
      </c>
      <c r="R1439" s="362">
        <f>IF(Q1439="ekrk",INDEX(indexy_SDcast!$A:$C,MATCH($M1439,indexy_SDcast!$A:$A,0),2),"")</f>
        <v>25</v>
      </c>
      <c r="S1439" s="236"/>
      <c r="T1439" s="364">
        <f t="shared" si="156"/>
        <v>635000</v>
      </c>
      <c r="U1439" s="365">
        <f t="shared" si="157"/>
        <v>-178407.05411</v>
      </c>
      <c r="V1439" s="365">
        <f>IF($Q1439="ekrk",IF($R1439="data",IFERROR(INDEX(data!$A:$ALL,MATCH($M1439,data!$A:$A,0),MATCH(V$2,data!$1:$1,0)),"#data"),IFERROR(U1439*INDEX(indexy_SDcast!$A:$ALI,MATCH($R1439,indexy_SDcast!$K:$K,0),MATCH(V$2,indexy_SDcast!$2:$2,0)),"#ekrk")),"#popis")</f>
        <v>-179753.5803700804</v>
      </c>
      <c r="W1439" s="365">
        <f>IF($Q1439="ekrk",IF($R1439="data",IFERROR(INDEX(data!$A:$ALL,MATCH($M1439,data!$A:$A,0),MATCH(W$2,data!$1:$1,0)),"#data"),IFERROR(V1439*INDEX(indexy_SDcast!$A:$ALI,MATCH($R1439,indexy_SDcast!$K:$K,0),MATCH(W$2,indexy_SDcast!$2:$2,0)),"#ekrk")),"#popis")</f>
        <v>-183483.40072478881</v>
      </c>
      <c r="X1439" s="365">
        <f>IF($Q1439="ekrk",IF($R1439="data",IFERROR(INDEX(data!$A:$ALL,MATCH($M1439,data!$A:$A,0),MATCH(X$2,data!$1:$1,0)),"#data"),IFERROR(W1439*INDEX(indexy_SDcast!$A:$ALI,MATCH($R1439,indexy_SDcast!$K:$K,0),MATCH(X$2,indexy_SDcast!$2:$2,0)),"#ekrk")),"#popis")</f>
        <v>-187657.20980439783</v>
      </c>
      <c r="Y1439" s="362">
        <f>IF($Q1439="ekrk",IF($R1439="data",IFERROR(INDEX(data!$A:$ALL,MATCH($M1439,data!$A:$A,0),MATCH(Y$2,data!$1:$1,0)),"#data"),IFERROR(X1439*INDEX(indexy_SDcast!$A:$ALI,MATCH($R1439,indexy_SDcast!$K:$K,0),MATCH(Y$2,indexy_SDcast!$2:$2,0)),"#ekrk")),"#popis")</f>
        <v>-192077.16612999365</v>
      </c>
    </row>
    <row r="1440" spans="1:25" x14ac:dyDescent="0.25">
      <c r="A1440" s="330">
        <v>635001</v>
      </c>
      <c r="B1440" s="329">
        <v>-541.66940999999974</v>
      </c>
      <c r="C1440" s="157"/>
      <c r="D1440" s="330">
        <v>635001</v>
      </c>
      <c r="E1440" s="329">
        <v>-541.66940999999974</v>
      </c>
      <c r="F1440" s="157"/>
      <c r="G1440" s="330">
        <v>635001</v>
      </c>
      <c r="H1440" s="329">
        <v>-541.66940999999974</v>
      </c>
      <c r="I1440" s="157"/>
      <c r="J1440" s="330">
        <v>635001</v>
      </c>
      <c r="K1440" s="329">
        <v>-541.66940999999974</v>
      </c>
      <c r="L1440" s="157"/>
      <c r="M1440" s="360">
        <f t="shared" si="153"/>
        <v>635001</v>
      </c>
      <c r="N1440" s="237">
        <f t="shared" si="154"/>
        <v>-541.66940999999974</v>
      </c>
      <c r="O1440" s="361"/>
      <c r="P1440" s="361"/>
      <c r="Q1440" s="361" t="s">
        <v>698</v>
      </c>
      <c r="R1440" s="362">
        <f>IF(Q1440="ekrk",INDEX(indexy_SDcast!$A:$C,MATCH($M1440,indexy_SDcast!$A:$A,0),2),"")</f>
        <v>25</v>
      </c>
      <c r="S1440" s="236"/>
      <c r="T1440" s="364">
        <f t="shared" si="156"/>
        <v>635001</v>
      </c>
      <c r="U1440" s="365">
        <f t="shared" si="157"/>
        <v>-541.66940999999974</v>
      </c>
      <c r="V1440" s="365">
        <f>IF($Q1440="ekrk",IF($R1440="data",IFERROR(INDEX(data!$A:$ALL,MATCH($M1440,data!$A:$A,0),MATCH(V$2,data!$1:$1,0)),"#data"),IFERROR(U1440*INDEX(indexy_SDcast!$A:$ALI,MATCH($R1440,indexy_SDcast!$K:$K,0),MATCH(V$2,indexy_SDcast!$2:$2,0)),"#ekrk")),"#popis")</f>
        <v>-545.75765689408013</v>
      </c>
      <c r="W1440" s="365">
        <f>IF($Q1440="ekrk",IF($R1440="data",IFERROR(INDEX(data!$A:$ALL,MATCH($M1440,data!$A:$A,0),MATCH(W$2,data!$1:$1,0)),"#data"),IFERROR(V1440*INDEX(indexy_SDcast!$A:$ALI,MATCH($R1440,indexy_SDcast!$K:$K,0),MATCH(W$2,indexy_SDcast!$2:$2,0)),"#ekrk")),"#popis")</f>
        <v>-557.08192655942207</v>
      </c>
      <c r="X1440" s="365">
        <f>IF($Q1440="ekrk",IF($R1440="data",IFERROR(INDEX(data!$A:$ALL,MATCH($M1440,data!$A:$A,0),MATCH(X$2,data!$1:$1,0)),"#data"),IFERROR(W1440*INDEX(indexy_SDcast!$A:$ALI,MATCH($R1440,indexy_SDcast!$K:$K,0),MATCH(X$2,indexy_SDcast!$2:$2,0)),"#ekrk")),"#popis")</f>
        <v>-569.75420968680612</v>
      </c>
      <c r="Y1440" s="362">
        <f>IF($Q1440="ekrk",IF($R1440="data",IFERROR(INDEX(data!$A:$ALL,MATCH($M1440,data!$A:$A,0),MATCH(Y$2,data!$1:$1,0)),"#data"),IFERROR(X1440*INDEX(indexy_SDcast!$A:$ALI,MATCH($R1440,indexy_SDcast!$K:$K,0),MATCH(Y$2,indexy_SDcast!$2:$2,0)),"#ekrk")),"#popis")</f>
        <v>-583.17383116452584</v>
      </c>
    </row>
    <row r="1441" spans="1:25" x14ac:dyDescent="0.25">
      <c r="A1441" s="330">
        <v>635002</v>
      </c>
      <c r="B1441" s="329">
        <v>-23159.772580000012</v>
      </c>
      <c r="C1441" s="157"/>
      <c r="D1441" s="330">
        <v>635002</v>
      </c>
      <c r="E1441" s="329">
        <v>-23159.772580000012</v>
      </c>
      <c r="F1441" s="157"/>
      <c r="G1441" s="330">
        <v>635002</v>
      </c>
      <c r="H1441" s="329">
        <v>-23159.772580000012</v>
      </c>
      <c r="I1441" s="157"/>
      <c r="J1441" s="330">
        <v>635002</v>
      </c>
      <c r="K1441" s="329">
        <v>-23159.772580000012</v>
      </c>
      <c r="L1441" s="157"/>
      <c r="M1441" s="360">
        <f t="shared" si="153"/>
        <v>635002</v>
      </c>
      <c r="N1441" s="237">
        <f t="shared" si="154"/>
        <v>-23159.772580000012</v>
      </c>
      <c r="O1441" s="361"/>
      <c r="P1441" s="361"/>
      <c r="Q1441" s="361" t="s">
        <v>698</v>
      </c>
      <c r="R1441" s="362">
        <f>IF(Q1441="ekrk",INDEX(indexy_SDcast!$A:$C,MATCH($M1441,indexy_SDcast!$A:$A,0),2),"")</f>
        <v>25</v>
      </c>
      <c r="S1441" s="236"/>
      <c r="T1441" s="364">
        <f t="shared" si="156"/>
        <v>635002</v>
      </c>
      <c r="U1441" s="365">
        <f t="shared" si="157"/>
        <v>-23159.772580000012</v>
      </c>
      <c r="V1441" s="365">
        <f>IF($Q1441="ekrk",IF($R1441="data",IFERROR(INDEX(data!$A:$ALL,MATCH($M1441,data!$A:$A,0),MATCH(V$2,data!$1:$1,0)),"#data"),IFERROR(U1441*INDEX(indexy_SDcast!$A:$ALI,MATCH($R1441,indexy_SDcast!$K:$K,0),MATCH(V$2,indexy_SDcast!$2:$2,0)),"#ekrk")),"#popis")</f>
        <v>-23334.570836223847</v>
      </c>
      <c r="W1441" s="365">
        <f>IF($Q1441="ekrk",IF($R1441="data",IFERROR(INDEX(data!$A:$ALL,MATCH($M1441,data!$A:$A,0),MATCH(W$2,data!$1:$1,0)),"#data"),IFERROR(V1441*INDEX(indexy_SDcast!$A:$ALI,MATCH($R1441,indexy_SDcast!$K:$K,0),MATCH(W$2,indexy_SDcast!$2:$2,0)),"#ekrk")),"#popis")</f>
        <v>-23818.754556482134</v>
      </c>
      <c r="X1441" s="365">
        <f>IF($Q1441="ekrk",IF($R1441="data",IFERROR(INDEX(data!$A:$ALL,MATCH($M1441,data!$A:$A,0),MATCH(X$2,data!$1:$1,0)),"#data"),IFERROR(W1441*INDEX(indexy_SDcast!$A:$ALI,MATCH($R1441,indexy_SDcast!$K:$K,0),MATCH(X$2,indexy_SDcast!$2:$2,0)),"#ekrk")),"#popis")</f>
        <v>-24360.574326772628</v>
      </c>
      <c r="Y1441" s="362">
        <f>IF($Q1441="ekrk",IF($R1441="data",IFERROR(INDEX(data!$A:$ALL,MATCH($M1441,data!$A:$A,0),MATCH(Y$2,data!$1:$1,0)),"#data"),IFERROR(X1441*INDEX(indexy_SDcast!$A:$ALI,MATCH($R1441,indexy_SDcast!$K:$K,0),MATCH(Y$2,indexy_SDcast!$2:$2,0)),"#ekrk")),"#popis")</f>
        <v>-24934.34750981738</v>
      </c>
    </row>
    <row r="1442" spans="1:25" x14ac:dyDescent="0.25">
      <c r="A1442" s="330">
        <v>635003</v>
      </c>
      <c r="B1442" s="329">
        <v>-4972.6970499999998</v>
      </c>
      <c r="C1442" s="157"/>
      <c r="D1442" s="330">
        <v>635003</v>
      </c>
      <c r="E1442" s="329">
        <v>-4972.6970499999998</v>
      </c>
      <c r="F1442" s="157"/>
      <c r="G1442" s="330">
        <v>635003</v>
      </c>
      <c r="H1442" s="329">
        <v>-4972.6970499999998</v>
      </c>
      <c r="I1442" s="157"/>
      <c r="J1442" s="330">
        <v>635003</v>
      </c>
      <c r="K1442" s="329">
        <v>-4972.6970499999998</v>
      </c>
      <c r="L1442" s="157"/>
      <c r="M1442" s="360">
        <f t="shared" si="153"/>
        <v>635003</v>
      </c>
      <c r="N1442" s="237">
        <f t="shared" si="154"/>
        <v>-4972.6970499999998</v>
      </c>
      <c r="O1442" s="361"/>
      <c r="P1442" s="361"/>
      <c r="Q1442" s="361" t="s">
        <v>698</v>
      </c>
      <c r="R1442" s="362">
        <f>IF(Q1442="ekrk",INDEX(indexy_SDcast!$A:$C,MATCH($M1442,indexy_SDcast!$A:$A,0),2),"")</f>
        <v>25</v>
      </c>
      <c r="S1442" s="236"/>
      <c r="T1442" s="364">
        <f t="shared" si="156"/>
        <v>635003</v>
      </c>
      <c r="U1442" s="365">
        <f t="shared" si="157"/>
        <v>-4972.6970499999998</v>
      </c>
      <c r="V1442" s="365">
        <f>IF($Q1442="ekrk",IF($R1442="data",IFERROR(INDEX(data!$A:$ALL,MATCH($M1442,data!$A:$A,0),MATCH(V$2,data!$1:$1,0)),"#data"),IFERROR(U1442*INDEX(indexy_SDcast!$A:$ALI,MATCH($R1442,indexy_SDcast!$K:$K,0),MATCH(V$2,indexy_SDcast!$2:$2,0)),"#ekrk")),"#popis")</f>
        <v>-5010.2284536468578</v>
      </c>
      <c r="W1442" s="365">
        <f>IF($Q1442="ekrk",IF($R1442="data",IFERROR(INDEX(data!$A:$ALL,MATCH($M1442,data!$A:$A,0),MATCH(W$2,data!$1:$1,0)),"#data"),IFERROR(V1442*INDEX(indexy_SDcast!$A:$ALI,MATCH($R1442,indexy_SDcast!$K:$K,0),MATCH(W$2,indexy_SDcast!$2:$2,0)),"#ekrk")),"#popis")</f>
        <v>-5114.188842250398</v>
      </c>
      <c r="X1442" s="365">
        <f>IF($Q1442="ekrk",IF($R1442="data",IFERROR(INDEX(data!$A:$ALL,MATCH($M1442,data!$A:$A,0),MATCH(X$2,data!$1:$1,0)),"#data"),IFERROR(W1442*INDEX(indexy_SDcast!$A:$ALI,MATCH($R1442,indexy_SDcast!$K:$K,0),MATCH(X$2,indexy_SDcast!$2:$2,0)),"#ekrk")),"#popis")</f>
        <v>-5230.52442214646</v>
      </c>
      <c r="Y1442" s="362">
        <f>IF($Q1442="ekrk",IF($R1442="data",IFERROR(INDEX(data!$A:$ALL,MATCH($M1442,data!$A:$A,0),MATCH(Y$2,data!$1:$1,0)),"#data"),IFERROR(X1442*INDEX(indexy_SDcast!$A:$ALI,MATCH($R1442,indexy_SDcast!$K:$K,0),MATCH(Y$2,indexy_SDcast!$2:$2,0)),"#ekrk")),"#popis")</f>
        <v>-5353.7208052214683</v>
      </c>
    </row>
    <row r="1443" spans="1:25" x14ac:dyDescent="0.25">
      <c r="A1443" s="330">
        <v>635004</v>
      </c>
      <c r="B1443" s="329">
        <v>-23249.130499999988</v>
      </c>
      <c r="C1443" s="157"/>
      <c r="D1443" s="330">
        <v>635004</v>
      </c>
      <c r="E1443" s="329">
        <v>-23249.130499999988</v>
      </c>
      <c r="F1443" s="157"/>
      <c r="G1443" s="330">
        <v>635004</v>
      </c>
      <c r="H1443" s="329">
        <v>-23249.130499999988</v>
      </c>
      <c r="I1443" s="157"/>
      <c r="J1443" s="330">
        <v>635004</v>
      </c>
      <c r="K1443" s="329">
        <v>-23249.130499999988</v>
      </c>
      <c r="L1443" s="157"/>
      <c r="M1443" s="360">
        <f t="shared" si="153"/>
        <v>635004</v>
      </c>
      <c r="N1443" s="237">
        <f t="shared" si="154"/>
        <v>-23249.130499999988</v>
      </c>
      <c r="O1443" s="361"/>
      <c r="P1443" s="361"/>
      <c r="Q1443" s="361" t="s">
        <v>698</v>
      </c>
      <c r="R1443" s="362">
        <f>IF(Q1443="ekrk",INDEX(indexy_SDcast!$A:$C,MATCH($M1443,indexy_SDcast!$A:$A,0),2),"")</f>
        <v>25</v>
      </c>
      <c r="S1443" s="236"/>
      <c r="T1443" s="364">
        <f t="shared" si="156"/>
        <v>635004</v>
      </c>
      <c r="U1443" s="365">
        <f t="shared" si="157"/>
        <v>-23249.130499999988</v>
      </c>
      <c r="V1443" s="365">
        <f>IF($Q1443="ekrk",IF($R1443="data",IFERROR(INDEX(data!$A:$ALL,MATCH($M1443,data!$A:$A,0),MATCH(V$2,data!$1:$1,0)),"#data"),IFERROR(U1443*INDEX(indexy_SDcast!$A:$ALI,MATCH($R1443,indexy_SDcast!$K:$K,0),MATCH(V$2,indexy_SDcast!$2:$2,0)),"#ekrk")),"#popis")</f>
        <v>-23424.603184633768</v>
      </c>
      <c r="W1443" s="365">
        <f>IF($Q1443="ekrk",IF($R1443="data",IFERROR(INDEX(data!$A:$ALL,MATCH($M1443,data!$A:$A,0),MATCH(W$2,data!$1:$1,0)),"#data"),IFERROR(V1443*INDEX(indexy_SDcast!$A:$ALI,MATCH($R1443,indexy_SDcast!$K:$K,0),MATCH(W$2,indexy_SDcast!$2:$2,0)),"#ekrk")),"#popis")</f>
        <v>-23910.655042845083</v>
      </c>
      <c r="X1443" s="365">
        <f>IF($Q1443="ekrk",IF($R1443="data",IFERROR(INDEX(data!$A:$ALL,MATCH($M1443,data!$A:$A,0),MATCH(X$2,data!$1:$1,0)),"#data"),IFERROR(W1443*INDEX(indexy_SDcast!$A:$ALI,MATCH($R1443,indexy_SDcast!$K:$K,0),MATCH(X$2,indexy_SDcast!$2:$2,0)),"#ekrk")),"#popis")</f>
        <v>-24454.5653296776</v>
      </c>
      <c r="Y1443" s="362">
        <f>IF($Q1443="ekrk",IF($R1443="data",IFERROR(INDEX(data!$A:$ALL,MATCH($M1443,data!$A:$A,0),MATCH(Y$2,data!$1:$1,0)),"#data"),IFERROR(X1443*INDEX(indexy_SDcast!$A:$ALI,MATCH($R1443,indexy_SDcast!$K:$K,0),MATCH(Y$2,indexy_SDcast!$2:$2,0)),"#ekrk")),"#popis")</f>
        <v>-25030.552315902481</v>
      </c>
    </row>
    <row r="1444" spans="1:25" x14ac:dyDescent="0.25">
      <c r="A1444" s="330">
        <v>635005</v>
      </c>
      <c r="B1444" s="329">
        <v>-41340.527740000012</v>
      </c>
      <c r="C1444" s="157"/>
      <c r="D1444" s="330">
        <v>635005</v>
      </c>
      <c r="E1444" s="329">
        <v>-41340.527740000012</v>
      </c>
      <c r="F1444" s="157"/>
      <c r="G1444" s="330">
        <v>635005</v>
      </c>
      <c r="H1444" s="329">
        <v>-41340.527740000012</v>
      </c>
      <c r="I1444" s="157"/>
      <c r="J1444" s="330">
        <v>635005</v>
      </c>
      <c r="K1444" s="329">
        <v>-41340.527740000012</v>
      </c>
      <c r="L1444" s="157"/>
      <c r="M1444" s="360">
        <f t="shared" si="153"/>
        <v>635005</v>
      </c>
      <c r="N1444" s="237">
        <f t="shared" si="154"/>
        <v>-41340.527740000012</v>
      </c>
      <c r="O1444" s="361"/>
      <c r="P1444" s="361"/>
      <c r="Q1444" s="361" t="s">
        <v>698</v>
      </c>
      <c r="R1444" s="362">
        <f>IF(Q1444="ekrk",INDEX(indexy_SDcast!$A:$C,MATCH($M1444,indexy_SDcast!$A:$A,0),2),"")</f>
        <v>25</v>
      </c>
      <c r="S1444" s="236"/>
      <c r="T1444" s="364">
        <f t="shared" si="156"/>
        <v>635005</v>
      </c>
      <c r="U1444" s="365">
        <f t="shared" si="157"/>
        <v>-41340.527740000012</v>
      </c>
      <c r="V1444" s="365">
        <f>IF($Q1444="ekrk",IF($R1444="data",IFERROR(INDEX(data!$A:$ALL,MATCH($M1444,data!$A:$A,0),MATCH(V$2,data!$1:$1,0)),"#data"),IFERROR(U1444*INDEX(indexy_SDcast!$A:$ALI,MATCH($R1444,indexy_SDcast!$K:$K,0),MATCH(V$2,indexy_SDcast!$2:$2,0)),"#ekrk")),"#popis")</f>
        <v>-41652.545145842996</v>
      </c>
      <c r="W1444" s="365">
        <f>IF($Q1444="ekrk",IF($R1444="data",IFERROR(INDEX(data!$A:$ALL,MATCH($M1444,data!$A:$A,0),MATCH(W$2,data!$1:$1,0)),"#data"),IFERROR(V1444*INDEX(indexy_SDcast!$A:$ALI,MATCH($R1444,indexy_SDcast!$K:$K,0),MATCH(W$2,indexy_SDcast!$2:$2,0)),"#ekrk")),"#popis")</f>
        <v>-42516.820062595834</v>
      </c>
      <c r="X1444" s="365">
        <f>IF($Q1444="ekrk",IF($R1444="data",IFERROR(INDEX(data!$A:$ALL,MATCH($M1444,data!$A:$A,0),MATCH(X$2,data!$1:$1,0)),"#data"),IFERROR(W1444*INDEX(indexy_SDcast!$A:$ALI,MATCH($R1444,indexy_SDcast!$K:$K,0),MATCH(X$2,indexy_SDcast!$2:$2,0)),"#ekrk")),"#popis")</f>
        <v>-43483.976159073121</v>
      </c>
      <c r="Y1444" s="362">
        <f>IF($Q1444="ekrk",IF($R1444="data",IFERROR(INDEX(data!$A:$ALL,MATCH($M1444,data!$A:$A,0),MATCH(Y$2,data!$1:$1,0)),"#data"),IFERROR(X1444*INDEX(indexy_SDcast!$A:$ALI,MATCH($R1444,indexy_SDcast!$K:$K,0),MATCH(Y$2,indexy_SDcast!$2:$2,0)),"#ekrk")),"#popis")</f>
        <v>-44508.169557699737</v>
      </c>
    </row>
    <row r="1445" spans="1:25" x14ac:dyDescent="0.25">
      <c r="A1445" s="330">
        <v>635006</v>
      </c>
      <c r="B1445" s="329">
        <v>-224182.99026735045</v>
      </c>
      <c r="C1445" s="157"/>
      <c r="D1445" s="330">
        <v>635006</v>
      </c>
      <c r="E1445" s="329">
        <v>-224182.99026735045</v>
      </c>
      <c r="F1445" s="157"/>
      <c r="G1445" s="330">
        <v>635006</v>
      </c>
      <c r="H1445" s="329">
        <v>-224182.99026735045</v>
      </c>
      <c r="I1445" s="157"/>
      <c r="J1445" s="330">
        <v>635006</v>
      </c>
      <c r="K1445" s="329">
        <v>-224182.99026735045</v>
      </c>
      <c r="L1445" s="157"/>
      <c r="M1445" s="360">
        <f t="shared" si="153"/>
        <v>635006</v>
      </c>
      <c r="N1445" s="237">
        <f t="shared" si="154"/>
        <v>-224182.99026735045</v>
      </c>
      <c r="O1445" s="361"/>
      <c r="P1445" s="361"/>
      <c r="Q1445" s="361" t="s">
        <v>698</v>
      </c>
      <c r="R1445" s="362">
        <f>IF(Q1445="ekrk",INDEX(indexy_SDcast!$A:$C,MATCH($M1445,indexy_SDcast!$A:$A,0),2),"")</f>
        <v>25</v>
      </c>
      <c r="S1445" s="236"/>
      <c r="T1445" s="364">
        <f t="shared" si="156"/>
        <v>635006</v>
      </c>
      <c r="U1445" s="365">
        <f t="shared" si="157"/>
        <v>-224182.99026735045</v>
      </c>
      <c r="V1445" s="365">
        <f>IF($Q1445="ekrk",IF($R1445="data",IFERROR(INDEX(data!$A:$ALL,MATCH($M1445,data!$A:$A,0),MATCH(V$2,data!$1:$1,0)),"#data"),IFERROR(U1445*INDEX(indexy_SDcast!$A:$ALI,MATCH($R1445,indexy_SDcast!$K:$K,0),MATCH(V$2,indexy_SDcast!$2:$2,0)),"#ekrk")),"#popis")</f>
        <v>-225875.01015391957</v>
      </c>
      <c r="W1445" s="365">
        <f>IF($Q1445="ekrk",IF($R1445="data",IFERROR(INDEX(data!$A:$ALL,MATCH($M1445,data!$A:$A,0),MATCH(W$2,data!$1:$1,0)),"#data"),IFERROR(V1445*INDEX(indexy_SDcast!$A:$ALI,MATCH($R1445,indexy_SDcast!$K:$K,0),MATCH(W$2,indexy_SDcast!$2:$2,0)),"#ekrk")),"#popis")</f>
        <v>-230561.83312989344</v>
      </c>
      <c r="X1445" s="365">
        <f>IF($Q1445="ekrk",IF($R1445="data",IFERROR(INDEX(data!$A:$ALL,MATCH($M1445,data!$A:$A,0),MATCH(X$2,data!$1:$1,0)),"#data"),IFERROR(W1445*INDEX(indexy_SDcast!$A:$ALI,MATCH($R1445,indexy_SDcast!$K:$K,0),MATCH(X$2,indexy_SDcast!$2:$2,0)),"#ekrk")),"#popis")</f>
        <v>-235806.56409044639</v>
      </c>
      <c r="Y1445" s="362">
        <f>IF($Q1445="ekrk",IF($R1445="data",IFERROR(INDEX(data!$A:$ALL,MATCH($M1445,data!$A:$A,0),MATCH(Y$2,data!$1:$1,0)),"#data"),IFERROR(X1445*INDEX(indexy_SDcast!$A:$ALI,MATCH($R1445,indexy_SDcast!$K:$K,0),MATCH(Y$2,indexy_SDcast!$2:$2,0)),"#ekrk")),"#popis")</f>
        <v>-241360.59910809889</v>
      </c>
    </row>
    <row r="1446" spans="1:25" x14ac:dyDescent="0.25">
      <c r="A1446" s="330">
        <v>635007</v>
      </c>
      <c r="B1446" s="329">
        <v>-125.03803000000003</v>
      </c>
      <c r="C1446" s="157"/>
      <c r="D1446" s="330">
        <v>635007</v>
      </c>
      <c r="E1446" s="329">
        <v>-125.03803000000003</v>
      </c>
      <c r="F1446" s="157"/>
      <c r="G1446" s="330">
        <v>635007</v>
      </c>
      <c r="H1446" s="329">
        <v>-125.03803000000003</v>
      </c>
      <c r="I1446" s="157"/>
      <c r="J1446" s="330">
        <v>635007</v>
      </c>
      <c r="K1446" s="329">
        <v>-125.03803000000003</v>
      </c>
      <c r="L1446" s="157"/>
      <c r="M1446" s="360">
        <f t="shared" si="153"/>
        <v>635007</v>
      </c>
      <c r="N1446" s="237">
        <f t="shared" si="154"/>
        <v>-125.03803000000003</v>
      </c>
      <c r="O1446" s="361"/>
      <c r="P1446" s="361"/>
      <c r="Q1446" s="361" t="s">
        <v>698</v>
      </c>
      <c r="R1446" s="362">
        <f>IF(Q1446="ekrk",INDEX(indexy_SDcast!$A:$C,MATCH($M1446,indexy_SDcast!$A:$A,0),2),"")</f>
        <v>25</v>
      </c>
      <c r="S1446" s="236"/>
      <c r="T1446" s="364">
        <f t="shared" si="156"/>
        <v>635007</v>
      </c>
      <c r="U1446" s="365">
        <f t="shared" si="157"/>
        <v>-125.03803000000003</v>
      </c>
      <c r="V1446" s="365">
        <f>IF($Q1446="ekrk",IF($R1446="data",IFERROR(INDEX(data!$A:$ALL,MATCH($M1446,data!$A:$A,0),MATCH(V$2,data!$1:$1,0)),"#data"),IFERROR(U1446*INDEX(indexy_SDcast!$A:$ALI,MATCH($R1446,indexy_SDcast!$K:$K,0),MATCH(V$2,indexy_SDcast!$2:$2,0)),"#ekrk")),"#popis")</f>
        <v>-125.981753844013</v>
      </c>
      <c r="W1446" s="365">
        <f>IF($Q1446="ekrk",IF($R1446="data",IFERROR(INDEX(data!$A:$ALL,MATCH($M1446,data!$A:$A,0),MATCH(W$2,data!$1:$1,0)),"#data"),IFERROR(V1446*INDEX(indexy_SDcast!$A:$ALI,MATCH($R1446,indexy_SDcast!$K:$K,0),MATCH(W$2,indexy_SDcast!$2:$2,0)),"#ekrk")),"#popis")</f>
        <v>-128.59582867268591</v>
      </c>
      <c r="X1446" s="365">
        <f>IF($Q1446="ekrk",IF($R1446="data",IFERROR(INDEX(data!$A:$ALL,MATCH($M1446,data!$A:$A,0),MATCH(X$2,data!$1:$1,0)),"#data"),IFERROR(W1446*INDEX(indexy_SDcast!$A:$ALI,MATCH($R1446,indexy_SDcast!$K:$K,0),MATCH(X$2,indexy_SDcast!$2:$2,0)),"#ekrk")),"#popis")</f>
        <v>-131.52107659807706</v>
      </c>
      <c r="Y1446" s="362">
        <f>IF($Q1446="ekrk",IF($R1446="data",IFERROR(INDEX(data!$A:$ALL,MATCH($M1446,data!$A:$A,0),MATCH(Y$2,data!$1:$1,0)),"#data"),IFERROR(X1446*INDEX(indexy_SDcast!$A:$ALI,MATCH($R1446,indexy_SDcast!$K:$K,0),MATCH(Y$2,indexy_SDcast!$2:$2,0)),"#ekrk")),"#popis")</f>
        <v>-134.61883881603165</v>
      </c>
    </row>
    <row r="1447" spans="1:25" x14ac:dyDescent="0.25">
      <c r="A1447" s="330">
        <v>635008</v>
      </c>
      <c r="B1447" s="329">
        <v>-27.685950000000005</v>
      </c>
      <c r="C1447" s="157"/>
      <c r="D1447" s="330">
        <v>635008</v>
      </c>
      <c r="E1447" s="329">
        <v>-27.685950000000005</v>
      </c>
      <c r="F1447" s="157"/>
      <c r="G1447" s="330">
        <v>635008</v>
      </c>
      <c r="H1447" s="329">
        <v>-27.685950000000005</v>
      </c>
      <c r="I1447" s="157"/>
      <c r="J1447" s="330">
        <v>635008</v>
      </c>
      <c r="K1447" s="329">
        <v>-27.685950000000005</v>
      </c>
      <c r="L1447" s="157"/>
      <c r="M1447" s="360">
        <f t="shared" si="153"/>
        <v>635008</v>
      </c>
      <c r="N1447" s="237">
        <f t="shared" si="154"/>
        <v>-27.685950000000005</v>
      </c>
      <c r="O1447" s="361"/>
      <c r="P1447" s="361"/>
      <c r="Q1447" s="361" t="s">
        <v>698</v>
      </c>
      <c r="R1447" s="362">
        <f>IF(Q1447="ekrk",INDEX(indexy_SDcast!$A:$C,MATCH($M1447,indexy_SDcast!$A:$A,0),2),"")</f>
        <v>25</v>
      </c>
      <c r="S1447" s="236"/>
      <c r="T1447" s="364">
        <f t="shared" si="156"/>
        <v>635008</v>
      </c>
      <c r="U1447" s="365">
        <f t="shared" si="157"/>
        <v>-27.685950000000005</v>
      </c>
      <c r="V1447" s="365">
        <f>IF($Q1447="ekrk",IF($R1447="data",IFERROR(INDEX(data!$A:$ALL,MATCH($M1447,data!$A:$A,0),MATCH(V$2,data!$1:$1,0)),"#data"),IFERROR(U1447*INDEX(indexy_SDcast!$A:$ALI,MATCH($R1447,indexy_SDcast!$K:$K,0),MATCH(V$2,indexy_SDcast!$2:$2,0)),"#ekrk")),"#popis")</f>
        <v>-27.894909555418071</v>
      </c>
      <c r="W1447" s="365">
        <f>IF($Q1447="ekrk",IF($R1447="data",IFERROR(INDEX(data!$A:$ALL,MATCH($M1447,data!$A:$A,0),MATCH(W$2,data!$1:$1,0)),"#data"),IFERROR(V1447*INDEX(indexy_SDcast!$A:$ALI,MATCH($R1447,indexy_SDcast!$K:$K,0),MATCH(W$2,indexy_SDcast!$2:$2,0)),"#ekrk")),"#popis")</f>
        <v>-28.473718618571873</v>
      </c>
      <c r="X1447" s="365">
        <f>IF($Q1447="ekrk",IF($R1447="data",IFERROR(INDEX(data!$A:$ALL,MATCH($M1447,data!$A:$A,0),MATCH(X$2,data!$1:$1,0)),"#data"),IFERROR(W1447*INDEX(indexy_SDcast!$A:$ALI,MATCH($R1447,indexy_SDcast!$K:$K,0),MATCH(X$2,indexy_SDcast!$2:$2,0)),"#ekrk")),"#popis")</f>
        <v>-29.121427701960208</v>
      </c>
      <c r="Y1447" s="362">
        <f>IF($Q1447="ekrk",IF($R1447="data",IFERROR(INDEX(data!$A:$ALL,MATCH($M1447,data!$A:$A,0),MATCH(Y$2,data!$1:$1,0)),"#data"),IFERROR(X1447*INDEX(indexy_SDcast!$A:$ALI,MATCH($R1447,indexy_SDcast!$K:$K,0),MATCH(Y$2,indexy_SDcast!$2:$2,0)),"#ekrk")),"#popis")</f>
        <v>-29.807334940567376</v>
      </c>
    </row>
    <row r="1448" spans="1:25" x14ac:dyDescent="0.25">
      <c r="A1448" s="330">
        <v>635009</v>
      </c>
      <c r="B1448" s="329">
        <v>-39418.357040000046</v>
      </c>
      <c r="C1448" s="157"/>
      <c r="D1448" s="330">
        <v>635009</v>
      </c>
      <c r="E1448" s="329">
        <v>-39418.357040000046</v>
      </c>
      <c r="F1448" s="157"/>
      <c r="G1448" s="330">
        <v>635009</v>
      </c>
      <c r="H1448" s="329">
        <v>-39418.357040000046</v>
      </c>
      <c r="I1448" s="157"/>
      <c r="J1448" s="330">
        <v>635009</v>
      </c>
      <c r="K1448" s="329">
        <v>-39418.357040000046</v>
      </c>
      <c r="L1448" s="157"/>
      <c r="M1448" s="360">
        <f t="shared" si="153"/>
        <v>635009</v>
      </c>
      <c r="N1448" s="237">
        <f t="shared" si="154"/>
        <v>-39418.357040000046</v>
      </c>
      <c r="O1448" s="361"/>
      <c r="P1448" s="361"/>
      <c r="Q1448" s="361" t="s">
        <v>698</v>
      </c>
      <c r="R1448" s="362">
        <f>IF(Q1448="ekrk",INDEX(indexy_SDcast!$A:$C,MATCH($M1448,indexy_SDcast!$A:$A,0),2),"")</f>
        <v>25</v>
      </c>
      <c r="S1448" s="236"/>
      <c r="T1448" s="364">
        <f t="shared" si="156"/>
        <v>635009</v>
      </c>
      <c r="U1448" s="365">
        <f t="shared" si="157"/>
        <v>-39418.357040000046</v>
      </c>
      <c r="V1448" s="365">
        <f>IF($Q1448="ekrk",IF($R1448="data",IFERROR(INDEX(data!$A:$ALL,MATCH($M1448,data!$A:$A,0),MATCH(V$2,data!$1:$1,0)),"#data"),IFERROR(U1448*INDEX(indexy_SDcast!$A:$ALI,MATCH($R1448,indexy_SDcast!$K:$K,0),MATCH(V$2,indexy_SDcast!$2:$2,0)),"#ekrk")),"#popis")</f>
        <v>-39715.866873052153</v>
      </c>
      <c r="W1448" s="365">
        <f>IF($Q1448="ekrk",IF($R1448="data",IFERROR(INDEX(data!$A:$ALL,MATCH($M1448,data!$A:$A,0),MATCH(W$2,data!$1:$1,0)),"#data"),IFERROR(V1448*INDEX(indexy_SDcast!$A:$ALI,MATCH($R1448,indexy_SDcast!$K:$K,0),MATCH(W$2,indexy_SDcast!$2:$2,0)),"#ekrk")),"#popis")</f>
        <v>-40539.956431452156</v>
      </c>
      <c r="X1448" s="365">
        <f>IF($Q1448="ekrk",IF($R1448="data",IFERROR(INDEX(data!$A:$ALL,MATCH($M1448,data!$A:$A,0),MATCH(X$2,data!$1:$1,0)),"#data"),IFERROR(W1448*INDEX(indexy_SDcast!$A:$ALI,MATCH($R1448,indexy_SDcast!$K:$K,0),MATCH(X$2,indexy_SDcast!$2:$2,0)),"#ekrk")),"#popis")</f>
        <v>-41462.143602455952</v>
      </c>
      <c r="Y1448" s="362">
        <f>IF($Q1448="ekrk",IF($R1448="data",IFERROR(INDEX(data!$A:$ALL,MATCH($M1448,data!$A:$A,0),MATCH(Y$2,data!$1:$1,0)),"#data"),IFERROR(X1448*INDEX(indexy_SDcast!$A:$ALI,MATCH($R1448,indexy_SDcast!$K:$K,0),MATCH(Y$2,indexy_SDcast!$2:$2,0)),"#ekrk")),"#popis")</f>
        <v>-42438.716067108166</v>
      </c>
    </row>
    <row r="1449" spans="1:25" x14ac:dyDescent="0.25">
      <c r="A1449" s="330">
        <v>635010</v>
      </c>
      <c r="B1449" s="329">
        <v>-1852.0643700000005</v>
      </c>
      <c r="C1449" s="157"/>
      <c r="D1449" s="330">
        <v>635010</v>
      </c>
      <c r="E1449" s="329">
        <v>-1852.0643700000005</v>
      </c>
      <c r="F1449" s="157"/>
      <c r="G1449" s="330">
        <v>635010</v>
      </c>
      <c r="H1449" s="329">
        <v>-1852.0643700000005</v>
      </c>
      <c r="I1449" s="157"/>
      <c r="J1449" s="330">
        <v>635010</v>
      </c>
      <c r="K1449" s="329">
        <v>-1852.0643700000005</v>
      </c>
      <c r="L1449" s="157"/>
      <c r="M1449" s="360">
        <f t="shared" si="153"/>
        <v>635010</v>
      </c>
      <c r="N1449" s="237">
        <f t="shared" si="154"/>
        <v>-1852.0643700000005</v>
      </c>
      <c r="O1449" s="361"/>
      <c r="P1449" s="361"/>
      <c r="Q1449" s="361" t="s">
        <v>698</v>
      </c>
      <c r="R1449" s="362">
        <f>IF(Q1449="ekrk",INDEX(indexy_SDcast!$A:$C,MATCH($M1449,indexy_SDcast!$A:$A,0),2),"")</f>
        <v>25</v>
      </c>
      <c r="S1449" s="236"/>
      <c r="T1449" s="364">
        <f t="shared" si="156"/>
        <v>635010</v>
      </c>
      <c r="U1449" s="365">
        <f t="shared" si="157"/>
        <v>-1852.0643700000005</v>
      </c>
      <c r="V1449" s="365">
        <f>IF($Q1449="ekrk",IF($R1449="data",IFERROR(INDEX(data!$A:$ALL,MATCH($M1449,data!$A:$A,0),MATCH(V$2,data!$1:$1,0)),"#data"),IFERROR(U1449*INDEX(indexy_SDcast!$A:$ALI,MATCH($R1449,indexy_SDcast!$K:$K,0),MATCH(V$2,indexy_SDcast!$2:$2,0)),"#ekrk")),"#popis")</f>
        <v>-1866.0428156506227</v>
      </c>
      <c r="W1449" s="365">
        <f>IF($Q1449="ekrk",IF($R1449="data",IFERROR(INDEX(data!$A:$ALL,MATCH($M1449,data!$A:$A,0),MATCH(W$2,data!$1:$1,0)),"#data"),IFERROR(V1449*INDEX(indexy_SDcast!$A:$ALI,MATCH($R1449,indexy_SDcast!$K:$K,0),MATCH(W$2,indexy_SDcast!$2:$2,0)),"#ekrk")),"#popis")</f>
        <v>-1904.7625143750747</v>
      </c>
      <c r="X1449" s="365">
        <f>IF($Q1449="ekrk",IF($R1449="data",IFERROR(INDEX(data!$A:$ALL,MATCH($M1449,data!$A:$A,0),MATCH(X$2,data!$1:$1,0)),"#data"),IFERROR(W1449*INDEX(indexy_SDcast!$A:$ALI,MATCH($R1449,indexy_SDcast!$K:$K,0),MATCH(X$2,indexy_SDcast!$2:$2,0)),"#ekrk")),"#popis")</f>
        <v>-1948.0913116700526</v>
      </c>
      <c r="Y1449" s="362">
        <f>IF($Q1449="ekrk",IF($R1449="data",IFERROR(INDEX(data!$A:$ALL,MATCH($M1449,data!$A:$A,0),MATCH(Y$2,data!$1:$1,0)),"#data"),IFERROR(X1449*INDEX(indexy_SDcast!$A:$ALI,MATCH($R1449,indexy_SDcast!$K:$K,0),MATCH(Y$2,indexy_SDcast!$2:$2,0)),"#ekrk")),"#popis")</f>
        <v>-1993.9753921422571</v>
      </c>
    </row>
    <row r="1450" spans="1:25" x14ac:dyDescent="0.25">
      <c r="A1450" s="330">
        <v>635200</v>
      </c>
      <c r="B1450" s="329">
        <v>-5.377250000000001</v>
      </c>
      <c r="C1450" s="157"/>
      <c r="D1450" s="330">
        <v>635200</v>
      </c>
      <c r="E1450" s="329">
        <v>-5.377250000000001</v>
      </c>
      <c r="F1450" s="157"/>
      <c r="G1450" s="330">
        <v>635200</v>
      </c>
      <c r="H1450" s="329">
        <v>-5.377250000000001</v>
      </c>
      <c r="I1450" s="157"/>
      <c r="J1450" s="330">
        <v>635200</v>
      </c>
      <c r="K1450" s="329">
        <v>-5.377250000000001</v>
      </c>
      <c r="L1450" s="157"/>
      <c r="M1450" s="360">
        <f t="shared" si="153"/>
        <v>635200</v>
      </c>
      <c r="N1450" s="237">
        <f t="shared" si="154"/>
        <v>-5.377250000000001</v>
      </c>
      <c r="O1450" s="361"/>
      <c r="P1450" s="361"/>
      <c r="Q1450" s="361" t="s">
        <v>698</v>
      </c>
      <c r="R1450" s="362">
        <f>IF(Q1450="ekrk",INDEX(indexy_SDcast!$A:$C,MATCH($M1450,indexy_SDcast!$A:$A,0),2),"")</f>
        <v>25</v>
      </c>
      <c r="S1450" s="236"/>
      <c r="T1450" s="364">
        <f t="shared" si="156"/>
        <v>635200</v>
      </c>
      <c r="U1450" s="365">
        <f t="shared" si="157"/>
        <v>-5.377250000000001</v>
      </c>
      <c r="V1450" s="365">
        <f>IF($Q1450="ekrk",IF($R1450="data",IFERROR(INDEX(data!$A:$ALL,MATCH($M1450,data!$A:$A,0),MATCH(V$2,data!$1:$1,0)),"#data"),IFERROR(U1450*INDEX(indexy_SDcast!$A:$ALI,MATCH($R1450,indexy_SDcast!$K:$K,0),MATCH(V$2,indexy_SDcast!$2:$2,0)),"#ekrk")),"#popis")</f>
        <v>-5.4178347648129046</v>
      </c>
      <c r="W1450" s="365">
        <f>IF($Q1450="ekrk",IF($R1450="data",IFERROR(INDEX(data!$A:$ALL,MATCH($M1450,data!$A:$A,0),MATCH(W$2,data!$1:$1,0)),"#data"),IFERROR(V1450*INDEX(indexy_SDcast!$A:$ALI,MATCH($R1450,indexy_SDcast!$K:$K,0),MATCH(W$2,indexy_SDcast!$2:$2,0)),"#ekrk")),"#popis")</f>
        <v>-5.5302528337194721</v>
      </c>
      <c r="X1450" s="365">
        <f>IF($Q1450="ekrk",IF($R1450="data",IFERROR(INDEX(data!$A:$ALL,MATCH($M1450,data!$A:$A,0),MATCH(X$2,data!$1:$1,0)),"#data"),IFERROR(W1450*INDEX(indexy_SDcast!$A:$ALI,MATCH($R1450,indexy_SDcast!$K:$K,0),MATCH(X$2,indexy_SDcast!$2:$2,0)),"#ekrk")),"#popis")</f>
        <v>-5.6560528755692161</v>
      </c>
      <c r="Y1450" s="362">
        <f>IF($Q1450="ekrk",IF($R1450="data",IFERROR(INDEX(data!$A:$ALL,MATCH($M1450,data!$A:$A,0),MATCH(Y$2,data!$1:$1,0)),"#data"),IFERROR(X1450*INDEX(indexy_SDcast!$A:$ALI,MATCH($R1450,indexy_SDcast!$K:$K,0),MATCH(Y$2,indexy_SDcast!$2:$2,0)),"#ekrk")),"#popis")</f>
        <v>-5.7892718801112455</v>
      </c>
    </row>
    <row r="1451" spans="1:25" x14ac:dyDescent="0.25">
      <c r="A1451" s="330">
        <v>636000</v>
      </c>
      <c r="B1451" s="329">
        <v>-269.60861</v>
      </c>
      <c r="C1451" s="157"/>
      <c r="D1451" s="330">
        <v>636000</v>
      </c>
      <c r="E1451" s="329">
        <v>-269.60861</v>
      </c>
      <c r="F1451" s="157"/>
      <c r="G1451" s="330">
        <v>636000</v>
      </c>
      <c r="H1451" s="329">
        <v>-269.60861</v>
      </c>
      <c r="I1451" s="157"/>
      <c r="J1451" s="330">
        <v>636000</v>
      </c>
      <c r="K1451" s="329">
        <v>-269.60861</v>
      </c>
      <c r="L1451" s="157"/>
      <c r="M1451" s="360">
        <f t="shared" si="153"/>
        <v>636000</v>
      </c>
      <c r="N1451" s="237">
        <f t="shared" si="154"/>
        <v>-269.60861</v>
      </c>
      <c r="O1451" s="361"/>
      <c r="P1451" s="361"/>
      <c r="Q1451" s="361" t="s">
        <v>698</v>
      </c>
      <c r="R1451" s="362">
        <f>IF(Q1451="ekrk",INDEX(indexy_SDcast!$A:$C,MATCH($M1451,indexy_SDcast!$A:$A,0),2),"")</f>
        <v>25</v>
      </c>
      <c r="S1451" s="236"/>
      <c r="T1451" s="364">
        <f t="shared" si="156"/>
        <v>636000</v>
      </c>
      <c r="U1451" s="365">
        <f t="shared" si="157"/>
        <v>-269.60861</v>
      </c>
      <c r="V1451" s="365">
        <f>IF($Q1451="ekrk",IF($R1451="data",IFERROR(INDEX(data!$A:$ALL,MATCH($M1451,data!$A:$A,0),MATCH(V$2,data!$1:$1,0)),"#data"),IFERROR(U1451*INDEX(indexy_SDcast!$A:$ALI,MATCH($R1451,indexy_SDcast!$K:$K,0),MATCH(V$2,indexy_SDcast!$2:$2,0)),"#ekrk")),"#popis")</f>
        <v>-271.64347950176835</v>
      </c>
      <c r="W1451" s="365">
        <f>IF($Q1451="ekrk",IF($R1451="data",IFERROR(INDEX(data!$A:$ALL,MATCH($M1451,data!$A:$A,0),MATCH(W$2,data!$1:$1,0)),"#data"),IFERROR(V1451*INDEX(indexy_SDcast!$A:$ALI,MATCH($R1451,indexy_SDcast!$K:$K,0),MATCH(W$2,indexy_SDcast!$2:$2,0)),"#ekrk")),"#popis")</f>
        <v>-277.27998130041709</v>
      </c>
      <c r="X1451" s="365">
        <f>IF($Q1451="ekrk",IF($R1451="data",IFERROR(INDEX(data!$A:$ALL,MATCH($M1451,data!$A:$A,0),MATCH(X$2,data!$1:$1,0)),"#data"),IFERROR(W1451*INDEX(indexy_SDcast!$A:$ALI,MATCH($R1451,indexy_SDcast!$K:$K,0),MATCH(X$2,indexy_SDcast!$2:$2,0)),"#ekrk")),"#popis")</f>
        <v>-283.58743853618842</v>
      </c>
      <c r="Y1451" s="362">
        <f>IF($Q1451="ekrk",IF($R1451="data",IFERROR(INDEX(data!$A:$ALL,MATCH($M1451,data!$A:$A,0),MATCH(Y$2,data!$1:$1,0)),"#data"),IFERROR(X1451*INDEX(indexy_SDcast!$A:$ALI,MATCH($R1451,indexy_SDcast!$K:$K,0),MATCH(Y$2,indexy_SDcast!$2:$2,0)),"#ekrk")),"#popis")</f>
        <v>-290.26687331049874</v>
      </c>
    </row>
    <row r="1452" spans="1:25" x14ac:dyDescent="0.25">
      <c r="A1452" s="330">
        <v>636001</v>
      </c>
      <c r="B1452" s="329">
        <v>-163086.90826000014</v>
      </c>
      <c r="C1452" s="157"/>
      <c r="D1452" s="330">
        <v>636001</v>
      </c>
      <c r="E1452" s="329">
        <v>-163086.90826000014</v>
      </c>
      <c r="F1452" s="157"/>
      <c r="G1452" s="330">
        <v>636001</v>
      </c>
      <c r="H1452" s="329">
        <v>-163086.90826000014</v>
      </c>
      <c r="I1452" s="157"/>
      <c r="J1452" s="330">
        <v>636001</v>
      </c>
      <c r="K1452" s="329">
        <v>-163086.90826000014</v>
      </c>
      <c r="L1452" s="157"/>
      <c r="M1452" s="360">
        <f t="shared" si="153"/>
        <v>636001</v>
      </c>
      <c r="N1452" s="237">
        <f t="shared" si="154"/>
        <v>-163086.90826000014</v>
      </c>
      <c r="O1452" s="361"/>
      <c r="P1452" s="361"/>
      <c r="Q1452" s="361" t="s">
        <v>698</v>
      </c>
      <c r="R1452" s="362" t="str">
        <f>IF(Q1452="ekrk",INDEX(indexy_SDcast!$A:$C,MATCH($M1452,indexy_SDcast!$A:$A,0),2),"")</f>
        <v>data</v>
      </c>
      <c r="S1452" s="236"/>
      <c r="T1452" s="364">
        <f t="shared" si="156"/>
        <v>636001</v>
      </c>
      <c r="U1452" s="365">
        <f t="shared" si="157"/>
        <v>-163086.90826000014</v>
      </c>
      <c r="V1452" s="365">
        <f>IF($Q1452="ekrk",IF($R1452="data",IFERROR(INDEX(data!$A:$ALL,MATCH($M1452,data!$A:$A,0),MATCH(V$2,data!$1:$1,0)),"#data"),IFERROR(U1452*INDEX(indexy_SDcast!$A:$ALI,MATCH($R1452,indexy_SDcast!$K:$K,0),MATCH(V$2,indexy_SDcast!$2:$2,0)),"#ekrk")),"#popis")</f>
        <v>-169934.65243943295</v>
      </c>
      <c r="W1452" s="365">
        <f>IF($Q1452="ekrk",IF($R1452="data",IFERROR(INDEX(data!$A:$ALL,MATCH($M1452,data!$A:$A,0),MATCH(W$2,data!$1:$1,0)),"#data"),IFERROR(V1452*INDEX(indexy_SDcast!$A:$ALI,MATCH($R1452,indexy_SDcast!$K:$K,0),MATCH(W$2,indexy_SDcast!$2:$2,0)),"#ekrk")),"#popis")</f>
        <v>-171347.46263163738</v>
      </c>
      <c r="X1452" s="365">
        <f>IF($Q1452="ekrk",IF($R1452="data",IFERROR(INDEX(data!$A:$ALL,MATCH($M1452,data!$A:$A,0),MATCH(X$2,data!$1:$1,0)),"#data"),IFERROR(W1452*INDEX(indexy_SDcast!$A:$ALI,MATCH($R1452,indexy_SDcast!$K:$K,0),MATCH(X$2,indexy_SDcast!$2:$2,0)),"#ekrk")),"#popis")</f>
        <v>-172884.40052162693</v>
      </c>
      <c r="Y1452" s="362">
        <f>IF($Q1452="ekrk",IF($R1452="data",IFERROR(INDEX(data!$A:$ALL,MATCH($M1452,data!$A:$A,0),MATCH(Y$2,data!$1:$1,0)),"#data"),IFERROR(X1452*INDEX(indexy_SDcast!$A:$ALI,MATCH($R1452,indexy_SDcast!$K:$K,0),MATCH(Y$2,indexy_SDcast!$2:$2,0)),"#ekrk")),"#popis")</f>
        <v>-174497.21210549175</v>
      </c>
    </row>
    <row r="1453" spans="1:25" x14ac:dyDescent="0.25">
      <c r="A1453" s="330">
        <v>636002</v>
      </c>
      <c r="B1453" s="329">
        <v>-3233.2017400000004</v>
      </c>
      <c r="C1453" s="157"/>
      <c r="D1453" s="330">
        <v>636002</v>
      </c>
      <c r="E1453" s="329">
        <v>-3233.2017400000004</v>
      </c>
      <c r="F1453" s="157"/>
      <c r="G1453" s="330">
        <v>636002</v>
      </c>
      <c r="H1453" s="329">
        <v>-3233.2017400000004</v>
      </c>
      <c r="I1453" s="157"/>
      <c r="J1453" s="330">
        <v>636002</v>
      </c>
      <c r="K1453" s="329">
        <v>-3233.2017400000004</v>
      </c>
      <c r="L1453" s="157"/>
      <c r="M1453" s="360">
        <f t="shared" ref="M1453:M1516" si="158">J1453</f>
        <v>636002</v>
      </c>
      <c r="N1453" s="237">
        <f t="shared" ref="N1453:N1516" si="159">K1453</f>
        <v>-3233.2017400000004</v>
      </c>
      <c r="O1453" s="361"/>
      <c r="P1453" s="361"/>
      <c r="Q1453" s="361" t="s">
        <v>698</v>
      </c>
      <c r="R1453" s="362">
        <f>IF(Q1453="ekrk",INDEX(indexy_SDcast!$A:$C,MATCH($M1453,indexy_SDcast!$A:$A,0),2),"")</f>
        <v>25</v>
      </c>
      <c r="S1453" s="236"/>
      <c r="T1453" s="364">
        <f t="shared" si="156"/>
        <v>636002</v>
      </c>
      <c r="U1453" s="365">
        <f t="shared" si="157"/>
        <v>-3233.2017400000004</v>
      </c>
      <c r="V1453" s="365">
        <f>IF($Q1453="ekrk",IF($R1453="data",IFERROR(INDEX(data!$A:$ALL,MATCH($M1453,data!$A:$A,0),MATCH(V$2,data!$1:$1,0)),"#data"),IFERROR(U1453*INDEX(indexy_SDcast!$A:$ALI,MATCH($R1453,indexy_SDcast!$K:$K,0),MATCH(V$2,indexy_SDcast!$2:$2,0)),"#ekrk")),"#popis")</f>
        <v>-3257.6043123577242</v>
      </c>
      <c r="W1453" s="365">
        <f>IF($Q1453="ekrk",IF($R1453="data",IFERROR(INDEX(data!$A:$ALL,MATCH($M1453,data!$A:$A,0),MATCH(W$2,data!$1:$1,0)),"#data"),IFERROR(V1453*INDEX(indexy_SDcast!$A:$ALI,MATCH($R1453,indexy_SDcast!$K:$K,0),MATCH(W$2,indexy_SDcast!$2:$2,0)),"#ekrk")),"#popis")</f>
        <v>-3325.1983978096105</v>
      </c>
      <c r="X1453" s="365">
        <f>IF($Q1453="ekrk",IF($R1453="data",IFERROR(INDEX(data!$A:$ALL,MATCH($M1453,data!$A:$A,0),MATCH(X$2,data!$1:$1,0)),"#data"),IFERROR(W1453*INDEX(indexy_SDcast!$A:$ALI,MATCH($R1453,indexy_SDcast!$K:$K,0),MATCH(X$2,indexy_SDcast!$2:$2,0)),"#ekrk")),"#popis")</f>
        <v>-3400.8387184569051</v>
      </c>
      <c r="Y1453" s="362">
        <f>IF($Q1453="ekrk",IF($R1453="data",IFERROR(INDEX(data!$A:$ALL,MATCH($M1453,data!$A:$A,0),MATCH(Y$2,data!$1:$1,0)),"#data"),IFERROR(X1453*INDEX(indexy_SDcast!$A:$ALI,MATCH($R1453,indexy_SDcast!$K:$K,0),MATCH(Y$2,indexy_SDcast!$2:$2,0)),"#ekrk")),"#popis")</f>
        <v>-3480.9398700281281</v>
      </c>
    </row>
    <row r="1454" spans="1:25" x14ac:dyDescent="0.25">
      <c r="A1454" s="330">
        <v>636003</v>
      </c>
      <c r="B1454" s="329">
        <v>-1029.2071599999992</v>
      </c>
      <c r="C1454" s="157"/>
      <c r="D1454" s="330">
        <v>636003</v>
      </c>
      <c r="E1454" s="329">
        <v>-1029.2071599999992</v>
      </c>
      <c r="F1454" s="157"/>
      <c r="G1454" s="330">
        <v>636003</v>
      </c>
      <c r="H1454" s="329">
        <v>-1029.2071599999992</v>
      </c>
      <c r="I1454" s="157"/>
      <c r="J1454" s="330">
        <v>636003</v>
      </c>
      <c r="K1454" s="329">
        <v>-1029.2071599999992</v>
      </c>
      <c r="L1454" s="157"/>
      <c r="M1454" s="360">
        <f t="shared" si="158"/>
        <v>636003</v>
      </c>
      <c r="N1454" s="237">
        <f t="shared" si="159"/>
        <v>-1029.2071599999992</v>
      </c>
      <c r="O1454" s="361"/>
      <c r="P1454" s="361"/>
      <c r="Q1454" s="361" t="s">
        <v>698</v>
      </c>
      <c r="R1454" s="362">
        <f>IF(Q1454="ekrk",INDEX(indexy_SDcast!$A:$C,MATCH($M1454,indexy_SDcast!$A:$A,0),2),"")</f>
        <v>25</v>
      </c>
      <c r="S1454" s="236"/>
      <c r="T1454" s="364">
        <f t="shared" si="156"/>
        <v>636003</v>
      </c>
      <c r="U1454" s="365">
        <f t="shared" si="157"/>
        <v>-1029.2071599999992</v>
      </c>
      <c r="V1454" s="365">
        <f>IF($Q1454="ekrk",IF($R1454="data",IFERROR(INDEX(data!$A:$ALL,MATCH($M1454,data!$A:$A,0),MATCH(V$2,data!$1:$1,0)),"#data"),IFERROR(U1454*INDEX(indexy_SDcast!$A:$ALI,MATCH($R1454,indexy_SDcast!$K:$K,0),MATCH(V$2,indexy_SDcast!$2:$2,0)),"#ekrk")),"#popis")</f>
        <v>-1036.9750953819057</v>
      </c>
      <c r="W1454" s="365">
        <f>IF($Q1454="ekrk",IF($R1454="data",IFERROR(INDEX(data!$A:$ALL,MATCH($M1454,data!$A:$A,0),MATCH(W$2,data!$1:$1,0)),"#data"),IFERROR(V1454*INDEX(indexy_SDcast!$A:$ALI,MATCH($R1454,indexy_SDcast!$K:$K,0),MATCH(W$2,indexy_SDcast!$2:$2,0)),"#ekrk")),"#popis")</f>
        <v>-1058.4919453390423</v>
      </c>
      <c r="X1454" s="365">
        <f>IF($Q1454="ekrk",IF($R1454="data",IFERROR(INDEX(data!$A:$ALL,MATCH($M1454,data!$A:$A,0),MATCH(X$2,data!$1:$1,0)),"#data"),IFERROR(W1454*INDEX(indexy_SDcast!$A:$ALI,MATCH($R1454,indexy_SDcast!$K:$K,0),MATCH(X$2,indexy_SDcast!$2:$2,0)),"#ekrk")),"#popis")</f>
        <v>-1082.5701086753306</v>
      </c>
      <c r="Y1454" s="362">
        <f>IF($Q1454="ekrk",IF($R1454="data",IFERROR(INDEX(data!$A:$ALL,MATCH($M1454,data!$A:$A,0),MATCH(Y$2,data!$1:$1,0)),"#data"),IFERROR(X1454*INDEX(indexy_SDcast!$A:$ALI,MATCH($R1454,indexy_SDcast!$K:$K,0),MATCH(Y$2,indexy_SDcast!$2:$2,0)),"#ekrk")),"#popis")</f>
        <v>-1108.0682635542612</v>
      </c>
    </row>
    <row r="1455" spans="1:25" x14ac:dyDescent="0.25">
      <c r="A1455" s="330">
        <v>636004</v>
      </c>
      <c r="B1455" s="329">
        <v>-387.25957999999991</v>
      </c>
      <c r="C1455" s="157"/>
      <c r="D1455" s="330">
        <v>636004</v>
      </c>
      <c r="E1455" s="329">
        <v>-387.25957999999991</v>
      </c>
      <c r="F1455" s="157"/>
      <c r="G1455" s="330">
        <v>636004</v>
      </c>
      <c r="H1455" s="329">
        <v>-387.25957999999991</v>
      </c>
      <c r="I1455" s="157"/>
      <c r="J1455" s="330">
        <v>636004</v>
      </c>
      <c r="K1455" s="329">
        <v>-387.25957999999991</v>
      </c>
      <c r="L1455" s="157"/>
      <c r="M1455" s="360">
        <f t="shared" si="158"/>
        <v>636004</v>
      </c>
      <c r="N1455" s="237">
        <f t="shared" si="159"/>
        <v>-387.25957999999991</v>
      </c>
      <c r="O1455" s="361"/>
      <c r="P1455" s="361"/>
      <c r="Q1455" s="361" t="s">
        <v>698</v>
      </c>
      <c r="R1455" s="362">
        <f>IF(Q1455="ekrk",INDEX(indexy_SDcast!$A:$C,MATCH($M1455,indexy_SDcast!$A:$A,0),2),"")</f>
        <v>25</v>
      </c>
      <c r="S1455" s="236"/>
      <c r="T1455" s="364">
        <f t="shared" si="156"/>
        <v>636004</v>
      </c>
      <c r="U1455" s="365">
        <f t="shared" si="157"/>
        <v>-387.25957999999991</v>
      </c>
      <c r="V1455" s="365">
        <f>IF($Q1455="ekrk",IF($R1455="data",IFERROR(INDEX(data!$A:$ALL,MATCH($M1455,data!$A:$A,0),MATCH(V$2,data!$1:$1,0)),"#data"),IFERROR(U1455*INDEX(indexy_SDcast!$A:$ALI,MATCH($R1455,indexy_SDcast!$K:$K,0),MATCH(V$2,indexy_SDcast!$2:$2,0)),"#ekrk")),"#popis")</f>
        <v>-390.18241955104247</v>
      </c>
      <c r="W1455" s="365">
        <f>IF($Q1455="ekrk",IF($R1455="data",IFERROR(INDEX(data!$A:$ALL,MATCH($M1455,data!$A:$A,0),MATCH(W$2,data!$1:$1,0)),"#data"),IFERROR(V1455*INDEX(indexy_SDcast!$A:$ALI,MATCH($R1455,indexy_SDcast!$K:$K,0),MATCH(W$2,indexy_SDcast!$2:$2,0)),"#ekrk")),"#popis")</f>
        <v>-398.27856054303066</v>
      </c>
      <c r="X1455" s="365">
        <f>IF($Q1455="ekrk",IF($R1455="data",IFERROR(INDEX(data!$A:$ALL,MATCH($M1455,data!$A:$A,0),MATCH(X$2,data!$1:$1,0)),"#data"),IFERROR(W1455*INDEX(indexy_SDcast!$A:$ALI,MATCH($R1455,indexy_SDcast!$K:$K,0),MATCH(X$2,indexy_SDcast!$2:$2,0)),"#ekrk")),"#popis")</f>
        <v>-407.33844642721203</v>
      </c>
      <c r="Y1455" s="362">
        <f>IF($Q1455="ekrk",IF($R1455="data",IFERROR(INDEX(data!$A:$ALL,MATCH($M1455,data!$A:$A,0),MATCH(Y$2,data!$1:$1,0)),"#data"),IFERROR(X1455*INDEX(indexy_SDcast!$A:$ALI,MATCH($R1455,indexy_SDcast!$K:$K,0),MATCH(Y$2,indexy_SDcast!$2:$2,0)),"#ekrk")),"#popis")</f>
        <v>-416.9326322558353</v>
      </c>
    </row>
    <row r="1456" spans="1:25" x14ac:dyDescent="0.25">
      <c r="A1456" s="330">
        <v>636005</v>
      </c>
      <c r="B1456" s="329">
        <v>-71.205870000000004</v>
      </c>
      <c r="C1456" s="157"/>
      <c r="D1456" s="330">
        <v>636005</v>
      </c>
      <c r="E1456" s="329">
        <v>-71.205870000000004</v>
      </c>
      <c r="F1456" s="157"/>
      <c r="G1456" s="330">
        <v>636005</v>
      </c>
      <c r="H1456" s="329">
        <v>-71.205870000000004</v>
      </c>
      <c r="I1456" s="157"/>
      <c r="J1456" s="330">
        <v>636005</v>
      </c>
      <c r="K1456" s="329">
        <v>-71.205870000000004</v>
      </c>
      <c r="L1456" s="157"/>
      <c r="M1456" s="360">
        <f t="shared" si="158"/>
        <v>636005</v>
      </c>
      <c r="N1456" s="237">
        <f t="shared" si="159"/>
        <v>-71.205870000000004</v>
      </c>
      <c r="O1456" s="361"/>
      <c r="P1456" s="361"/>
      <c r="Q1456" s="361" t="s">
        <v>698</v>
      </c>
      <c r="R1456" s="362">
        <f>IF(Q1456="ekrk",INDEX(indexy_SDcast!$A:$C,MATCH($M1456,indexy_SDcast!$A:$A,0),2),"")</f>
        <v>25</v>
      </c>
      <c r="S1456" s="236"/>
      <c r="T1456" s="364">
        <f t="shared" si="156"/>
        <v>636005</v>
      </c>
      <c r="U1456" s="365">
        <f t="shared" si="157"/>
        <v>-71.205870000000004</v>
      </c>
      <c r="V1456" s="365">
        <f>IF($Q1456="ekrk",IF($R1456="data",IFERROR(INDEX(data!$A:$ALL,MATCH($M1456,data!$A:$A,0),MATCH(V$2,data!$1:$1,0)),"#data"),IFERROR(U1456*INDEX(indexy_SDcast!$A:$ALI,MATCH($R1456,indexy_SDcast!$K:$K,0),MATCH(V$2,indexy_SDcast!$2:$2,0)),"#ekrk")),"#popis")</f>
        <v>-71.74329591236193</v>
      </c>
      <c r="W1456" s="365">
        <f>IF($Q1456="ekrk",IF($R1456="data",IFERROR(INDEX(data!$A:$ALL,MATCH($M1456,data!$A:$A,0),MATCH(W$2,data!$1:$1,0)),"#data"),IFERROR(V1456*INDEX(indexy_SDcast!$A:$ALI,MATCH($R1456,indexy_SDcast!$K:$K,0),MATCH(W$2,indexy_SDcast!$2:$2,0)),"#ekrk")),"#popis")</f>
        <v>-73.231942785803213</v>
      </c>
      <c r="X1456" s="365">
        <f>IF($Q1456="ekrk",IF($R1456="data",IFERROR(INDEX(data!$A:$ALL,MATCH($M1456,data!$A:$A,0),MATCH(X$2,data!$1:$1,0)),"#data"),IFERROR(W1456*INDEX(indexy_SDcast!$A:$ALI,MATCH($R1456,indexy_SDcast!$K:$K,0),MATCH(X$2,indexy_SDcast!$2:$2,0)),"#ekrk")),"#popis")</f>
        <v>-74.897794555006328</v>
      </c>
      <c r="Y1456" s="362">
        <f>IF($Q1456="ekrk",IF($R1456="data",IFERROR(INDEX(data!$A:$ALL,MATCH($M1456,data!$A:$A,0),MATCH(Y$2,data!$1:$1,0)),"#data"),IFERROR(X1456*INDEX(indexy_SDcast!$A:$ALI,MATCH($R1456,indexy_SDcast!$K:$K,0),MATCH(Y$2,indexy_SDcast!$2:$2,0)),"#ekrk")),"#popis")</f>
        <v>-76.661888677271264</v>
      </c>
    </row>
    <row r="1457" spans="1:25" x14ac:dyDescent="0.25">
      <c r="A1457" s="330">
        <v>636006</v>
      </c>
      <c r="B1457" s="329">
        <v>-250.20184000000003</v>
      </c>
      <c r="C1457" s="157"/>
      <c r="D1457" s="330">
        <v>636006</v>
      </c>
      <c r="E1457" s="329">
        <v>-250.20184000000003</v>
      </c>
      <c r="F1457" s="157"/>
      <c r="G1457" s="330">
        <v>636006</v>
      </c>
      <c r="H1457" s="329">
        <v>-250.20184000000003</v>
      </c>
      <c r="I1457" s="157"/>
      <c r="J1457" s="330">
        <v>636006</v>
      </c>
      <c r="K1457" s="329">
        <v>-250.20184000000003</v>
      </c>
      <c r="L1457" s="157"/>
      <c r="M1457" s="360">
        <f t="shared" si="158"/>
        <v>636006</v>
      </c>
      <c r="N1457" s="237">
        <f t="shared" si="159"/>
        <v>-250.20184000000003</v>
      </c>
      <c r="O1457" s="361"/>
      <c r="P1457" s="361"/>
      <c r="Q1457" s="361" t="s">
        <v>698</v>
      </c>
      <c r="R1457" s="362">
        <f>IF(Q1457="ekrk",INDEX(indexy_SDcast!$A:$C,MATCH($M1457,indexy_SDcast!$A:$A,0),2),"")</f>
        <v>25</v>
      </c>
      <c r="S1457" s="236"/>
      <c r="T1457" s="364">
        <f t="shared" si="156"/>
        <v>636006</v>
      </c>
      <c r="U1457" s="365">
        <f t="shared" si="157"/>
        <v>-250.20184000000003</v>
      </c>
      <c r="V1457" s="365">
        <f>IF($Q1457="ekrk",IF($R1457="data",IFERROR(INDEX(data!$A:$ALL,MATCH($M1457,data!$A:$A,0),MATCH(V$2,data!$1:$1,0)),"#data"),IFERROR(U1457*INDEX(indexy_SDcast!$A:$ALI,MATCH($R1457,indexy_SDcast!$K:$K,0),MATCH(V$2,indexy_SDcast!$2:$2,0)),"#ekrk")),"#popis")</f>
        <v>-252.09023701188448</v>
      </c>
      <c r="W1457" s="365">
        <f>IF($Q1457="ekrk",IF($R1457="data",IFERROR(INDEX(data!$A:$ALL,MATCH($M1457,data!$A:$A,0),MATCH(W$2,data!$1:$1,0)),"#data"),IFERROR(V1457*INDEX(indexy_SDcast!$A:$ALI,MATCH($R1457,indexy_SDcast!$K:$K,0),MATCH(W$2,indexy_SDcast!$2:$2,0)),"#ekrk")),"#popis")</f>
        <v>-257.32101625586051</v>
      </c>
      <c r="X1457" s="365">
        <f>IF($Q1457="ekrk",IF($R1457="data",IFERROR(INDEX(data!$A:$ALL,MATCH($M1457,data!$A:$A,0),MATCH(X$2,data!$1:$1,0)),"#data"),IFERROR(W1457*INDEX(indexy_SDcast!$A:$ALI,MATCH($R1457,indexy_SDcast!$K:$K,0),MATCH(X$2,indexy_SDcast!$2:$2,0)),"#ekrk")),"#popis")</f>
        <v>-263.17445471285674</v>
      </c>
      <c r="Y1457" s="362">
        <f>IF($Q1457="ekrk",IF($R1457="data",IFERROR(INDEX(data!$A:$ALL,MATCH($M1457,data!$A:$A,0),MATCH(Y$2,data!$1:$1,0)),"#data"),IFERROR(X1457*INDEX(indexy_SDcast!$A:$ALI,MATCH($R1457,indexy_SDcast!$K:$K,0),MATCH(Y$2,indexy_SDcast!$2:$2,0)),"#ekrk")),"#popis")</f>
        <v>-269.37309529296442</v>
      </c>
    </row>
    <row r="1458" spans="1:25" x14ac:dyDescent="0.25">
      <c r="A1458" s="330">
        <v>636007</v>
      </c>
      <c r="B1458" s="329">
        <v>-192.91431000000006</v>
      </c>
      <c r="C1458" s="157"/>
      <c r="D1458" s="330">
        <v>636007</v>
      </c>
      <c r="E1458" s="329">
        <v>-192.91431000000006</v>
      </c>
      <c r="F1458" s="157"/>
      <c r="G1458" s="330">
        <v>636007</v>
      </c>
      <c r="H1458" s="329">
        <v>-192.91431000000006</v>
      </c>
      <c r="I1458" s="157"/>
      <c r="J1458" s="330">
        <v>636007</v>
      </c>
      <c r="K1458" s="329">
        <v>-192.91431000000006</v>
      </c>
      <c r="L1458" s="157"/>
      <c r="M1458" s="360">
        <f t="shared" si="158"/>
        <v>636007</v>
      </c>
      <c r="N1458" s="237">
        <f t="shared" si="159"/>
        <v>-192.91431000000006</v>
      </c>
      <c r="O1458" s="361"/>
      <c r="P1458" s="361"/>
      <c r="Q1458" s="361" t="s">
        <v>698</v>
      </c>
      <c r="R1458" s="362">
        <f>IF(Q1458="ekrk",INDEX(indexy_SDcast!$A:$C,MATCH($M1458,indexy_SDcast!$A:$A,0),2),"")</f>
        <v>25</v>
      </c>
      <c r="S1458" s="236"/>
      <c r="T1458" s="364">
        <f t="shared" si="156"/>
        <v>636007</v>
      </c>
      <c r="U1458" s="365">
        <f t="shared" si="157"/>
        <v>-192.91431000000006</v>
      </c>
      <c r="V1458" s="365">
        <f>IF($Q1458="ekrk",IF($R1458="data",IFERROR(INDEX(data!$A:$ALL,MATCH($M1458,data!$A:$A,0),MATCH(V$2,data!$1:$1,0)),"#data"),IFERROR(U1458*INDEX(indexy_SDcast!$A:$ALI,MATCH($R1458,indexy_SDcast!$K:$K,0),MATCH(V$2,indexy_SDcast!$2:$2,0)),"#ekrk")),"#popis")</f>
        <v>-194.37032969415478</v>
      </c>
      <c r="W1458" s="365">
        <f>IF($Q1458="ekrk",IF($R1458="data",IFERROR(INDEX(data!$A:$ALL,MATCH($M1458,data!$A:$A,0),MATCH(W$2,data!$1:$1,0)),"#data"),IFERROR(V1458*INDEX(indexy_SDcast!$A:$ALI,MATCH($R1458,indexy_SDcast!$K:$K,0),MATCH(W$2,indexy_SDcast!$2:$2,0)),"#ekrk")),"#popis")</f>
        <v>-198.403442194902</v>
      </c>
      <c r="X1458" s="365">
        <f>IF($Q1458="ekrk",IF($R1458="data",IFERROR(INDEX(data!$A:$ALL,MATCH($M1458,data!$A:$A,0),MATCH(X$2,data!$1:$1,0)),"#data"),IFERROR(W1458*INDEX(indexy_SDcast!$A:$ALI,MATCH($R1458,indexy_SDcast!$K:$K,0),MATCH(X$2,indexy_SDcast!$2:$2,0)),"#ekrk")),"#popis")</f>
        <v>-202.91664657844646</v>
      </c>
      <c r="Y1458" s="362">
        <f>IF($Q1458="ekrk",IF($R1458="data",IFERROR(INDEX(data!$A:$ALL,MATCH($M1458,data!$A:$A,0),MATCH(Y$2,data!$1:$1,0)),"#data"),IFERROR(X1458*INDEX(indexy_SDcast!$A:$ALI,MATCH($R1458,indexy_SDcast!$K:$K,0),MATCH(Y$2,indexy_SDcast!$2:$2,0)),"#ekrk")),"#popis")</f>
        <v>-207.69601379033219</v>
      </c>
    </row>
    <row r="1459" spans="1:25" x14ac:dyDescent="0.25">
      <c r="A1459" s="330">
        <v>636008</v>
      </c>
      <c r="B1459" s="329">
        <v>-107.30511000000003</v>
      </c>
      <c r="C1459" s="157"/>
      <c r="D1459" s="330">
        <v>636008</v>
      </c>
      <c r="E1459" s="329">
        <v>-107.30511000000003</v>
      </c>
      <c r="F1459" s="157"/>
      <c r="G1459" s="330">
        <v>636008</v>
      </c>
      <c r="H1459" s="329">
        <v>-107.30511000000003</v>
      </c>
      <c r="I1459" s="157"/>
      <c r="J1459" s="330">
        <v>636008</v>
      </c>
      <c r="K1459" s="329">
        <v>-107.30511000000003</v>
      </c>
      <c r="L1459" s="157"/>
      <c r="M1459" s="360">
        <f t="shared" si="158"/>
        <v>636008</v>
      </c>
      <c r="N1459" s="237">
        <f t="shared" si="159"/>
        <v>-107.30511000000003</v>
      </c>
      <c r="O1459" s="361"/>
      <c r="P1459" s="361"/>
      <c r="Q1459" s="361" t="s">
        <v>698</v>
      </c>
      <c r="R1459" s="362">
        <f>IF(Q1459="ekrk",INDEX(indexy_SDcast!$A:$C,MATCH($M1459,indexy_SDcast!$A:$A,0),2),"")</f>
        <v>25</v>
      </c>
      <c r="S1459" s="236"/>
      <c r="T1459" s="364">
        <f t="shared" si="156"/>
        <v>636008</v>
      </c>
      <c r="U1459" s="365">
        <f t="shared" si="157"/>
        <v>-107.30511000000003</v>
      </c>
      <c r="V1459" s="365">
        <f>IF($Q1459="ekrk",IF($R1459="data",IFERROR(INDEX(data!$A:$ALL,MATCH($M1459,data!$A:$A,0),MATCH(V$2,data!$1:$1,0)),"#data"),IFERROR(U1459*INDEX(indexy_SDcast!$A:$ALI,MATCH($R1459,indexy_SDcast!$K:$K,0),MATCH(V$2,indexy_SDcast!$2:$2,0)),"#ekrk")),"#popis")</f>
        <v>-108.11499472780191</v>
      </c>
      <c r="W1459" s="365">
        <f>IF($Q1459="ekrk",IF($R1459="data",IFERROR(INDEX(data!$A:$ALL,MATCH($M1459,data!$A:$A,0),MATCH(W$2,data!$1:$1,0)),"#data"),IFERROR(V1459*INDEX(indexy_SDcast!$A:$ALI,MATCH($R1459,indexy_SDcast!$K:$K,0),MATCH(W$2,indexy_SDcast!$2:$2,0)),"#ekrk")),"#popis")</f>
        <v>-110.35834090847175</v>
      </c>
      <c r="X1459" s="365">
        <f>IF($Q1459="ekrk",IF($R1459="data",IFERROR(INDEX(data!$A:$ALL,MATCH($M1459,data!$A:$A,0),MATCH(X$2,data!$1:$1,0)),"#data"),IFERROR(W1459*INDEX(indexy_SDcast!$A:$ALI,MATCH($R1459,indexy_SDcast!$K:$K,0),MATCH(X$2,indexy_SDcast!$2:$2,0)),"#ekrk")),"#popis")</f>
        <v>-112.86872955112206</v>
      </c>
      <c r="Y1459" s="362">
        <f>IF($Q1459="ekrk",IF($R1459="data",IFERROR(INDEX(data!$A:$ALL,MATCH($M1459,data!$A:$A,0),MATCH(Y$2,data!$1:$1,0)),"#data"),IFERROR(X1459*INDEX(indexy_SDcast!$A:$ALI,MATCH($R1459,indexy_SDcast!$K:$K,0),MATCH(Y$2,indexy_SDcast!$2:$2,0)),"#ekrk")),"#popis")</f>
        <v>-115.52716647268475</v>
      </c>
    </row>
    <row r="1460" spans="1:25" x14ac:dyDescent="0.25">
      <c r="A1460" s="330">
        <v>637000</v>
      </c>
      <c r="B1460" s="329">
        <v>-97834.430559999993</v>
      </c>
      <c r="C1460" s="157"/>
      <c r="D1460" s="330">
        <v>637000</v>
      </c>
      <c r="E1460" s="329">
        <v>-97834.430559999993</v>
      </c>
      <c r="F1460" s="157"/>
      <c r="G1460" s="330">
        <v>637000</v>
      </c>
      <c r="H1460" s="329">
        <v>-97834.430559999993</v>
      </c>
      <c r="I1460" s="157"/>
      <c r="J1460" s="330">
        <v>637000</v>
      </c>
      <c r="K1460" s="329">
        <v>-97834.430559999993</v>
      </c>
      <c r="L1460" s="157"/>
      <c r="M1460" s="360">
        <f t="shared" si="158"/>
        <v>637000</v>
      </c>
      <c r="N1460" s="237">
        <f t="shared" si="159"/>
        <v>-97834.430559999993</v>
      </c>
      <c r="O1460" s="361"/>
      <c r="P1460" s="361"/>
      <c r="Q1460" s="361" t="s">
        <v>698</v>
      </c>
      <c r="R1460" s="362">
        <f>IF(Q1460="ekrk",INDEX(indexy_SDcast!$A:$C,MATCH($M1460,indexy_SDcast!$A:$A,0),2),"")</f>
        <v>25</v>
      </c>
      <c r="S1460" s="236"/>
      <c r="T1460" s="364">
        <f t="shared" si="156"/>
        <v>637000</v>
      </c>
      <c r="U1460" s="365">
        <f t="shared" si="157"/>
        <v>-97834.430559999993</v>
      </c>
      <c r="V1460" s="365">
        <f>IF($Q1460="ekrk",IF($R1460="data",IFERROR(INDEX(data!$A:$ALL,MATCH($M1460,data!$A:$A,0),MATCH(V$2,data!$1:$1,0)),"#data"),IFERROR(U1460*INDEX(indexy_SDcast!$A:$ALI,MATCH($R1460,indexy_SDcast!$K:$K,0),MATCH(V$2,indexy_SDcast!$2:$2,0)),"#ekrk")),"#popis")</f>
        <v>-98572.835386794715</v>
      </c>
      <c r="W1460" s="365">
        <f>IF($Q1460="ekrk",IF($R1460="data",IFERROR(INDEX(data!$A:$ALL,MATCH($M1460,data!$A:$A,0),MATCH(W$2,data!$1:$1,0)),"#data"),IFERROR(V1460*INDEX(indexy_SDcast!$A:$ALI,MATCH($R1460,indexy_SDcast!$K:$K,0),MATCH(W$2,indexy_SDcast!$2:$2,0)),"#ekrk")),"#popis")</f>
        <v>-100618.18528797635</v>
      </c>
      <c r="X1460" s="365">
        <f>IF($Q1460="ekrk",IF($R1460="data",IFERROR(INDEX(data!$A:$ALL,MATCH($M1460,data!$A:$A,0),MATCH(X$2,data!$1:$1,0)),"#data"),IFERROR(W1460*INDEX(indexy_SDcast!$A:$ALI,MATCH($R1460,indexy_SDcast!$K:$K,0),MATCH(X$2,indexy_SDcast!$2:$2,0)),"#ekrk")),"#popis")</f>
        <v>-102907.0086565744</v>
      </c>
      <c r="Y1460" s="362">
        <f>IF($Q1460="ekrk",IF($R1460="data",IFERROR(INDEX(data!$A:$ALL,MATCH($M1460,data!$A:$A,0),MATCH(Y$2,data!$1:$1,0)),"#data"),IFERROR(X1460*INDEX(indexy_SDcast!$A:$ALI,MATCH($R1460,indexy_SDcast!$K:$K,0),MATCH(Y$2,indexy_SDcast!$2:$2,0)),"#ekrk")),"#popis")</f>
        <v>-105330.81365897144</v>
      </c>
    </row>
    <row r="1461" spans="1:25" x14ac:dyDescent="0.25">
      <c r="A1461" s="330">
        <v>637001</v>
      </c>
      <c r="B1461" s="329">
        <v>-12260.055650000008</v>
      </c>
      <c r="C1461" s="157"/>
      <c r="D1461" s="330">
        <v>637001</v>
      </c>
      <c r="E1461" s="329">
        <v>-12260.055650000008</v>
      </c>
      <c r="F1461" s="157"/>
      <c r="G1461" s="330">
        <v>637001</v>
      </c>
      <c r="H1461" s="329">
        <v>-12260.055650000008</v>
      </c>
      <c r="I1461" s="157"/>
      <c r="J1461" s="330">
        <v>637001</v>
      </c>
      <c r="K1461" s="329">
        <v>-12260.055650000008</v>
      </c>
      <c r="L1461" s="157"/>
      <c r="M1461" s="360">
        <f t="shared" si="158"/>
        <v>637001</v>
      </c>
      <c r="N1461" s="237">
        <f t="shared" si="159"/>
        <v>-12260.055650000008</v>
      </c>
      <c r="O1461" s="361"/>
      <c r="P1461" s="361"/>
      <c r="Q1461" s="361" t="s">
        <v>698</v>
      </c>
      <c r="R1461" s="362">
        <f>IF(Q1461="ekrk",INDEX(indexy_SDcast!$A:$C,MATCH($M1461,indexy_SDcast!$A:$A,0),2),"")</f>
        <v>39</v>
      </c>
      <c r="S1461" s="236"/>
      <c r="T1461" s="364">
        <f t="shared" si="156"/>
        <v>637001</v>
      </c>
      <c r="U1461" s="365">
        <f t="shared" si="157"/>
        <v>-12260.055650000008</v>
      </c>
      <c r="V1461" s="365">
        <f>IF($Q1461="ekrk",IF($R1461="data",IFERROR(INDEX(data!$A:$ALL,MATCH($M1461,data!$A:$A,0),MATCH(V$2,data!$1:$1,0)),"#data"),IFERROR(U1461*INDEX(indexy_SDcast!$A:$ALI,MATCH($R1461,indexy_SDcast!$K:$K,0),MATCH(V$2,indexy_SDcast!$2:$2,0)),"#ekrk")),"#popis")</f>
        <v>-12615.430533752431</v>
      </c>
      <c r="W1461" s="365">
        <f>IF($Q1461="ekrk",IF($R1461="data",IFERROR(INDEX(data!$A:$ALL,MATCH($M1461,data!$A:$A,0),MATCH(W$2,data!$1:$1,0)),"#data"),IFERROR(V1461*INDEX(indexy_SDcast!$A:$ALI,MATCH($R1461,indexy_SDcast!$K:$K,0),MATCH(W$2,indexy_SDcast!$2:$2,0)),"#ekrk")),"#popis")</f>
        <v>-13081.912053607326</v>
      </c>
      <c r="X1461" s="365">
        <f>IF($Q1461="ekrk",IF($R1461="data",IFERROR(INDEX(data!$A:$ALL,MATCH($M1461,data!$A:$A,0),MATCH(X$2,data!$1:$1,0)),"#data"),IFERROR(W1461*INDEX(indexy_SDcast!$A:$ALI,MATCH($R1461,indexy_SDcast!$K:$K,0),MATCH(X$2,indexy_SDcast!$2:$2,0)),"#ekrk")),"#popis")</f>
        <v>-13640.945626919794</v>
      </c>
      <c r="Y1461" s="362">
        <f>IF($Q1461="ekrk",IF($R1461="data",IFERROR(INDEX(data!$A:$ALL,MATCH($M1461,data!$A:$A,0),MATCH(Y$2,data!$1:$1,0)),"#data"),IFERROR(X1461*INDEX(indexy_SDcast!$A:$ALI,MATCH($R1461,indexy_SDcast!$K:$K,0),MATCH(Y$2,indexy_SDcast!$2:$2,0)),"#ekrk")),"#popis")</f>
        <v>-14269.716987965843</v>
      </c>
    </row>
    <row r="1462" spans="1:25" x14ac:dyDescent="0.25">
      <c r="A1462" s="330">
        <v>637002</v>
      </c>
      <c r="B1462" s="329">
        <v>-23227.885569999984</v>
      </c>
      <c r="C1462" s="157"/>
      <c r="D1462" s="330">
        <v>637002</v>
      </c>
      <c r="E1462" s="329">
        <v>-23227.885569999984</v>
      </c>
      <c r="F1462" s="157"/>
      <c r="G1462" s="330">
        <v>637002</v>
      </c>
      <c r="H1462" s="329">
        <v>-23227.885569999984</v>
      </c>
      <c r="I1462" s="157"/>
      <c r="J1462" s="330">
        <v>637002</v>
      </c>
      <c r="K1462" s="329">
        <v>-23227.885569999984</v>
      </c>
      <c r="L1462" s="157"/>
      <c r="M1462" s="360">
        <f t="shared" si="158"/>
        <v>637002</v>
      </c>
      <c r="N1462" s="237">
        <f t="shared" si="159"/>
        <v>-23227.885569999984</v>
      </c>
      <c r="O1462" s="361"/>
      <c r="P1462" s="361"/>
      <c r="Q1462" s="361" t="s">
        <v>698</v>
      </c>
      <c r="R1462" s="362">
        <f>IF(Q1462="ekrk",INDEX(indexy_SDcast!$A:$C,MATCH($M1462,indexy_SDcast!$A:$A,0),2),"")</f>
        <v>25</v>
      </c>
      <c r="S1462" s="236"/>
      <c r="T1462" s="364">
        <f t="shared" si="156"/>
        <v>637002</v>
      </c>
      <c r="U1462" s="365">
        <f t="shared" si="157"/>
        <v>-23227.885569999984</v>
      </c>
      <c r="V1462" s="365">
        <f>IF($Q1462="ekrk",IF($R1462="data",IFERROR(INDEX(data!$A:$ALL,MATCH($M1462,data!$A:$A,0),MATCH(V$2,data!$1:$1,0)),"#data"),IFERROR(U1462*INDEX(indexy_SDcast!$A:$ALI,MATCH($R1462,indexy_SDcast!$K:$K,0),MATCH(V$2,indexy_SDcast!$2:$2,0)),"#ekrk")),"#popis")</f>
        <v>-23403.197908641385</v>
      </c>
      <c r="W1462" s="365">
        <f>IF($Q1462="ekrk",IF($R1462="data",IFERROR(INDEX(data!$A:$ALL,MATCH($M1462,data!$A:$A,0),MATCH(W$2,data!$1:$1,0)),"#data"),IFERROR(V1462*INDEX(indexy_SDcast!$A:$ALI,MATCH($R1462,indexy_SDcast!$K:$K,0),MATCH(W$2,indexy_SDcast!$2:$2,0)),"#ekrk")),"#popis")</f>
        <v>-23888.805615287372</v>
      </c>
      <c r="X1462" s="365">
        <f>IF($Q1462="ekrk",IF($R1462="data",IFERROR(INDEX(data!$A:$ALL,MATCH($M1462,data!$A:$A,0),MATCH(X$2,data!$1:$1,0)),"#data"),IFERROR(W1462*INDEX(indexy_SDcast!$A:$ALI,MATCH($R1462,indexy_SDcast!$K:$K,0),MATCH(X$2,indexy_SDcast!$2:$2,0)),"#ekrk")),"#popis")</f>
        <v>-24432.218879834691</v>
      </c>
      <c r="Y1462" s="362">
        <f>IF($Q1462="ekrk",IF($R1462="data",IFERROR(INDEX(data!$A:$ALL,MATCH($M1462,data!$A:$A,0),MATCH(Y$2,data!$1:$1,0)),"#data"),IFERROR(X1462*INDEX(indexy_SDcast!$A:$ALI,MATCH($R1462,indexy_SDcast!$K:$K,0),MATCH(Y$2,indexy_SDcast!$2:$2,0)),"#ekrk")),"#popis")</f>
        <v>-25007.67953225955</v>
      </c>
    </row>
    <row r="1463" spans="1:25" x14ac:dyDescent="0.25">
      <c r="A1463" s="330">
        <v>637003</v>
      </c>
      <c r="B1463" s="329">
        <v>-14249.264409999989</v>
      </c>
      <c r="C1463" s="157"/>
      <c r="D1463" s="330">
        <v>637003</v>
      </c>
      <c r="E1463" s="329">
        <v>-14249.264409999989</v>
      </c>
      <c r="F1463" s="157"/>
      <c r="G1463" s="330">
        <v>637003</v>
      </c>
      <c r="H1463" s="329">
        <v>-14249.264409999989</v>
      </c>
      <c r="I1463" s="157"/>
      <c r="J1463" s="330">
        <v>637003</v>
      </c>
      <c r="K1463" s="329">
        <v>-14249.264409999989</v>
      </c>
      <c r="L1463" s="157"/>
      <c r="M1463" s="360">
        <f t="shared" si="158"/>
        <v>637003</v>
      </c>
      <c r="N1463" s="237">
        <f t="shared" si="159"/>
        <v>-14249.264409999989</v>
      </c>
      <c r="O1463" s="361"/>
      <c r="P1463" s="361"/>
      <c r="Q1463" s="361" t="s">
        <v>698</v>
      </c>
      <c r="R1463" s="362">
        <f>IF(Q1463="ekrk",INDEX(indexy_SDcast!$A:$C,MATCH($M1463,indexy_SDcast!$A:$A,0),2),"")</f>
        <v>25</v>
      </c>
      <c r="S1463" s="236"/>
      <c r="T1463" s="364">
        <f t="shared" si="156"/>
        <v>637003</v>
      </c>
      <c r="U1463" s="365">
        <f t="shared" si="157"/>
        <v>-14249.264409999989</v>
      </c>
      <c r="V1463" s="365">
        <f>IF($Q1463="ekrk",IF($R1463="data",IFERROR(INDEX(data!$A:$ALL,MATCH($M1463,data!$A:$A,0),MATCH(V$2,data!$1:$1,0)),"#data"),IFERROR(U1463*INDEX(indexy_SDcast!$A:$ALI,MATCH($R1463,indexy_SDcast!$K:$K,0),MATCH(V$2,indexy_SDcast!$2:$2,0)),"#ekrk")),"#popis")</f>
        <v>-14356.810654797371</v>
      </c>
      <c r="W1463" s="365">
        <f>IF($Q1463="ekrk",IF($R1463="data",IFERROR(INDEX(data!$A:$ALL,MATCH($M1463,data!$A:$A,0),MATCH(W$2,data!$1:$1,0)),"#data"),IFERROR(V1463*INDEX(indexy_SDcast!$A:$ALI,MATCH($R1463,indexy_SDcast!$K:$K,0),MATCH(W$2,indexy_SDcast!$2:$2,0)),"#ekrk")),"#popis")</f>
        <v>-14654.709169523538</v>
      </c>
      <c r="X1463" s="365">
        <f>IF($Q1463="ekrk",IF($R1463="data",IFERROR(INDEX(data!$A:$ALL,MATCH($M1463,data!$A:$A,0),MATCH(X$2,data!$1:$1,0)),"#data"),IFERROR(W1463*INDEX(indexy_SDcast!$A:$ALI,MATCH($R1463,indexy_SDcast!$K:$K,0),MATCH(X$2,indexy_SDcast!$2:$2,0)),"#ekrk")),"#popis")</f>
        <v>-14988.068797419966</v>
      </c>
      <c r="Y1463" s="362">
        <f>IF($Q1463="ekrk",IF($R1463="data",IFERROR(INDEX(data!$A:$ALL,MATCH($M1463,data!$A:$A,0),MATCH(Y$2,data!$1:$1,0)),"#data"),IFERROR(X1463*INDEX(indexy_SDcast!$A:$ALI,MATCH($R1463,indexy_SDcast!$K:$K,0),MATCH(Y$2,indexy_SDcast!$2:$2,0)),"#ekrk")),"#popis")</f>
        <v>-15341.088058223606</v>
      </c>
    </row>
    <row r="1464" spans="1:25" x14ac:dyDescent="0.25">
      <c r="A1464" s="330">
        <v>637004</v>
      </c>
      <c r="B1464" s="329">
        <v>-337659.93781524507</v>
      </c>
      <c r="C1464" s="157"/>
      <c r="D1464" s="330">
        <v>637004</v>
      </c>
      <c r="E1464" s="329">
        <v>-337659.93781524507</v>
      </c>
      <c r="F1464" s="157"/>
      <c r="G1464" s="330">
        <v>637004</v>
      </c>
      <c r="H1464" s="329">
        <v>-337659.93781524507</v>
      </c>
      <c r="I1464" s="157"/>
      <c r="J1464" s="330">
        <v>637004</v>
      </c>
      <c r="K1464" s="329">
        <v>-337659.93781524507</v>
      </c>
      <c r="L1464" s="157"/>
      <c r="M1464" s="360">
        <f t="shared" si="158"/>
        <v>637004</v>
      </c>
      <c r="N1464" s="237">
        <f t="shared" si="159"/>
        <v>-337659.93781524507</v>
      </c>
      <c r="O1464" s="361"/>
      <c r="P1464" s="361"/>
      <c r="Q1464" s="361" t="s">
        <v>698</v>
      </c>
      <c r="R1464" s="362" t="str">
        <f>IF(Q1464="ekrk",INDEX(indexy_SDcast!$A:$C,MATCH($M1464,indexy_SDcast!$A:$A,0),2),"")</f>
        <v>data</v>
      </c>
      <c r="S1464" s="236"/>
      <c r="T1464" s="364">
        <f t="shared" si="156"/>
        <v>637004</v>
      </c>
      <c r="U1464" s="365">
        <f t="shared" si="157"/>
        <v>-337659.93781524507</v>
      </c>
      <c r="V1464" s="365">
        <f>IF($Q1464="ekrk",IF($R1464="data",IFERROR(INDEX(data!$A:$ALL,MATCH($M1464,data!$A:$A,0),MATCH(V$2,data!$1:$1,0)),"#data"),IFERROR(U1464*INDEX(indexy_SDcast!$A:$ALI,MATCH($R1464,indexy_SDcast!$K:$K,0),MATCH(V$2,indexy_SDcast!$2:$2,0)),"#ekrk")),"#popis")</f>
        <v>-340164.80209549266</v>
      </c>
      <c r="W1464" s="365">
        <f>IF($Q1464="ekrk",IF($R1464="data",IFERROR(INDEX(data!$A:$ALL,MATCH($M1464,data!$A:$A,0),MATCH(W$2,data!$1:$1,0)),"#data"),IFERROR(V1464*INDEX(indexy_SDcast!$A:$ALI,MATCH($R1464,indexy_SDcast!$K:$K,0),MATCH(W$2,indexy_SDcast!$2:$2,0)),"#ekrk")),"#popis")</f>
        <v>-347102.99715135957</v>
      </c>
      <c r="X1464" s="365">
        <f>IF($Q1464="ekrk",IF($R1464="data",IFERROR(INDEX(data!$A:$ALL,MATCH($M1464,data!$A:$A,0),MATCH(X$2,data!$1:$1,0)),"#data"),IFERROR(W1464*INDEX(indexy_SDcast!$A:$ALI,MATCH($R1464,indexy_SDcast!$K:$K,0),MATCH(X$2,indexy_SDcast!$2:$2,0)),"#ekrk")),"#popis")</f>
        <v>-354867.09803726932</v>
      </c>
      <c r="Y1464" s="362">
        <f>IF($Q1464="ekrk",IF($R1464="data",IFERROR(INDEX(data!$A:$ALL,MATCH($M1464,data!$A:$A,0),MATCH(Y$2,data!$1:$1,0)),"#data"),IFERROR(X1464*INDEX(indexy_SDcast!$A:$ALI,MATCH($R1464,indexy_SDcast!$K:$K,0),MATCH(Y$2,indexy_SDcast!$2:$2,0)),"#ekrk")),"#popis")</f>
        <v>-363089.08092357224</v>
      </c>
    </row>
    <row r="1465" spans="1:25" x14ac:dyDescent="0.25">
      <c r="A1465" s="330">
        <v>637005</v>
      </c>
      <c r="B1465" s="329">
        <v>-135576.39551</v>
      </c>
      <c r="C1465" s="157"/>
      <c r="D1465" s="330">
        <v>637005</v>
      </c>
      <c r="E1465" s="329">
        <v>-135576.39551</v>
      </c>
      <c r="F1465" s="157"/>
      <c r="G1465" s="330">
        <v>637005</v>
      </c>
      <c r="H1465" s="356">
        <f>E1465+E1496</f>
        <v>-414684.39551</v>
      </c>
      <c r="I1465" s="157"/>
      <c r="J1465" s="330">
        <v>637005</v>
      </c>
      <c r="K1465" s="329">
        <f>H1465+H1496</f>
        <v>-414684.39551</v>
      </c>
      <c r="L1465" s="157"/>
      <c r="M1465" s="360">
        <f t="shared" si="158"/>
        <v>637005</v>
      </c>
      <c r="N1465" s="237">
        <f t="shared" si="159"/>
        <v>-414684.39551</v>
      </c>
      <c r="O1465" s="361"/>
      <c r="P1465" s="361"/>
      <c r="Q1465" s="361" t="s">
        <v>698</v>
      </c>
      <c r="R1465" s="362">
        <f>IF(Q1465="ekrk",INDEX(indexy_SDcast!$A:$C,MATCH($M1465,indexy_SDcast!$A:$A,0),2),"")</f>
        <v>6</v>
      </c>
      <c r="S1465" s="236"/>
      <c r="T1465" s="364">
        <f t="shared" si="156"/>
        <v>637005</v>
      </c>
      <c r="U1465" s="365">
        <f t="shared" si="157"/>
        <v>-414684.39551</v>
      </c>
      <c r="V1465" s="365">
        <f>IF($Q1465="ekrk",IF($R1465="data",IFERROR(INDEX(data!$A:$ALL,MATCH($M1465,data!$A:$A,0),MATCH(V$2,data!$1:$1,0)),"#data"),IFERROR(U1465*INDEX(indexy_SDcast!$A:$ALI,MATCH($R1465,indexy_SDcast!$K:$K,0),MATCH(V$2,indexy_SDcast!$2:$2,0)),"#ekrk")),"#popis")</f>
        <v>-422259.41360129358</v>
      </c>
      <c r="W1465" s="365">
        <f>IF($Q1465="ekrk",IF($R1465="data",IFERROR(INDEX(data!$A:$ALL,MATCH($M1465,data!$A:$A,0),MATCH(W$2,data!$1:$1,0)),"#data"),IFERROR(V1465*INDEX(indexy_SDcast!$A:$ALI,MATCH($R1465,indexy_SDcast!$K:$K,0),MATCH(W$2,indexy_SDcast!$2:$2,0)),"#ekrk")),"#popis")</f>
        <v>-434447.23261933774</v>
      </c>
      <c r="X1465" s="365">
        <f>IF($Q1465="ekrk",IF($R1465="data",IFERROR(INDEX(data!$A:$ALL,MATCH($M1465,data!$A:$A,0),MATCH(X$2,data!$1:$1,0)),"#data"),IFERROR(W1465*INDEX(indexy_SDcast!$A:$ALI,MATCH($R1465,indexy_SDcast!$K:$K,0),MATCH(X$2,indexy_SDcast!$2:$2,0)),"#ekrk")),"#popis")</f>
        <v>-448671.23796835449</v>
      </c>
      <c r="Y1465" s="362">
        <f>IF($Q1465="ekrk",IF($R1465="data",IFERROR(INDEX(data!$A:$ALL,MATCH($M1465,data!$A:$A,0),MATCH(Y$2,data!$1:$1,0)),"#data"),IFERROR(X1465*INDEX(indexy_SDcast!$A:$ALI,MATCH($R1465,indexy_SDcast!$K:$K,0),MATCH(Y$2,indexy_SDcast!$2:$2,0)),"#ekrk")),"#popis")</f>
        <v>-464295.71211438341</v>
      </c>
    </row>
    <row r="1466" spans="1:25" x14ac:dyDescent="0.25">
      <c r="A1466" s="330">
        <v>637008</v>
      </c>
      <c r="B1466" s="329">
        <v>-29191.404060000004</v>
      </c>
      <c r="C1466" s="157"/>
      <c r="D1466" s="330">
        <v>637008</v>
      </c>
      <c r="E1466" s="329">
        <v>-29191.404060000004</v>
      </c>
      <c r="F1466" s="157"/>
      <c r="G1466" s="330">
        <v>637008</v>
      </c>
      <c r="H1466" s="329">
        <v>-29191.404060000004</v>
      </c>
      <c r="I1466" s="157"/>
      <c r="J1466" s="330">
        <v>637008</v>
      </c>
      <c r="K1466" s="329">
        <v>-29191.404060000004</v>
      </c>
      <c r="L1466" s="157"/>
      <c r="M1466" s="360">
        <f t="shared" si="158"/>
        <v>637008</v>
      </c>
      <c r="N1466" s="237">
        <f t="shared" si="159"/>
        <v>-29191.404060000004</v>
      </c>
      <c r="O1466" s="361"/>
      <c r="P1466" s="361"/>
      <c r="Q1466" s="361" t="s">
        <v>698</v>
      </c>
      <c r="R1466" s="362" t="str">
        <f>IF(Q1466="ekrk",INDEX(indexy_SDcast!$A:$C,MATCH($M1466,indexy_SDcast!$A:$A,0),2),"")</f>
        <v>data</v>
      </c>
      <c r="S1466" s="236"/>
      <c r="T1466" s="364">
        <f t="shared" si="156"/>
        <v>637008</v>
      </c>
      <c r="U1466" s="365">
        <f t="shared" si="157"/>
        <v>-29191.404060000004</v>
      </c>
      <c r="V1466" s="365">
        <f>IF($Q1466="ekrk",IF($R1466="data",IFERROR(INDEX(data!$A:$ALL,MATCH($M1466,data!$A:$A,0),MATCH(V$2,data!$1:$1,0)),"#data"),IFERROR(U1466*INDEX(indexy_SDcast!$A:$ALI,MATCH($R1466,indexy_SDcast!$K:$K,0),MATCH(V$2,indexy_SDcast!$2:$2,0)),"#ekrk")),"#popis")</f>
        <v>-9993.9059149638415</v>
      </c>
      <c r="W1466" s="365">
        <f>IF($Q1466="ekrk",IF($R1466="data",IFERROR(INDEX(data!$A:$ALL,MATCH($M1466,data!$A:$A,0),MATCH(W$2,data!$1:$1,0)),"#data"),IFERROR(V1466*INDEX(indexy_SDcast!$A:$ALI,MATCH($R1466,indexy_SDcast!$K:$K,0),MATCH(W$2,indexy_SDcast!$2:$2,0)),"#ekrk")),"#popis")</f>
        <v>-10201.275768893478</v>
      </c>
      <c r="X1466" s="365">
        <f>IF($Q1466="ekrk",IF($R1466="data",IFERROR(INDEX(data!$A:$ALL,MATCH($M1466,data!$A:$A,0),MATCH(X$2,data!$1:$1,0)),"#data"),IFERROR(W1466*INDEX(indexy_SDcast!$A:$ALI,MATCH($R1466,indexy_SDcast!$K:$K,0),MATCH(X$2,indexy_SDcast!$2:$2,0)),"#ekrk")),"#popis")</f>
        <v>-10433.330424843893</v>
      </c>
      <c r="Y1466" s="362">
        <f>IF($Q1466="ekrk",IF($R1466="data",IFERROR(INDEX(data!$A:$ALL,MATCH($M1466,data!$A:$A,0),MATCH(Y$2,data!$1:$1,0)),"#data"),IFERROR(X1466*INDEX(indexy_SDcast!$A:$ALI,MATCH($R1466,indexy_SDcast!$K:$K,0),MATCH(Y$2,indexy_SDcast!$2:$2,0)),"#ekrk")),"#popis")</f>
        <v>-10679.0703293026</v>
      </c>
    </row>
    <row r="1467" spans="1:25" x14ac:dyDescent="0.25">
      <c r="A1467" s="330">
        <v>637010</v>
      </c>
      <c r="B1467" s="329">
        <v>-4962.4167499999985</v>
      </c>
      <c r="C1467" s="157"/>
      <c r="D1467" s="330">
        <v>637010</v>
      </c>
      <c r="E1467" s="329">
        <v>-4962.4167499999985</v>
      </c>
      <c r="F1467" s="157"/>
      <c r="G1467" s="330">
        <v>637010</v>
      </c>
      <c r="H1467" s="329">
        <v>-4962.4167499999985</v>
      </c>
      <c r="I1467" s="157"/>
      <c r="J1467" s="330">
        <v>637010</v>
      </c>
      <c r="K1467" s="329">
        <v>-4962.4167499999985</v>
      </c>
      <c r="L1467" s="157"/>
      <c r="M1467" s="360">
        <f t="shared" si="158"/>
        <v>637010</v>
      </c>
      <c r="N1467" s="237">
        <f t="shared" si="159"/>
        <v>-4962.4167499999985</v>
      </c>
      <c r="O1467" s="361"/>
      <c r="P1467" s="361"/>
      <c r="Q1467" s="361" t="s">
        <v>698</v>
      </c>
      <c r="R1467" s="362">
        <f>IF(Q1467="ekrk",INDEX(indexy_SDcast!$A:$C,MATCH($M1467,indexy_SDcast!$A:$A,0),2),"")</f>
        <v>25</v>
      </c>
      <c r="S1467" s="236"/>
      <c r="T1467" s="364">
        <f t="shared" si="156"/>
        <v>637010</v>
      </c>
      <c r="U1467" s="365">
        <f t="shared" ref="U1467:U1489" si="160">N1467</f>
        <v>-4962.4167499999985</v>
      </c>
      <c r="V1467" s="365">
        <f>IF($Q1467="ekrk",IF($R1467="data",IFERROR(INDEX(data!$A:$ALL,MATCH($M1467,data!$A:$A,0),MATCH(V$2,data!$1:$1,0)),"#data"),IFERROR(U1467*INDEX(indexy_SDcast!$A:$ALI,MATCH($R1467,indexy_SDcast!$K:$K,0),MATCH(V$2,indexy_SDcast!$2:$2,0)),"#ekrk")),"#popis")</f>
        <v>-4999.870563139124</v>
      </c>
      <c r="W1467" s="365">
        <f>IF($Q1467="ekrk",IF($R1467="data",IFERROR(INDEX(data!$A:$ALL,MATCH($M1467,data!$A:$A,0),MATCH(W$2,data!$1:$1,0)),"#data"),IFERROR(V1467*INDEX(indexy_SDcast!$A:$ALI,MATCH($R1467,indexy_SDcast!$K:$K,0),MATCH(W$2,indexy_SDcast!$2:$2,0)),"#ekrk")),"#popis")</f>
        <v>-5103.6160293429657</v>
      </c>
      <c r="X1467" s="365">
        <f>IF($Q1467="ekrk",IF($R1467="data",IFERROR(INDEX(data!$A:$ALL,MATCH($M1467,data!$A:$A,0),MATCH(X$2,data!$1:$1,0)),"#data"),IFERROR(W1467*INDEX(indexy_SDcast!$A:$ALI,MATCH($R1467,indexy_SDcast!$K:$K,0),MATCH(X$2,indexy_SDcast!$2:$2,0)),"#ekrk")),"#popis")</f>
        <v>-5219.7111030006663</v>
      </c>
      <c r="Y1467" s="362">
        <f>IF($Q1467="ekrk",IF($R1467="data",IFERROR(INDEX(data!$A:$ALL,MATCH($M1467,data!$A:$A,0),MATCH(Y$2,data!$1:$1,0)),"#data"),IFERROR(X1467*INDEX(indexy_SDcast!$A:$ALI,MATCH($R1467,indexy_SDcast!$K:$K,0),MATCH(Y$2,indexy_SDcast!$2:$2,0)),"#ekrk")),"#popis")</f>
        <v>-5342.6527961630991</v>
      </c>
    </row>
    <row r="1468" spans="1:25" x14ac:dyDescent="0.25">
      <c r="A1468" s="330">
        <v>637011</v>
      </c>
      <c r="B1468" s="329">
        <v>-22678.531280000036</v>
      </c>
      <c r="C1468" s="157"/>
      <c r="D1468" s="330">
        <v>637011</v>
      </c>
      <c r="E1468" s="329">
        <v>-22678.531280000036</v>
      </c>
      <c r="F1468" s="157"/>
      <c r="G1468" s="330">
        <v>637011</v>
      </c>
      <c r="H1468" s="329">
        <v>-22678.531280000036</v>
      </c>
      <c r="I1468" s="157"/>
      <c r="J1468" s="330">
        <v>637011</v>
      </c>
      <c r="K1468" s="329">
        <v>-22678.531280000036</v>
      </c>
      <c r="L1468" s="157"/>
      <c r="M1468" s="360">
        <f t="shared" si="158"/>
        <v>637011</v>
      </c>
      <c r="N1468" s="237">
        <f t="shared" si="159"/>
        <v>-22678.531280000036</v>
      </c>
      <c r="O1468" s="361"/>
      <c r="P1468" s="361"/>
      <c r="Q1468" s="361" t="s">
        <v>698</v>
      </c>
      <c r="R1468" s="362" t="str">
        <f>IF(Q1468="ekrk",INDEX(indexy_SDcast!$A:$C,MATCH($M1468,indexy_SDcast!$A:$A,0),2),"")</f>
        <v>data</v>
      </c>
      <c r="S1468" s="236"/>
      <c r="T1468" s="364">
        <f t="shared" si="156"/>
        <v>637011</v>
      </c>
      <c r="U1468" s="365">
        <f t="shared" si="160"/>
        <v>-22678.531280000036</v>
      </c>
      <c r="V1468" s="365">
        <f>IF($Q1468="ekrk",IF($R1468="data",IFERROR(INDEX(data!$A:$ALL,MATCH($M1468,data!$A:$A,0),MATCH(V$2,data!$1:$1,0)),"#data"),IFERROR(U1468*INDEX(indexy_SDcast!$A:$ALI,MATCH($R1468,indexy_SDcast!$K:$K,0),MATCH(V$2,indexy_SDcast!$2:$2,0)),"#ekrk")),"#popis")</f>
        <v>-23297.305790371469</v>
      </c>
      <c r="W1468" s="365">
        <f>IF($Q1468="ekrk",IF($R1468="data",IFERROR(INDEX(data!$A:$ALL,MATCH($M1468,data!$A:$A,0),MATCH(W$2,data!$1:$1,0)),"#data"),IFERROR(V1468*INDEX(indexy_SDcast!$A:$ALI,MATCH($R1468,indexy_SDcast!$K:$K,0),MATCH(W$2,indexy_SDcast!$2:$2,0)),"#ekrk")),"#popis")</f>
        <v>-24158.771642411964</v>
      </c>
      <c r="X1468" s="365">
        <f>IF($Q1468="ekrk",IF($R1468="data",IFERROR(INDEX(data!$A:$ALL,MATCH($M1468,data!$A:$A,0),MATCH(X$2,data!$1:$1,0)),"#data"),IFERROR(W1468*INDEX(indexy_SDcast!$A:$ALI,MATCH($R1468,indexy_SDcast!$K:$K,0),MATCH(X$2,indexy_SDcast!$2:$2,0)),"#ekrk")),"#popis")</f>
        <v>-25191.156234416107</v>
      </c>
      <c r="Y1468" s="362">
        <f>IF($Q1468="ekrk",IF($R1468="data",IFERROR(INDEX(data!$A:$ALL,MATCH($M1468,data!$A:$A,0),MATCH(Y$2,data!$1:$1,0)),"#data"),IFERROR(X1468*INDEX(indexy_SDcast!$A:$ALI,MATCH($R1468,indexy_SDcast!$K:$K,0),MATCH(Y$2,indexy_SDcast!$2:$2,0)),"#ekrk")),"#popis")</f>
        <v>-26352.327756174756</v>
      </c>
    </row>
    <row r="1469" spans="1:25" x14ac:dyDescent="0.25">
      <c r="A1469" s="330">
        <v>637012</v>
      </c>
      <c r="B1469" s="329">
        <v>-168124.58956000014</v>
      </c>
      <c r="C1469" s="157"/>
      <c r="D1469" s="330">
        <v>637012</v>
      </c>
      <c r="E1469" s="329">
        <v>-168124.58956000014</v>
      </c>
      <c r="F1469" s="157"/>
      <c r="G1469" s="330">
        <v>637012</v>
      </c>
      <c r="H1469" s="329">
        <v>-168124.58956000014</v>
      </c>
      <c r="I1469" s="157"/>
      <c r="J1469" s="330">
        <v>637012</v>
      </c>
      <c r="K1469" s="329">
        <v>-168124.58956000014</v>
      </c>
      <c r="L1469" s="157"/>
      <c r="M1469" s="360">
        <f t="shared" si="158"/>
        <v>637012</v>
      </c>
      <c r="N1469" s="237">
        <f t="shared" si="159"/>
        <v>-168124.58956000014</v>
      </c>
      <c r="O1469" s="361"/>
      <c r="P1469" s="361"/>
      <c r="Q1469" s="361" t="s">
        <v>698</v>
      </c>
      <c r="R1469" s="362" t="str">
        <f>IF(Q1469="ekrk",INDEX(indexy_SDcast!$A:$C,MATCH($M1469,indexy_SDcast!$A:$A,0),2),"")</f>
        <v>data</v>
      </c>
      <c r="S1469" s="236"/>
      <c r="T1469" s="364">
        <f t="shared" si="156"/>
        <v>637012</v>
      </c>
      <c r="U1469" s="365">
        <f t="shared" si="160"/>
        <v>-168124.58956000014</v>
      </c>
      <c r="V1469" s="365">
        <f>IF($Q1469="ekrk",IF($R1469="data",IFERROR(INDEX(data!$A:$ALL,MATCH($M1469,data!$A:$A,0),MATCH(V$2,data!$1:$1,0)),"#data"),IFERROR(U1469*INDEX(indexy_SDcast!$A:$ALI,MATCH($R1469,indexy_SDcast!$K:$K,0),MATCH(V$2,indexy_SDcast!$2:$2,0)),"#ekrk")),"#popis")</f>
        <v>-168125</v>
      </c>
      <c r="W1469" s="365">
        <f>IF($Q1469="ekrk",IF($R1469="data",IFERROR(INDEX(data!$A:$ALL,MATCH($M1469,data!$A:$A,0),MATCH(W$2,data!$1:$1,0)),"#data"),IFERROR(V1469*INDEX(indexy_SDcast!$A:$ALI,MATCH($R1469,indexy_SDcast!$K:$K,0),MATCH(W$2,indexy_SDcast!$2:$2,0)),"#ekrk")),"#popis")</f>
        <v>-168125</v>
      </c>
      <c r="X1469" s="365">
        <f>IF($Q1469="ekrk",IF($R1469="data",IFERROR(INDEX(data!$A:$ALL,MATCH($M1469,data!$A:$A,0),MATCH(X$2,data!$1:$1,0)),"#data"),IFERROR(W1469*INDEX(indexy_SDcast!$A:$ALI,MATCH($R1469,indexy_SDcast!$K:$K,0),MATCH(X$2,indexy_SDcast!$2:$2,0)),"#ekrk")),"#popis")</f>
        <v>-168125</v>
      </c>
      <c r="Y1469" s="362">
        <f>IF($Q1469="ekrk",IF($R1469="data",IFERROR(INDEX(data!$A:$ALL,MATCH($M1469,data!$A:$A,0),MATCH(Y$2,data!$1:$1,0)),"#data"),IFERROR(X1469*INDEX(indexy_SDcast!$A:$ALI,MATCH($R1469,indexy_SDcast!$K:$K,0),MATCH(Y$2,indexy_SDcast!$2:$2,0)),"#ekrk")),"#popis")</f>
        <v>-168125</v>
      </c>
    </row>
    <row r="1470" spans="1:25" x14ac:dyDescent="0.25">
      <c r="A1470" s="330">
        <v>637017</v>
      </c>
      <c r="B1470" s="329">
        <v>-4196.077150000001</v>
      </c>
      <c r="C1470" s="157"/>
      <c r="D1470" s="330">
        <v>637017</v>
      </c>
      <c r="E1470" s="329">
        <v>-4196.077150000001</v>
      </c>
      <c r="F1470" s="157"/>
      <c r="G1470" s="330">
        <v>637017</v>
      </c>
      <c r="H1470" s="329">
        <v>-4196.077150000001</v>
      </c>
      <c r="I1470" s="157"/>
      <c r="J1470" s="330">
        <v>637017</v>
      </c>
      <c r="K1470" s="329">
        <v>-4196.077150000001</v>
      </c>
      <c r="L1470" s="157"/>
      <c r="M1470" s="360">
        <f t="shared" si="158"/>
        <v>637017</v>
      </c>
      <c r="N1470" s="237">
        <f t="shared" si="159"/>
        <v>-4196.077150000001</v>
      </c>
      <c r="O1470" s="361"/>
      <c r="P1470" s="361"/>
      <c r="Q1470" s="361" t="s">
        <v>698</v>
      </c>
      <c r="R1470" s="362">
        <f>IF(Q1470="ekrk",INDEX(indexy_SDcast!$A:$C,MATCH($M1470,indexy_SDcast!$A:$A,0),2),"")</f>
        <v>25</v>
      </c>
      <c r="S1470" s="236"/>
      <c r="T1470" s="364">
        <f t="shared" si="156"/>
        <v>637017</v>
      </c>
      <c r="U1470" s="365">
        <f t="shared" si="160"/>
        <v>-4196.077150000001</v>
      </c>
      <c r="V1470" s="365">
        <f>IF($Q1470="ekrk",IF($R1470="data",IFERROR(INDEX(data!$A:$ALL,MATCH($M1470,data!$A:$A,0),MATCH(V$2,data!$1:$1,0)),"#data"),IFERROR(U1470*INDEX(indexy_SDcast!$A:$ALI,MATCH($R1470,indexy_SDcast!$K:$K,0),MATCH(V$2,indexy_SDcast!$2:$2,0)),"#ekrk")),"#popis")</f>
        <v>-4227.7470192211731</v>
      </c>
      <c r="W1470" s="365">
        <f>IF($Q1470="ekrk",IF($R1470="data",IFERROR(INDEX(data!$A:$ALL,MATCH($M1470,data!$A:$A,0),MATCH(W$2,data!$1:$1,0)),"#data"),IFERROR(V1470*INDEX(indexy_SDcast!$A:$ALI,MATCH($R1470,indexy_SDcast!$K:$K,0),MATCH(W$2,indexy_SDcast!$2:$2,0)),"#ekrk")),"#popis")</f>
        <v>-4315.4712072700777</v>
      </c>
      <c r="X1470" s="365">
        <f>IF($Q1470="ekrk",IF($R1470="data",IFERROR(INDEX(data!$A:$ALL,MATCH($M1470,data!$A:$A,0),MATCH(X$2,data!$1:$1,0)),"#data"),IFERROR(W1470*INDEX(indexy_SDcast!$A:$ALI,MATCH($R1470,indexy_SDcast!$K:$K,0),MATCH(X$2,indexy_SDcast!$2:$2,0)),"#ekrk")),"#popis")</f>
        <v>-4413.6378688675031</v>
      </c>
      <c r="Y1470" s="362">
        <f>IF($Q1470="ekrk",IF($R1470="data",IFERROR(INDEX(data!$A:$ALL,MATCH($M1470,data!$A:$A,0),MATCH(Y$2,data!$1:$1,0)),"#data"),IFERROR(X1470*INDEX(indexy_SDcast!$A:$ALI,MATCH($R1470,indexy_SDcast!$K:$K,0),MATCH(Y$2,indexy_SDcast!$2:$2,0)),"#ekrk")),"#popis")</f>
        <v>-4517.5938353753936</v>
      </c>
    </row>
    <row r="1471" spans="1:25" x14ac:dyDescent="0.25">
      <c r="A1471" s="330">
        <v>637019</v>
      </c>
      <c r="B1471" s="329">
        <v>-5355.4880699999985</v>
      </c>
      <c r="C1471" s="157"/>
      <c r="D1471" s="330">
        <v>637019</v>
      </c>
      <c r="E1471" s="329">
        <v>-5355.4880699999985</v>
      </c>
      <c r="F1471" s="157"/>
      <c r="G1471" s="330">
        <v>637019</v>
      </c>
      <c r="H1471" s="329">
        <v>-5355.4880699999985</v>
      </c>
      <c r="I1471" s="157"/>
      <c r="J1471" s="330">
        <v>637019</v>
      </c>
      <c r="K1471" s="329">
        <v>-5355.4880699999985</v>
      </c>
      <c r="L1471" s="157"/>
      <c r="M1471" s="360">
        <f t="shared" si="158"/>
        <v>637019</v>
      </c>
      <c r="N1471" s="237">
        <f t="shared" si="159"/>
        <v>-5355.4880699999985</v>
      </c>
      <c r="O1471" s="361"/>
      <c r="P1471" s="361"/>
      <c r="Q1471" s="361" t="s">
        <v>698</v>
      </c>
      <c r="R1471" s="362">
        <f>IF(Q1471="ekrk",INDEX(indexy_SDcast!$A:$C,MATCH($M1471,indexy_SDcast!$A:$A,0),2),"")</f>
        <v>25</v>
      </c>
      <c r="S1471" s="236"/>
      <c r="T1471" s="364">
        <f t="shared" si="156"/>
        <v>637019</v>
      </c>
      <c r="U1471" s="365">
        <f t="shared" si="160"/>
        <v>-5355.4880699999985</v>
      </c>
      <c r="V1471" s="365">
        <f>IF($Q1471="ekrk",IF($R1471="data",IFERROR(INDEX(data!$A:$ALL,MATCH($M1471,data!$A:$A,0),MATCH(V$2,data!$1:$1,0)),"#data"),IFERROR(U1471*INDEX(indexy_SDcast!$A:$ALI,MATCH($R1471,indexy_SDcast!$K:$K,0),MATCH(V$2,indexy_SDcast!$2:$2,0)),"#ekrk")),"#popis")</f>
        <v>-5395.9085867658659</v>
      </c>
      <c r="W1471" s="365">
        <f>IF($Q1471="ekrk",IF($R1471="data",IFERROR(INDEX(data!$A:$ALL,MATCH($M1471,data!$A:$A,0),MATCH(W$2,data!$1:$1,0)),"#data"),IFERROR(V1471*INDEX(indexy_SDcast!$A:$ALI,MATCH($R1471,indexy_SDcast!$K:$K,0),MATCH(W$2,indexy_SDcast!$2:$2,0)),"#ekrk")),"#popis")</f>
        <v>-5507.8716955820009</v>
      </c>
      <c r="X1471" s="365">
        <f>IF($Q1471="ekrk",IF($R1471="data",IFERROR(INDEX(data!$A:$ALL,MATCH($M1471,data!$A:$A,0),MATCH(X$2,data!$1:$1,0)),"#data"),IFERROR(W1471*INDEX(indexy_SDcast!$A:$ALI,MATCH($R1471,indexy_SDcast!$K:$K,0),MATCH(X$2,indexy_SDcast!$2:$2,0)),"#ekrk")),"#popis")</f>
        <v>-5633.1626200009523</v>
      </c>
      <c r="Y1471" s="362">
        <f>IF($Q1471="ekrk",IF($R1471="data",IFERROR(INDEX(data!$A:$ALL,MATCH($M1471,data!$A:$A,0),MATCH(Y$2,data!$1:$1,0)),"#data"),IFERROR(X1471*INDEX(indexy_SDcast!$A:$ALI,MATCH($R1471,indexy_SDcast!$K:$K,0),MATCH(Y$2,indexy_SDcast!$2:$2,0)),"#ekrk")),"#popis")</f>
        <v>-5765.8424822952693</v>
      </c>
    </row>
    <row r="1472" spans="1:25" x14ac:dyDescent="0.25">
      <c r="A1472" s="330">
        <v>637020</v>
      </c>
      <c r="B1472" s="329">
        <v>-2882.9473500000004</v>
      </c>
      <c r="C1472" s="157"/>
      <c r="D1472" s="330">
        <v>637020</v>
      </c>
      <c r="E1472" s="329">
        <v>-2882.9473500000004</v>
      </c>
      <c r="F1472" s="157"/>
      <c r="G1472" s="330">
        <v>637020</v>
      </c>
      <c r="H1472" s="329">
        <v>-2882.9473500000004</v>
      </c>
      <c r="I1472" s="157"/>
      <c r="J1472" s="330">
        <v>637020</v>
      </c>
      <c r="K1472" s="329">
        <v>-2882.9473500000004</v>
      </c>
      <c r="L1472" s="157"/>
      <c r="M1472" s="360">
        <f t="shared" si="158"/>
        <v>637020</v>
      </c>
      <c r="N1472" s="237">
        <f t="shared" si="159"/>
        <v>-2882.9473500000004</v>
      </c>
      <c r="O1472" s="361"/>
      <c r="P1472" s="361"/>
      <c r="Q1472" s="361" t="s">
        <v>698</v>
      </c>
      <c r="R1472" s="362">
        <f>IF(Q1472="ekrk",INDEX(indexy_SDcast!$A:$C,MATCH($M1472,indexy_SDcast!$A:$A,0),2),"")</f>
        <v>9</v>
      </c>
      <c r="S1472" s="236"/>
      <c r="T1472" s="364">
        <f t="shared" si="156"/>
        <v>637020</v>
      </c>
      <c r="U1472" s="365">
        <f t="shared" si="160"/>
        <v>-2882.9473500000004</v>
      </c>
      <c r="V1472" s="365">
        <f>IF($Q1472="ekrk",IF($R1472="data",IFERROR(INDEX(data!$A:$ALL,MATCH($M1472,data!$A:$A,0),MATCH(V$2,data!$1:$1,0)),"#data"),IFERROR(U1472*INDEX(indexy_SDcast!$A:$ALI,MATCH($R1472,indexy_SDcast!$K:$K,0),MATCH(V$2,indexy_SDcast!$2:$2,0)),"#ekrk")),"#popis")</f>
        <v>-2882.9473500000004</v>
      </c>
      <c r="W1472" s="365">
        <f>IF($Q1472="ekrk",IF($R1472="data",IFERROR(INDEX(data!$A:$ALL,MATCH($M1472,data!$A:$A,0),MATCH(W$2,data!$1:$1,0)),"#data"),IFERROR(V1472*INDEX(indexy_SDcast!$A:$ALI,MATCH($R1472,indexy_SDcast!$K:$K,0),MATCH(W$2,indexy_SDcast!$2:$2,0)),"#ekrk")),"#popis")</f>
        <v>-2882.9473500000004</v>
      </c>
      <c r="X1472" s="365">
        <f>IF($Q1472="ekrk",IF($R1472="data",IFERROR(INDEX(data!$A:$ALL,MATCH($M1472,data!$A:$A,0),MATCH(X$2,data!$1:$1,0)),"#data"),IFERROR(W1472*INDEX(indexy_SDcast!$A:$ALI,MATCH($R1472,indexy_SDcast!$K:$K,0),MATCH(X$2,indexy_SDcast!$2:$2,0)),"#ekrk")),"#popis")</f>
        <v>-2882.9473500000004</v>
      </c>
      <c r="Y1472" s="362">
        <f>IF($Q1472="ekrk",IF($R1472="data",IFERROR(INDEX(data!$A:$ALL,MATCH($M1472,data!$A:$A,0),MATCH(Y$2,data!$1:$1,0)),"#data"),IFERROR(X1472*INDEX(indexy_SDcast!$A:$ALI,MATCH($R1472,indexy_SDcast!$K:$K,0),MATCH(Y$2,indexy_SDcast!$2:$2,0)),"#ekrk")),"#popis")</f>
        <v>-2882.9473500000004</v>
      </c>
    </row>
    <row r="1473" spans="1:25" x14ac:dyDescent="0.25">
      <c r="A1473" s="330">
        <v>637021</v>
      </c>
      <c r="B1473" s="329">
        <v>-413.76710999999983</v>
      </c>
      <c r="C1473" s="157"/>
      <c r="D1473" s="330">
        <v>637021</v>
      </c>
      <c r="E1473" s="329">
        <v>-413.76710999999983</v>
      </c>
      <c r="F1473" s="157"/>
      <c r="G1473" s="330">
        <v>637021</v>
      </c>
      <c r="H1473" s="329">
        <v>-413.76710999999983</v>
      </c>
      <c r="I1473" s="157"/>
      <c r="J1473" s="330">
        <v>637021</v>
      </c>
      <c r="K1473" s="329">
        <v>-413.76710999999983</v>
      </c>
      <c r="L1473" s="157"/>
      <c r="M1473" s="360">
        <f t="shared" si="158"/>
        <v>637021</v>
      </c>
      <c r="N1473" s="237">
        <f t="shared" si="159"/>
        <v>-413.76710999999983</v>
      </c>
      <c r="O1473" s="361"/>
      <c r="P1473" s="361"/>
      <c r="Q1473" s="361" t="s">
        <v>698</v>
      </c>
      <c r="R1473" s="362">
        <f>IF(Q1473="ekrk",INDEX(indexy_SDcast!$A:$C,MATCH($M1473,indexy_SDcast!$A:$A,0),2),"")</f>
        <v>25</v>
      </c>
      <c r="S1473" s="236"/>
      <c r="T1473" s="364">
        <f t="shared" si="156"/>
        <v>637021</v>
      </c>
      <c r="U1473" s="365">
        <f t="shared" si="160"/>
        <v>-413.76710999999983</v>
      </c>
      <c r="V1473" s="365">
        <f>IF($Q1473="ekrk",IF($R1473="data",IFERROR(INDEX(data!$A:$ALL,MATCH($M1473,data!$A:$A,0),MATCH(V$2,data!$1:$1,0)),"#data"),IFERROR(U1473*INDEX(indexy_SDcast!$A:$ALI,MATCH($R1473,indexy_SDcast!$K:$K,0),MATCH(V$2,indexy_SDcast!$2:$2,0)),"#ekrk")),"#popis")</f>
        <v>-416.89001498798899</v>
      </c>
      <c r="W1473" s="365">
        <f>IF($Q1473="ekrk",IF($R1473="data",IFERROR(INDEX(data!$A:$ALL,MATCH($M1473,data!$A:$A,0),MATCH(W$2,data!$1:$1,0)),"#data"),IFERROR(V1473*INDEX(indexy_SDcast!$A:$ALI,MATCH($R1473,indexy_SDcast!$K:$K,0),MATCH(W$2,indexy_SDcast!$2:$2,0)),"#ekrk")),"#popis")</f>
        <v>-425.54032871401091</v>
      </c>
      <c r="X1473" s="365">
        <f>IF($Q1473="ekrk",IF($R1473="data",IFERROR(INDEX(data!$A:$ALL,MATCH($M1473,data!$A:$A,0),MATCH(X$2,data!$1:$1,0)),"#data"),IFERROR(W1473*INDEX(indexy_SDcast!$A:$ALI,MATCH($R1473,indexy_SDcast!$K:$K,0),MATCH(X$2,indexy_SDcast!$2:$2,0)),"#ekrk")),"#popis")</f>
        <v>-435.22035470388448</v>
      </c>
      <c r="Y1473" s="362">
        <f>IF($Q1473="ekrk",IF($R1473="data",IFERROR(INDEX(data!$A:$ALL,MATCH($M1473,data!$A:$A,0),MATCH(Y$2,data!$1:$1,0)),"#data"),IFERROR(X1473*INDEX(indexy_SDcast!$A:$ALI,MATCH($R1473,indexy_SDcast!$K:$K,0),MATCH(Y$2,indexy_SDcast!$2:$2,0)),"#ekrk")),"#popis")</f>
        <v>-445.4712529337292</v>
      </c>
    </row>
    <row r="1474" spans="1:25" x14ac:dyDescent="0.25">
      <c r="A1474" s="330">
        <v>637022</v>
      </c>
      <c r="B1474" s="329">
        <v>-13655.212699999998</v>
      </c>
      <c r="C1474" s="157"/>
      <c r="D1474" s="330">
        <v>637022</v>
      </c>
      <c r="E1474" s="329">
        <v>-13655.212699999998</v>
      </c>
      <c r="F1474" s="157"/>
      <c r="G1474" s="330">
        <v>637022</v>
      </c>
      <c r="H1474" s="329">
        <v>-13655.212699999998</v>
      </c>
      <c r="I1474" s="157"/>
      <c r="J1474" s="330">
        <v>637022</v>
      </c>
      <c r="K1474" s="329">
        <v>-13655.212699999998</v>
      </c>
      <c r="L1474" s="157"/>
      <c r="M1474" s="360">
        <f t="shared" si="158"/>
        <v>637022</v>
      </c>
      <c r="N1474" s="237">
        <f t="shared" si="159"/>
        <v>-13655.212699999998</v>
      </c>
      <c r="O1474" s="361"/>
      <c r="P1474" s="361"/>
      <c r="Q1474" s="361" t="s">
        <v>698</v>
      </c>
      <c r="R1474" s="362">
        <f>IF(Q1474="ekrk",INDEX(indexy_SDcast!$A:$C,MATCH($M1474,indexy_SDcast!$A:$A,0),2),"")</f>
        <v>25</v>
      </c>
      <c r="S1474" s="236"/>
      <c r="T1474" s="364">
        <f t="shared" si="156"/>
        <v>637022</v>
      </c>
      <c r="U1474" s="365">
        <f t="shared" si="160"/>
        <v>-13655.212699999998</v>
      </c>
      <c r="V1474" s="365">
        <f>IF($Q1474="ekrk",IF($R1474="data",IFERROR(INDEX(data!$A:$ALL,MATCH($M1474,data!$A:$A,0),MATCH(V$2,data!$1:$1,0)),"#data"),IFERROR(U1474*INDEX(indexy_SDcast!$A:$ALI,MATCH($R1474,indexy_SDcast!$K:$K,0),MATCH(V$2,indexy_SDcast!$2:$2,0)),"#ekrk")),"#popis")</f>
        <v>-13758.275342782028</v>
      </c>
      <c r="W1474" s="365">
        <f>IF($Q1474="ekrk",IF($R1474="data",IFERROR(INDEX(data!$A:$ALL,MATCH($M1474,data!$A:$A,0),MATCH(W$2,data!$1:$1,0)),"#data"),IFERROR(V1474*INDEX(indexy_SDcast!$A:$ALI,MATCH($R1474,indexy_SDcast!$K:$K,0),MATCH(W$2,indexy_SDcast!$2:$2,0)),"#ekrk")),"#popis")</f>
        <v>-14043.754471006016</v>
      </c>
      <c r="X1474" s="365">
        <f>IF($Q1474="ekrk",IF($R1474="data",IFERROR(INDEX(data!$A:$ALL,MATCH($M1474,data!$A:$A,0),MATCH(X$2,data!$1:$1,0)),"#data"),IFERROR(W1474*INDEX(indexy_SDcast!$A:$ALI,MATCH($R1474,indexy_SDcast!$K:$K,0),MATCH(X$2,indexy_SDcast!$2:$2,0)),"#ekrk")),"#popis")</f>
        <v>-14363.216338898927</v>
      </c>
      <c r="Y1474" s="362">
        <f>IF($Q1474="ekrk",IF($R1474="data",IFERROR(INDEX(data!$A:$ALL,MATCH($M1474,data!$A:$A,0),MATCH(Y$2,data!$1:$1,0)),"#data"),IFERROR(X1474*INDEX(indexy_SDcast!$A:$ALI,MATCH($R1474,indexy_SDcast!$K:$K,0),MATCH(Y$2,indexy_SDcast!$2:$2,0)),"#ekrk")),"#popis")</f>
        <v>-14701.518229773199</v>
      </c>
    </row>
    <row r="1475" spans="1:25" x14ac:dyDescent="0.25">
      <c r="A1475" s="330">
        <v>637023</v>
      </c>
      <c r="B1475" s="329">
        <v>-69</v>
      </c>
      <c r="C1475" s="157"/>
      <c r="D1475" s="330">
        <v>637023</v>
      </c>
      <c r="E1475" s="329">
        <v>-69</v>
      </c>
      <c r="F1475" s="157"/>
      <c r="G1475" s="330">
        <v>637023</v>
      </c>
      <c r="H1475" s="356">
        <f>E1475+E1492+E1493+E1494</f>
        <v>-27521</v>
      </c>
      <c r="I1475" s="157"/>
      <c r="J1475" s="330">
        <v>637023</v>
      </c>
      <c r="K1475" s="329">
        <f>H1475+H1492+H1493+H1494</f>
        <v>-27521</v>
      </c>
      <c r="L1475" s="157"/>
      <c r="M1475" s="360">
        <f t="shared" si="158"/>
        <v>637023</v>
      </c>
      <c r="N1475" s="237">
        <f t="shared" si="159"/>
        <v>-27521</v>
      </c>
      <c r="O1475" s="361"/>
      <c r="P1475" s="361"/>
      <c r="Q1475" s="361" t="s">
        <v>698</v>
      </c>
      <c r="R1475" s="362">
        <f>IF(Q1475="ekrk",INDEX(indexy_SDcast!$A:$C,MATCH($M1475,indexy_SDcast!$A:$A,0),2),"")</f>
        <v>22</v>
      </c>
      <c r="S1475" s="236"/>
      <c r="T1475" s="364">
        <f t="shared" si="156"/>
        <v>637023</v>
      </c>
      <c r="U1475" s="365">
        <f t="shared" si="160"/>
        <v>-27521</v>
      </c>
      <c r="V1475" s="365">
        <f>IF($Q1475="ekrk",IF($R1475="data",IFERROR(INDEX(data!$A:$ALL,MATCH($M1475,data!$A:$A,0),MATCH(V$2,data!$1:$1,0)),"#data"),IFERROR(U1475*INDEX(indexy_SDcast!$A:$ALI,MATCH($R1475,indexy_SDcast!$K:$K,0),MATCH(V$2,indexy_SDcast!$2:$2,0)),"#ekrk")),"#popis")</f>
        <v>-27521</v>
      </c>
      <c r="W1475" s="365">
        <f>IF($Q1475="ekrk",IF($R1475="data",IFERROR(INDEX(data!$A:$ALL,MATCH($M1475,data!$A:$A,0),MATCH(W$2,data!$1:$1,0)),"#data"),IFERROR(V1475*INDEX(indexy_SDcast!$A:$ALI,MATCH($R1475,indexy_SDcast!$K:$K,0),MATCH(W$2,indexy_SDcast!$2:$2,0)),"#ekrk")),"#popis")</f>
        <v>-27521</v>
      </c>
      <c r="X1475" s="365">
        <f>IF($Q1475="ekrk",IF($R1475="data",IFERROR(INDEX(data!$A:$ALL,MATCH($M1475,data!$A:$A,0),MATCH(X$2,data!$1:$1,0)),"#data"),IFERROR(W1475*INDEX(indexy_SDcast!$A:$ALI,MATCH($R1475,indexy_SDcast!$K:$K,0),MATCH(X$2,indexy_SDcast!$2:$2,0)),"#ekrk")),"#popis")</f>
        <v>-27521</v>
      </c>
      <c r="Y1475" s="362">
        <f>IF($Q1475="ekrk",IF($R1475="data",IFERROR(INDEX(data!$A:$ALL,MATCH($M1475,data!$A:$A,0),MATCH(Y$2,data!$1:$1,0)),"#data"),IFERROR(X1475*INDEX(indexy_SDcast!$A:$ALI,MATCH($R1475,indexy_SDcast!$K:$K,0),MATCH(Y$2,indexy_SDcast!$2:$2,0)),"#ekrk")),"#popis")</f>
        <v>-27521</v>
      </c>
    </row>
    <row r="1476" spans="1:25" x14ac:dyDescent="0.25">
      <c r="A1476" s="330">
        <v>637025</v>
      </c>
      <c r="B1476" s="329">
        <v>-0.40131999999999995</v>
      </c>
      <c r="C1476" s="157"/>
      <c r="D1476" s="330">
        <v>637025</v>
      </c>
      <c r="E1476" s="329">
        <v>-0.40131999999999995</v>
      </c>
      <c r="F1476" s="157"/>
      <c r="G1476" s="330">
        <v>637025</v>
      </c>
      <c r="H1476" s="329">
        <v>-0.40131999999999995</v>
      </c>
      <c r="I1476" s="157"/>
      <c r="J1476" s="330">
        <v>637025</v>
      </c>
      <c r="K1476" s="329">
        <v>-0.40131999999999995</v>
      </c>
      <c r="L1476" s="157"/>
      <c r="M1476" s="360">
        <f t="shared" si="158"/>
        <v>637025</v>
      </c>
      <c r="N1476" s="237">
        <f t="shared" si="159"/>
        <v>-0.40131999999999995</v>
      </c>
      <c r="O1476" s="361"/>
      <c r="P1476" s="361"/>
      <c r="Q1476" s="361" t="s">
        <v>698</v>
      </c>
      <c r="R1476" s="362">
        <f>IF(Q1476="ekrk",INDEX(indexy_SDcast!$A:$C,MATCH($M1476,indexy_SDcast!$A:$A,0),2),"")</f>
        <v>9</v>
      </c>
      <c r="S1476" s="236"/>
      <c r="T1476" s="364">
        <f t="shared" si="156"/>
        <v>637025</v>
      </c>
      <c r="U1476" s="365">
        <f t="shared" si="160"/>
        <v>-0.40131999999999995</v>
      </c>
      <c r="V1476" s="365">
        <f>IF($Q1476="ekrk",IF($R1476="data",IFERROR(INDEX(data!$A:$ALL,MATCH($M1476,data!$A:$A,0),MATCH(V$2,data!$1:$1,0)),"#data"),IFERROR(U1476*INDEX(indexy_SDcast!$A:$ALI,MATCH($R1476,indexy_SDcast!$K:$K,0),MATCH(V$2,indexy_SDcast!$2:$2,0)),"#ekrk")),"#popis")</f>
        <v>-0.40131999999999995</v>
      </c>
      <c r="W1476" s="365">
        <f>IF($Q1476="ekrk",IF($R1476="data",IFERROR(INDEX(data!$A:$ALL,MATCH($M1476,data!$A:$A,0),MATCH(W$2,data!$1:$1,0)),"#data"),IFERROR(V1476*INDEX(indexy_SDcast!$A:$ALI,MATCH($R1476,indexy_SDcast!$K:$K,0),MATCH(W$2,indexy_SDcast!$2:$2,0)),"#ekrk")),"#popis")</f>
        <v>-0.40131999999999995</v>
      </c>
      <c r="X1476" s="365">
        <f>IF($Q1476="ekrk",IF($R1476="data",IFERROR(INDEX(data!$A:$ALL,MATCH($M1476,data!$A:$A,0),MATCH(X$2,data!$1:$1,0)),"#data"),IFERROR(W1476*INDEX(indexy_SDcast!$A:$ALI,MATCH($R1476,indexy_SDcast!$K:$K,0),MATCH(X$2,indexy_SDcast!$2:$2,0)),"#ekrk")),"#popis")</f>
        <v>-0.40131999999999995</v>
      </c>
      <c r="Y1476" s="362">
        <f>IF($Q1476="ekrk",IF($R1476="data",IFERROR(INDEX(data!$A:$ALL,MATCH($M1476,data!$A:$A,0),MATCH(Y$2,data!$1:$1,0)),"#data"),IFERROR(X1476*INDEX(indexy_SDcast!$A:$ALI,MATCH($R1476,indexy_SDcast!$K:$K,0),MATCH(Y$2,indexy_SDcast!$2:$2,0)),"#ekrk")),"#popis")</f>
        <v>-0.40131999999999995</v>
      </c>
    </row>
    <row r="1477" spans="1:25" x14ac:dyDescent="0.25">
      <c r="A1477" s="330">
        <v>637028</v>
      </c>
      <c r="B1477" s="329">
        <v>-21.912649999999999</v>
      </c>
      <c r="C1477" s="157"/>
      <c r="D1477" s="330">
        <v>637028</v>
      </c>
      <c r="E1477" s="329">
        <v>-21.912649999999999</v>
      </c>
      <c r="F1477" s="157"/>
      <c r="G1477" s="330">
        <v>637028</v>
      </c>
      <c r="H1477" s="329">
        <v>-21.912649999999999</v>
      </c>
      <c r="I1477" s="157"/>
      <c r="J1477" s="330">
        <v>637028</v>
      </c>
      <c r="K1477" s="329">
        <v>-21.912649999999999</v>
      </c>
      <c r="L1477" s="157"/>
      <c r="M1477" s="360">
        <f t="shared" si="158"/>
        <v>637028</v>
      </c>
      <c r="N1477" s="237">
        <f t="shared" si="159"/>
        <v>-21.912649999999999</v>
      </c>
      <c r="O1477" s="361"/>
      <c r="P1477" s="361"/>
      <c r="Q1477" s="361" t="s">
        <v>698</v>
      </c>
      <c r="R1477" s="362">
        <f>IF(Q1477="ekrk",INDEX(indexy_SDcast!$A:$C,MATCH($M1477,indexy_SDcast!$A:$A,0),2),"")</f>
        <v>9</v>
      </c>
      <c r="S1477" s="236"/>
      <c r="T1477" s="364">
        <f t="shared" si="156"/>
        <v>637028</v>
      </c>
      <c r="U1477" s="365">
        <f t="shared" si="160"/>
        <v>-21.912649999999999</v>
      </c>
      <c r="V1477" s="365">
        <f>IF($Q1477="ekrk",IF($R1477="data",IFERROR(INDEX(data!$A:$ALL,MATCH($M1477,data!$A:$A,0),MATCH(V$2,data!$1:$1,0)),"#data"),IFERROR(U1477*INDEX(indexy_SDcast!$A:$ALI,MATCH($R1477,indexy_SDcast!$K:$K,0),MATCH(V$2,indexy_SDcast!$2:$2,0)),"#ekrk")),"#popis")</f>
        <v>-21.912649999999999</v>
      </c>
      <c r="W1477" s="365">
        <f>IF($Q1477="ekrk",IF($R1477="data",IFERROR(INDEX(data!$A:$ALL,MATCH($M1477,data!$A:$A,0),MATCH(W$2,data!$1:$1,0)),"#data"),IFERROR(V1477*INDEX(indexy_SDcast!$A:$ALI,MATCH($R1477,indexy_SDcast!$K:$K,0),MATCH(W$2,indexy_SDcast!$2:$2,0)),"#ekrk")),"#popis")</f>
        <v>-21.912649999999999</v>
      </c>
      <c r="X1477" s="365">
        <f>IF($Q1477="ekrk",IF($R1477="data",IFERROR(INDEX(data!$A:$ALL,MATCH($M1477,data!$A:$A,0),MATCH(X$2,data!$1:$1,0)),"#data"),IFERROR(W1477*INDEX(indexy_SDcast!$A:$ALI,MATCH($R1477,indexy_SDcast!$K:$K,0),MATCH(X$2,indexy_SDcast!$2:$2,0)),"#ekrk")),"#popis")</f>
        <v>-21.912649999999999</v>
      </c>
      <c r="Y1477" s="362">
        <f>IF($Q1477="ekrk",IF($R1477="data",IFERROR(INDEX(data!$A:$ALL,MATCH($M1477,data!$A:$A,0),MATCH(Y$2,data!$1:$1,0)),"#data"),IFERROR(X1477*INDEX(indexy_SDcast!$A:$ALI,MATCH($R1477,indexy_SDcast!$K:$K,0),MATCH(Y$2,indexy_SDcast!$2:$2,0)),"#ekrk")),"#popis")</f>
        <v>-21.912649999999999</v>
      </c>
    </row>
    <row r="1478" spans="1:25" x14ac:dyDescent="0.25">
      <c r="A1478" s="330">
        <v>637029</v>
      </c>
      <c r="B1478" s="329">
        <v>-2518.1461600000002</v>
      </c>
      <c r="C1478" s="157"/>
      <c r="D1478" s="330">
        <v>637029</v>
      </c>
      <c r="E1478" s="329">
        <v>-2518.1461600000002</v>
      </c>
      <c r="F1478" s="157"/>
      <c r="G1478" s="330">
        <v>637029</v>
      </c>
      <c r="H1478" s="329">
        <v>-2518.1461600000002</v>
      </c>
      <c r="I1478" s="157"/>
      <c r="J1478" s="330">
        <v>637029</v>
      </c>
      <c r="K1478" s="329">
        <v>-2518.1461600000002</v>
      </c>
      <c r="L1478" s="157"/>
      <c r="M1478" s="360">
        <f t="shared" si="158"/>
        <v>637029</v>
      </c>
      <c r="N1478" s="237">
        <f t="shared" si="159"/>
        <v>-2518.1461600000002</v>
      </c>
      <c r="O1478" s="361"/>
      <c r="P1478" s="361"/>
      <c r="Q1478" s="361" t="s">
        <v>698</v>
      </c>
      <c r="R1478" s="362">
        <f>IF(Q1478="ekrk",INDEX(indexy_SDcast!$A:$C,MATCH($M1478,indexy_SDcast!$A:$A,0),2),"")</f>
        <v>9</v>
      </c>
      <c r="S1478" s="236"/>
      <c r="T1478" s="364">
        <f t="shared" si="156"/>
        <v>637029</v>
      </c>
      <c r="U1478" s="365">
        <f t="shared" si="160"/>
        <v>-2518.1461600000002</v>
      </c>
      <c r="V1478" s="365">
        <f>IF($Q1478="ekrk",IF($R1478="data",IFERROR(INDEX(data!$A:$ALL,MATCH($M1478,data!$A:$A,0),MATCH(V$2,data!$1:$1,0)),"#data"),IFERROR(U1478*INDEX(indexy_SDcast!$A:$ALI,MATCH($R1478,indexy_SDcast!$K:$K,0),MATCH(V$2,indexy_SDcast!$2:$2,0)),"#ekrk")),"#popis")</f>
        <v>-2518.1461600000002</v>
      </c>
      <c r="W1478" s="365">
        <f>IF($Q1478="ekrk",IF($R1478="data",IFERROR(INDEX(data!$A:$ALL,MATCH($M1478,data!$A:$A,0),MATCH(W$2,data!$1:$1,0)),"#data"),IFERROR(V1478*INDEX(indexy_SDcast!$A:$ALI,MATCH($R1478,indexy_SDcast!$K:$K,0),MATCH(W$2,indexy_SDcast!$2:$2,0)),"#ekrk")),"#popis")</f>
        <v>-2518.1461600000002</v>
      </c>
      <c r="X1478" s="365">
        <f>IF($Q1478="ekrk",IF($R1478="data",IFERROR(INDEX(data!$A:$ALL,MATCH($M1478,data!$A:$A,0),MATCH(X$2,data!$1:$1,0)),"#data"),IFERROR(W1478*INDEX(indexy_SDcast!$A:$ALI,MATCH($R1478,indexy_SDcast!$K:$K,0),MATCH(X$2,indexy_SDcast!$2:$2,0)),"#ekrk")),"#popis")</f>
        <v>-2518.1461600000002</v>
      </c>
      <c r="Y1478" s="362">
        <f>IF($Q1478="ekrk",IF($R1478="data",IFERROR(INDEX(data!$A:$ALL,MATCH($M1478,data!$A:$A,0),MATCH(Y$2,data!$1:$1,0)),"#data"),IFERROR(X1478*INDEX(indexy_SDcast!$A:$ALI,MATCH($R1478,indexy_SDcast!$K:$K,0),MATCH(Y$2,indexy_SDcast!$2:$2,0)),"#ekrk")),"#popis")</f>
        <v>-2518.1461600000002</v>
      </c>
    </row>
    <row r="1479" spans="1:25" x14ac:dyDescent="0.25">
      <c r="A1479" s="330">
        <v>637030</v>
      </c>
      <c r="B1479" s="329">
        <v>-1799.8190200000104</v>
      </c>
      <c r="C1479" s="157"/>
      <c r="D1479" s="330">
        <v>637030</v>
      </c>
      <c r="E1479" s="329">
        <v>-1799.8190200000104</v>
      </c>
      <c r="F1479" s="157"/>
      <c r="G1479" s="330">
        <v>637030</v>
      </c>
      <c r="H1479" s="329">
        <v>-1799.8190200000104</v>
      </c>
      <c r="I1479" s="157"/>
      <c r="J1479" s="330">
        <v>637030</v>
      </c>
      <c r="K1479" s="329">
        <v>-1799.8190200000104</v>
      </c>
      <c r="L1479" s="157"/>
      <c r="M1479" s="360">
        <f t="shared" si="158"/>
        <v>637030</v>
      </c>
      <c r="N1479" s="237">
        <f t="shared" si="159"/>
        <v>-1799.8190200000104</v>
      </c>
      <c r="O1479" s="361"/>
      <c r="P1479" s="361"/>
      <c r="Q1479" s="361" t="s">
        <v>698</v>
      </c>
      <c r="R1479" s="362">
        <f>IF(Q1479="ekrk",INDEX(indexy_SDcast!$A:$C,MATCH($M1479,indexy_SDcast!$A:$A,0),2),"")</f>
        <v>9</v>
      </c>
      <c r="S1479" s="236"/>
      <c r="T1479" s="364">
        <f t="shared" si="156"/>
        <v>637030</v>
      </c>
      <c r="U1479" s="365">
        <f t="shared" si="160"/>
        <v>-1799.8190200000104</v>
      </c>
      <c r="V1479" s="365">
        <f>IF($Q1479="ekrk",IF($R1479="data",IFERROR(INDEX(data!$A:$ALL,MATCH($M1479,data!$A:$A,0),MATCH(V$2,data!$1:$1,0)),"#data"),IFERROR(U1479*INDEX(indexy_SDcast!$A:$ALI,MATCH($R1479,indexy_SDcast!$K:$K,0),MATCH(V$2,indexy_SDcast!$2:$2,0)),"#ekrk")),"#popis")</f>
        <v>-1799.8190200000104</v>
      </c>
      <c r="W1479" s="365">
        <f>IF($Q1479="ekrk",IF($R1479="data",IFERROR(INDEX(data!$A:$ALL,MATCH($M1479,data!$A:$A,0),MATCH(W$2,data!$1:$1,0)),"#data"),IFERROR(V1479*INDEX(indexy_SDcast!$A:$ALI,MATCH($R1479,indexy_SDcast!$K:$K,0),MATCH(W$2,indexy_SDcast!$2:$2,0)),"#ekrk")),"#popis")</f>
        <v>-1799.8190200000104</v>
      </c>
      <c r="X1479" s="365">
        <f>IF($Q1479="ekrk",IF($R1479="data",IFERROR(INDEX(data!$A:$ALL,MATCH($M1479,data!$A:$A,0),MATCH(X$2,data!$1:$1,0)),"#data"),IFERROR(W1479*INDEX(indexy_SDcast!$A:$ALI,MATCH($R1479,indexy_SDcast!$K:$K,0),MATCH(X$2,indexy_SDcast!$2:$2,0)),"#ekrk")),"#popis")</f>
        <v>-1799.8190200000104</v>
      </c>
      <c r="Y1479" s="362">
        <f>IF($Q1479="ekrk",IF($R1479="data",IFERROR(INDEX(data!$A:$ALL,MATCH($M1479,data!$A:$A,0),MATCH(Y$2,data!$1:$1,0)),"#data"),IFERROR(X1479*INDEX(indexy_SDcast!$A:$ALI,MATCH($R1479,indexy_SDcast!$K:$K,0),MATCH(Y$2,indexy_SDcast!$2:$2,0)),"#ekrk")),"#popis")</f>
        <v>-1799.8190200000104</v>
      </c>
    </row>
    <row r="1480" spans="1:25" x14ac:dyDescent="0.25">
      <c r="A1480" s="330">
        <v>637032</v>
      </c>
      <c r="B1480" s="329">
        <v>-3458.3374900000254</v>
      </c>
      <c r="C1480" s="157"/>
      <c r="D1480" s="330">
        <v>637032</v>
      </c>
      <c r="E1480" s="329">
        <v>-3458.3374900000254</v>
      </c>
      <c r="F1480" s="157"/>
      <c r="G1480" s="330">
        <v>637032</v>
      </c>
      <c r="H1480" s="329">
        <v>-3458.3374900000254</v>
      </c>
      <c r="I1480" s="157"/>
      <c r="J1480" s="330">
        <v>637032</v>
      </c>
      <c r="K1480" s="329">
        <v>-3458.3374900000254</v>
      </c>
      <c r="L1480" s="157"/>
      <c r="M1480" s="360">
        <f t="shared" si="158"/>
        <v>637032</v>
      </c>
      <c r="N1480" s="237">
        <f t="shared" si="159"/>
        <v>-3458.3374900000254</v>
      </c>
      <c r="O1480" s="361"/>
      <c r="P1480" s="361"/>
      <c r="Q1480" s="361" t="s">
        <v>698</v>
      </c>
      <c r="R1480" s="362">
        <f>IF(Q1480="ekrk",INDEX(indexy_SDcast!$A:$C,MATCH($M1480,indexy_SDcast!$A:$A,0),2),"")</f>
        <v>9</v>
      </c>
      <c r="S1480" s="236"/>
      <c r="T1480" s="364">
        <f t="shared" si="156"/>
        <v>637032</v>
      </c>
      <c r="U1480" s="365">
        <f t="shared" si="160"/>
        <v>-3458.3374900000254</v>
      </c>
      <c r="V1480" s="365">
        <f>IF($Q1480="ekrk",IF($R1480="data",IFERROR(INDEX(data!$A:$ALL,MATCH($M1480,data!$A:$A,0),MATCH(V$2,data!$1:$1,0)),"#data"),IFERROR(U1480*INDEX(indexy_SDcast!$A:$ALI,MATCH($R1480,indexy_SDcast!$K:$K,0),MATCH(V$2,indexy_SDcast!$2:$2,0)),"#ekrk")),"#popis")</f>
        <v>-3458.3374900000254</v>
      </c>
      <c r="W1480" s="365">
        <f>IF($Q1480="ekrk",IF($R1480="data",IFERROR(INDEX(data!$A:$ALL,MATCH($M1480,data!$A:$A,0),MATCH(W$2,data!$1:$1,0)),"#data"),IFERROR(V1480*INDEX(indexy_SDcast!$A:$ALI,MATCH($R1480,indexy_SDcast!$K:$K,0),MATCH(W$2,indexy_SDcast!$2:$2,0)),"#ekrk")),"#popis")</f>
        <v>-3458.3374900000254</v>
      </c>
      <c r="X1480" s="365">
        <f>IF($Q1480="ekrk",IF($R1480="data",IFERROR(INDEX(data!$A:$ALL,MATCH($M1480,data!$A:$A,0),MATCH(X$2,data!$1:$1,0)),"#data"),IFERROR(W1480*INDEX(indexy_SDcast!$A:$ALI,MATCH($R1480,indexy_SDcast!$K:$K,0),MATCH(X$2,indexy_SDcast!$2:$2,0)),"#ekrk")),"#popis")</f>
        <v>-3458.3374900000254</v>
      </c>
      <c r="Y1480" s="362">
        <f>IF($Q1480="ekrk",IF($R1480="data",IFERROR(INDEX(data!$A:$ALL,MATCH($M1480,data!$A:$A,0),MATCH(Y$2,data!$1:$1,0)),"#data"),IFERROR(X1480*INDEX(indexy_SDcast!$A:$ALI,MATCH($R1480,indexy_SDcast!$K:$K,0),MATCH(Y$2,indexy_SDcast!$2:$2,0)),"#ekrk")),"#popis")</f>
        <v>-3458.3374900000254</v>
      </c>
    </row>
    <row r="1481" spans="1:25" x14ac:dyDescent="0.25">
      <c r="A1481" s="330">
        <v>637036</v>
      </c>
      <c r="B1481" s="329">
        <v>-2308.6488899999986</v>
      </c>
      <c r="C1481" s="157"/>
      <c r="D1481" s="330">
        <v>637036</v>
      </c>
      <c r="E1481" s="329">
        <v>-2308.6488899999986</v>
      </c>
      <c r="F1481" s="157"/>
      <c r="G1481" s="330">
        <v>637036</v>
      </c>
      <c r="H1481" s="329">
        <v>-2308.6488899999986</v>
      </c>
      <c r="I1481" s="157"/>
      <c r="J1481" s="330">
        <v>637036</v>
      </c>
      <c r="K1481" s="329">
        <v>-2308.6488899999986</v>
      </c>
      <c r="L1481" s="157"/>
      <c r="M1481" s="360">
        <f t="shared" si="158"/>
        <v>637036</v>
      </c>
      <c r="N1481" s="237">
        <f t="shared" si="159"/>
        <v>-2308.6488899999986</v>
      </c>
      <c r="O1481" s="361"/>
      <c r="P1481" s="361"/>
      <c r="Q1481" s="361" t="s">
        <v>698</v>
      </c>
      <c r="R1481" s="362">
        <f>IF(Q1481="ekrk",INDEX(indexy_SDcast!$A:$C,MATCH($M1481,indexy_SDcast!$A:$A,0),2),"")</f>
        <v>25</v>
      </c>
      <c r="S1481" s="236"/>
      <c r="T1481" s="364">
        <f t="shared" si="156"/>
        <v>637036</v>
      </c>
      <c r="U1481" s="365">
        <f t="shared" si="160"/>
        <v>-2308.6488899999986</v>
      </c>
      <c r="V1481" s="365">
        <f>IF($Q1481="ekrk",IF($R1481="data",IFERROR(INDEX(data!$A:$ALL,MATCH($M1481,data!$A:$A,0),MATCH(V$2,data!$1:$1,0)),"#data"),IFERROR(U1481*INDEX(indexy_SDcast!$A:$ALI,MATCH($R1481,indexy_SDcast!$K:$K,0),MATCH(V$2,indexy_SDcast!$2:$2,0)),"#ekrk")),"#popis")</f>
        <v>-2326.0734048051909</v>
      </c>
      <c r="W1481" s="365">
        <f>IF($Q1481="ekrk",IF($R1481="data",IFERROR(INDEX(data!$A:$ALL,MATCH($M1481,data!$A:$A,0),MATCH(W$2,data!$1:$1,0)),"#data"),IFERROR(V1481*INDEX(indexy_SDcast!$A:$ALI,MATCH($R1481,indexy_SDcast!$K:$K,0),MATCH(W$2,indexy_SDcast!$2:$2,0)),"#ekrk")),"#popis")</f>
        <v>-2374.3385682246135</v>
      </c>
      <c r="X1481" s="365">
        <f>IF($Q1481="ekrk",IF($R1481="data",IFERROR(INDEX(data!$A:$ALL,MATCH($M1481,data!$A:$A,0),MATCH(X$2,data!$1:$1,0)),"#data"),IFERROR(W1481*INDEX(indexy_SDcast!$A:$ALI,MATCH($R1481,indexy_SDcast!$K:$K,0),MATCH(X$2,indexy_SDcast!$2:$2,0)),"#ekrk")),"#popis")</f>
        <v>-2428.3490990681421</v>
      </c>
      <c r="Y1481" s="362">
        <f>IF($Q1481="ekrk",IF($R1481="data",IFERROR(INDEX(data!$A:$ALL,MATCH($M1481,data!$A:$A,0),MATCH(Y$2,data!$1:$1,0)),"#data"),IFERROR(X1481*INDEX(indexy_SDcast!$A:$ALI,MATCH($R1481,indexy_SDcast!$K:$K,0),MATCH(Y$2,indexy_SDcast!$2:$2,0)),"#ekrk")),"#popis")</f>
        <v>-2485.5448602774704</v>
      </c>
    </row>
    <row r="1482" spans="1:25" x14ac:dyDescent="0.25">
      <c r="A1482" s="330">
        <v>637037</v>
      </c>
      <c r="B1482" s="329">
        <v>-10533.768209999986</v>
      </c>
      <c r="C1482" s="157"/>
      <c r="D1482" s="330">
        <v>637037</v>
      </c>
      <c r="E1482" s="329">
        <v>-10533.768209999986</v>
      </c>
      <c r="F1482" s="157"/>
      <c r="G1482" s="330">
        <v>637037</v>
      </c>
      <c r="H1482" s="329">
        <v>-10533.768209999986</v>
      </c>
      <c r="I1482" s="157"/>
      <c r="J1482" s="330">
        <v>637037</v>
      </c>
      <c r="K1482" s="329">
        <v>-10533.768209999986</v>
      </c>
      <c r="L1482" s="157"/>
      <c r="M1482" s="360">
        <f t="shared" si="158"/>
        <v>637037</v>
      </c>
      <c r="N1482" s="237">
        <f t="shared" si="159"/>
        <v>-10533.768209999986</v>
      </c>
      <c r="O1482" s="361"/>
      <c r="P1482" s="361"/>
      <c r="Q1482" s="361" t="s">
        <v>698</v>
      </c>
      <c r="R1482" s="362">
        <f>IF(Q1482="ekrk",INDEX(indexy_SDcast!$A:$C,MATCH($M1482,indexy_SDcast!$A:$A,0),2),"")</f>
        <v>9</v>
      </c>
      <c r="S1482" s="236"/>
      <c r="T1482" s="364">
        <f t="shared" si="156"/>
        <v>637037</v>
      </c>
      <c r="U1482" s="365">
        <f t="shared" si="160"/>
        <v>-10533.768209999986</v>
      </c>
      <c r="V1482" s="365">
        <f>IF($Q1482="ekrk",IF($R1482="data",IFERROR(INDEX(data!$A:$ALL,MATCH($M1482,data!$A:$A,0),MATCH(V$2,data!$1:$1,0)),"#data"),IFERROR(U1482*INDEX(indexy_SDcast!$A:$ALI,MATCH($R1482,indexy_SDcast!$K:$K,0),MATCH(V$2,indexy_SDcast!$2:$2,0)),"#ekrk")),"#popis")</f>
        <v>-10533.768209999986</v>
      </c>
      <c r="W1482" s="365">
        <f>IF($Q1482="ekrk",IF($R1482="data",IFERROR(INDEX(data!$A:$ALL,MATCH($M1482,data!$A:$A,0),MATCH(W$2,data!$1:$1,0)),"#data"),IFERROR(V1482*INDEX(indexy_SDcast!$A:$ALI,MATCH($R1482,indexy_SDcast!$K:$K,0),MATCH(W$2,indexy_SDcast!$2:$2,0)),"#ekrk")),"#popis")</f>
        <v>-10533.768209999986</v>
      </c>
      <c r="X1482" s="365">
        <f>IF($Q1482="ekrk",IF($R1482="data",IFERROR(INDEX(data!$A:$ALL,MATCH($M1482,data!$A:$A,0),MATCH(X$2,data!$1:$1,0)),"#data"),IFERROR(W1482*INDEX(indexy_SDcast!$A:$ALI,MATCH($R1482,indexy_SDcast!$K:$K,0),MATCH(X$2,indexy_SDcast!$2:$2,0)),"#ekrk")),"#popis")</f>
        <v>-10533.768209999986</v>
      </c>
      <c r="Y1482" s="362">
        <f>IF($Q1482="ekrk",IF($R1482="data",IFERROR(INDEX(data!$A:$ALL,MATCH($M1482,data!$A:$A,0),MATCH(Y$2,data!$1:$1,0)),"#data"),IFERROR(X1482*INDEX(indexy_SDcast!$A:$ALI,MATCH($R1482,indexy_SDcast!$K:$K,0),MATCH(Y$2,indexy_SDcast!$2:$2,0)),"#ekrk")),"#popis")</f>
        <v>-10533.768209999986</v>
      </c>
    </row>
    <row r="1483" spans="1:25" x14ac:dyDescent="0.25">
      <c r="A1483" s="330">
        <v>637200</v>
      </c>
      <c r="B1483" s="329">
        <v>-25893.97938999999</v>
      </c>
      <c r="C1483" s="157"/>
      <c r="D1483" s="330">
        <v>637200</v>
      </c>
      <c r="E1483" s="329">
        <v>-25893.97938999999</v>
      </c>
      <c r="F1483" s="157"/>
      <c r="G1483" s="330">
        <v>637200</v>
      </c>
      <c r="H1483" s="329">
        <v>-25893.97938999999</v>
      </c>
      <c r="I1483" s="157"/>
      <c r="J1483" s="330">
        <v>637200</v>
      </c>
      <c r="K1483" s="329">
        <v>-25893.97938999999</v>
      </c>
      <c r="L1483" s="157"/>
      <c r="M1483" s="360">
        <f t="shared" si="158"/>
        <v>637200</v>
      </c>
      <c r="N1483" s="237">
        <f t="shared" si="159"/>
        <v>-25893.97938999999</v>
      </c>
      <c r="O1483" s="361"/>
      <c r="P1483" s="361"/>
      <c r="Q1483" s="361" t="s">
        <v>698</v>
      </c>
      <c r="R1483" s="362">
        <f>IF(Q1483="ekrk",INDEX(indexy_SDcast!$A:$C,MATCH($M1483,indexy_SDcast!$A:$A,0),2),"")</f>
        <v>9</v>
      </c>
      <c r="S1483" s="236"/>
      <c r="T1483" s="364">
        <f t="shared" si="156"/>
        <v>637200</v>
      </c>
      <c r="U1483" s="365">
        <f t="shared" si="160"/>
        <v>-25893.97938999999</v>
      </c>
      <c r="V1483" s="365">
        <f>IF($Q1483="ekrk",IF($R1483="data",IFERROR(INDEX(data!$A:$ALL,MATCH($M1483,data!$A:$A,0),MATCH(V$2,data!$1:$1,0)),"#data"),IFERROR(U1483*INDEX(indexy_SDcast!$A:$ALI,MATCH($R1483,indexy_SDcast!$K:$K,0),MATCH(V$2,indexy_SDcast!$2:$2,0)),"#ekrk")),"#popis")</f>
        <v>-25893.97938999999</v>
      </c>
      <c r="W1483" s="365">
        <f>IF($Q1483="ekrk",IF($R1483="data",IFERROR(INDEX(data!$A:$ALL,MATCH($M1483,data!$A:$A,0),MATCH(W$2,data!$1:$1,0)),"#data"),IFERROR(V1483*INDEX(indexy_SDcast!$A:$ALI,MATCH($R1483,indexy_SDcast!$K:$K,0),MATCH(W$2,indexy_SDcast!$2:$2,0)),"#ekrk")),"#popis")</f>
        <v>-25893.97938999999</v>
      </c>
      <c r="X1483" s="365">
        <f>IF($Q1483="ekrk",IF($R1483="data",IFERROR(INDEX(data!$A:$ALL,MATCH($M1483,data!$A:$A,0),MATCH(X$2,data!$1:$1,0)),"#data"),IFERROR(W1483*INDEX(indexy_SDcast!$A:$ALI,MATCH($R1483,indexy_SDcast!$K:$K,0),MATCH(X$2,indexy_SDcast!$2:$2,0)),"#ekrk")),"#popis")</f>
        <v>-25893.97938999999</v>
      </c>
      <c r="Y1483" s="362">
        <f>IF($Q1483="ekrk",IF($R1483="data",IFERROR(INDEX(data!$A:$ALL,MATCH($M1483,data!$A:$A,0),MATCH(Y$2,data!$1:$1,0)),"#data"),IFERROR(X1483*INDEX(indexy_SDcast!$A:$ALI,MATCH($R1483,indexy_SDcast!$K:$K,0),MATCH(Y$2,indexy_SDcast!$2:$2,0)),"#ekrk")),"#popis")</f>
        <v>-25893.97938999999</v>
      </c>
    </row>
    <row r="1484" spans="1:25" x14ac:dyDescent="0.25">
      <c r="A1484" s="330">
        <v>645000</v>
      </c>
      <c r="B1484" s="329">
        <v>-3.3584999999999998</v>
      </c>
      <c r="C1484" s="157"/>
      <c r="D1484" s="330">
        <v>645000</v>
      </c>
      <c r="E1484" s="329">
        <v>-3.3584999999999998</v>
      </c>
      <c r="F1484" s="157"/>
      <c r="G1484" s="330">
        <v>645000</v>
      </c>
      <c r="H1484" s="329">
        <v>-3.3584999999999998</v>
      </c>
      <c r="I1484" s="157"/>
      <c r="J1484" s="330">
        <v>645000</v>
      </c>
      <c r="K1484" s="329">
        <v>-3.3584999999999998</v>
      </c>
      <c r="L1484" s="157"/>
      <c r="M1484" s="360">
        <f t="shared" si="158"/>
        <v>645000</v>
      </c>
      <c r="N1484" s="237">
        <f t="shared" si="159"/>
        <v>-3.3584999999999998</v>
      </c>
      <c r="O1484" s="361"/>
      <c r="P1484" s="361"/>
      <c r="Q1484" s="361" t="s">
        <v>698</v>
      </c>
      <c r="R1484" s="362">
        <f>IF(Q1484="ekrk",INDEX(indexy_SDcast!$A:$C,MATCH($M1484,indexy_SDcast!$A:$A,0),2),"")</f>
        <v>9</v>
      </c>
      <c r="S1484" s="236"/>
      <c r="T1484" s="364">
        <f t="shared" si="156"/>
        <v>645000</v>
      </c>
      <c r="U1484" s="365">
        <f t="shared" si="160"/>
        <v>-3.3584999999999998</v>
      </c>
      <c r="V1484" s="365">
        <f>IF($Q1484="ekrk",IF($R1484="data",IFERROR(INDEX(data!$A:$ALL,MATCH($M1484,data!$A:$A,0),MATCH(V$2,data!$1:$1,0)),"#data"),IFERROR(U1484*INDEX(indexy_SDcast!$A:$ALI,MATCH($R1484,indexy_SDcast!$K:$K,0),MATCH(V$2,indexy_SDcast!$2:$2,0)),"#ekrk")),"#popis")</f>
        <v>-3.3584999999999998</v>
      </c>
      <c r="W1484" s="365">
        <f>IF($Q1484="ekrk",IF($R1484="data",IFERROR(INDEX(data!$A:$ALL,MATCH($M1484,data!$A:$A,0),MATCH(W$2,data!$1:$1,0)),"#data"),IFERROR(V1484*INDEX(indexy_SDcast!$A:$ALI,MATCH($R1484,indexy_SDcast!$K:$K,0),MATCH(W$2,indexy_SDcast!$2:$2,0)),"#ekrk")),"#popis")</f>
        <v>-3.3584999999999998</v>
      </c>
      <c r="X1484" s="365">
        <f>IF($Q1484="ekrk",IF($R1484="data",IFERROR(INDEX(data!$A:$ALL,MATCH($M1484,data!$A:$A,0),MATCH(X$2,data!$1:$1,0)),"#data"),IFERROR(W1484*INDEX(indexy_SDcast!$A:$ALI,MATCH($R1484,indexy_SDcast!$K:$K,0),MATCH(X$2,indexy_SDcast!$2:$2,0)),"#ekrk")),"#popis")</f>
        <v>-3.3584999999999998</v>
      </c>
      <c r="Y1484" s="362">
        <f>IF($Q1484="ekrk",IF($R1484="data",IFERROR(INDEX(data!$A:$ALL,MATCH($M1484,data!$A:$A,0),MATCH(Y$2,data!$1:$1,0)),"#data"),IFERROR(X1484*INDEX(indexy_SDcast!$A:$ALI,MATCH($R1484,indexy_SDcast!$K:$K,0),MATCH(Y$2,indexy_SDcast!$2:$2,0)),"#ekrk")),"#popis")</f>
        <v>-3.3584999999999998</v>
      </c>
    </row>
    <row r="1485" spans="1:25" x14ac:dyDescent="0.25">
      <c r="A1485" s="330">
        <v>647005</v>
      </c>
      <c r="B1485" s="329">
        <v>283062</v>
      </c>
      <c r="C1485" s="157"/>
      <c r="D1485" s="330">
        <v>647005</v>
      </c>
      <c r="E1485" s="329">
        <v>283062</v>
      </c>
      <c r="F1485" s="157"/>
      <c r="G1485" s="330">
        <v>647005</v>
      </c>
      <c r="H1485" s="329">
        <v>283062</v>
      </c>
      <c r="I1485" s="157"/>
      <c r="J1485" s="330">
        <v>647005</v>
      </c>
      <c r="K1485" s="329">
        <v>283062</v>
      </c>
      <c r="L1485" s="157"/>
      <c r="M1485" s="360">
        <f t="shared" si="158"/>
        <v>647005</v>
      </c>
      <c r="N1485" s="237">
        <f t="shared" si="159"/>
        <v>283062</v>
      </c>
      <c r="O1485" s="361"/>
      <c r="P1485" s="361"/>
      <c r="Q1485" s="361" t="s">
        <v>698</v>
      </c>
      <c r="R1485" s="362">
        <v>29</v>
      </c>
      <c r="S1485" s="236"/>
      <c r="T1485" s="364">
        <f t="shared" si="156"/>
        <v>647005</v>
      </c>
      <c r="U1485" s="365">
        <f t="shared" si="160"/>
        <v>283062</v>
      </c>
      <c r="V1485" s="365">
        <f>IF($Q1485="ekrk",IF($R1485="data",IFERROR(INDEX(data!$A:$ALL,MATCH($M1485,data!$A:$A,0),MATCH(V$2,data!$1:$1,0)),"#data"),IFERROR(U1485*INDEX(indexy_SDcast!$A:$ALI,MATCH($R1485,indexy_SDcast!$K:$K,0),MATCH(V$2,indexy_SDcast!$2:$2,0)),"#ekrk")),"#popis")</f>
        <v>289446.38662403455</v>
      </c>
      <c r="W1485" s="365">
        <f>IF($Q1485="ekrk",IF($R1485="data",IFERROR(INDEX(data!$A:$ALL,MATCH($M1485,data!$A:$A,0),MATCH(W$2,data!$1:$1,0)),"#data"),IFERROR(V1485*INDEX(indexy_SDcast!$A:$ALI,MATCH($R1485,indexy_SDcast!$K:$K,0),MATCH(W$2,indexy_SDcast!$2:$2,0)),"#ekrk")),"#popis")</f>
        <v>298740.17157853069</v>
      </c>
      <c r="X1485" s="365">
        <f>IF($Q1485="ekrk",IF($R1485="data",IFERROR(INDEX(data!$A:$ALL,MATCH($M1485,data!$A:$A,0),MATCH(X$2,data!$1:$1,0)),"#data"),IFERROR(W1485*INDEX(indexy_SDcast!$A:$ALI,MATCH($R1485,indexy_SDcast!$K:$K,0),MATCH(X$2,indexy_SDcast!$2:$2,0)),"#ekrk")),"#popis")</f>
        <v>309715.17134200718</v>
      </c>
      <c r="Y1485" s="362">
        <f>IF($Q1485="ekrk",IF($R1485="data",IFERROR(INDEX(data!$A:$ALL,MATCH($M1485,data!$A:$A,0),MATCH(Y$2,data!$1:$1,0)),"#data"),IFERROR(X1485*INDEX(indexy_SDcast!$A:$ALI,MATCH($R1485,indexy_SDcast!$K:$K,0),MATCH(Y$2,indexy_SDcast!$2:$2,0)),"#ekrk")),"#popis")</f>
        <v>321896.91747099406</v>
      </c>
    </row>
    <row r="1486" spans="1:25" x14ac:dyDescent="0.25">
      <c r="A1486" s="330">
        <v>653001</v>
      </c>
      <c r="B1486" s="329">
        <v>-10940.746249999997</v>
      </c>
      <c r="C1486" s="157"/>
      <c r="D1486" s="330">
        <v>653001</v>
      </c>
      <c r="E1486" s="329">
        <v>-10940.746249999997</v>
      </c>
      <c r="F1486" s="157"/>
      <c r="G1486" s="330">
        <v>653001</v>
      </c>
      <c r="H1486" s="329">
        <v>-10940.746249999997</v>
      </c>
      <c r="I1486" s="157"/>
      <c r="J1486" s="330">
        <v>653001</v>
      </c>
      <c r="K1486" s="329">
        <v>-10940.746249999997</v>
      </c>
      <c r="L1486" s="157"/>
      <c r="M1486" s="360">
        <f t="shared" si="158"/>
        <v>653001</v>
      </c>
      <c r="N1486" s="237">
        <f t="shared" si="159"/>
        <v>-10940.746249999997</v>
      </c>
      <c r="O1486" s="361"/>
      <c r="P1486" s="361"/>
      <c r="Q1486" s="361" t="s">
        <v>698</v>
      </c>
      <c r="R1486" s="362">
        <f>IF(Q1486="ekrk",INDEX(indexy_SDcast!$A:$C,MATCH($M1486,indexy_SDcast!$A:$A,0),2),"")</f>
        <v>9</v>
      </c>
      <c r="S1486" s="236"/>
      <c r="T1486" s="364">
        <f t="shared" si="156"/>
        <v>653001</v>
      </c>
      <c r="U1486" s="365">
        <f t="shared" si="160"/>
        <v>-10940.746249999997</v>
      </c>
      <c r="V1486" s="365">
        <f>IF($Q1486="ekrk",IF($R1486="data",IFERROR(INDEX(data!$A:$ALL,MATCH($M1486,data!$A:$A,0),MATCH(V$2,data!$1:$1,0)),"#data"),IFERROR(U1486*INDEX(indexy_SDcast!$A:$ALI,MATCH($R1486,indexy_SDcast!$K:$K,0),MATCH(V$2,indexy_SDcast!$2:$2,0)),"#ekrk")),"#popis")</f>
        <v>-10940.746249999997</v>
      </c>
      <c r="W1486" s="365">
        <f>IF($Q1486="ekrk",IF($R1486="data",IFERROR(INDEX(data!$A:$ALL,MATCH($M1486,data!$A:$A,0),MATCH(W$2,data!$1:$1,0)),"#data"),IFERROR(V1486*INDEX(indexy_SDcast!$A:$ALI,MATCH($R1486,indexy_SDcast!$K:$K,0),MATCH(W$2,indexy_SDcast!$2:$2,0)),"#ekrk")),"#popis")</f>
        <v>-10940.746249999997</v>
      </c>
      <c r="X1486" s="365">
        <f>IF($Q1486="ekrk",IF($R1486="data",IFERROR(INDEX(data!$A:$ALL,MATCH($M1486,data!$A:$A,0),MATCH(X$2,data!$1:$1,0)),"#data"),IFERROR(W1486*INDEX(indexy_SDcast!$A:$ALI,MATCH($R1486,indexy_SDcast!$K:$K,0),MATCH(X$2,indexy_SDcast!$2:$2,0)),"#ekrk")),"#popis")</f>
        <v>-10940.746249999997</v>
      </c>
      <c r="Y1486" s="362">
        <f>IF($Q1486="ekrk",IF($R1486="data",IFERROR(INDEX(data!$A:$ALL,MATCH($M1486,data!$A:$A,0),MATCH(Y$2,data!$1:$1,0)),"#data"),IFERROR(X1486*INDEX(indexy_SDcast!$A:$ALI,MATCH($R1486,indexy_SDcast!$K:$K,0),MATCH(Y$2,indexy_SDcast!$2:$2,0)),"#ekrk")),"#popis")</f>
        <v>-10940.746249999997</v>
      </c>
    </row>
    <row r="1487" spans="1:25" x14ac:dyDescent="0.25">
      <c r="A1487" s="330">
        <v>653002</v>
      </c>
      <c r="B1487" s="329">
        <v>-137.06337000000002</v>
      </c>
      <c r="C1487" s="157"/>
      <c r="D1487" s="330">
        <v>653002</v>
      </c>
      <c r="E1487" s="329">
        <v>-137.06337000000002</v>
      </c>
      <c r="F1487" s="157"/>
      <c r="G1487" s="330">
        <v>653002</v>
      </c>
      <c r="H1487" s="329">
        <v>-137.06337000000002</v>
      </c>
      <c r="I1487" s="157"/>
      <c r="J1487" s="330">
        <v>653002</v>
      </c>
      <c r="K1487" s="329">
        <v>-137.06337000000002</v>
      </c>
      <c r="L1487" s="157"/>
      <c r="M1487" s="360">
        <f t="shared" si="158"/>
        <v>653002</v>
      </c>
      <c r="N1487" s="237">
        <f t="shared" si="159"/>
        <v>-137.06337000000002</v>
      </c>
      <c r="O1487" s="361"/>
      <c r="P1487" s="361"/>
      <c r="Q1487" s="361" t="s">
        <v>698</v>
      </c>
      <c r="R1487" s="362">
        <f>IF(Q1487="ekrk",INDEX(indexy_SDcast!$A:$C,MATCH($M1487,indexy_SDcast!$A:$A,0),2),"")</f>
        <v>9</v>
      </c>
      <c r="S1487" s="236"/>
      <c r="T1487" s="364">
        <f t="shared" si="156"/>
        <v>653002</v>
      </c>
      <c r="U1487" s="365">
        <f t="shared" si="160"/>
        <v>-137.06337000000002</v>
      </c>
      <c r="V1487" s="365">
        <f>IF($Q1487="ekrk",IF($R1487="data",IFERROR(INDEX(data!$A:$ALL,MATCH($M1487,data!$A:$A,0),MATCH(V$2,data!$1:$1,0)),"#data"),IFERROR(U1487*INDEX(indexy_SDcast!$A:$ALI,MATCH($R1487,indexy_SDcast!$K:$K,0),MATCH(V$2,indexy_SDcast!$2:$2,0)),"#ekrk")),"#popis")</f>
        <v>-137.06337000000002</v>
      </c>
      <c r="W1487" s="365">
        <f>IF($Q1487="ekrk",IF($R1487="data",IFERROR(INDEX(data!$A:$ALL,MATCH($M1487,data!$A:$A,0),MATCH(W$2,data!$1:$1,0)),"#data"),IFERROR(V1487*INDEX(indexy_SDcast!$A:$ALI,MATCH($R1487,indexy_SDcast!$K:$K,0),MATCH(W$2,indexy_SDcast!$2:$2,0)),"#ekrk")),"#popis")</f>
        <v>-137.06337000000002</v>
      </c>
      <c r="X1487" s="365">
        <f>IF($Q1487="ekrk",IF($R1487="data",IFERROR(INDEX(data!$A:$ALL,MATCH($M1487,data!$A:$A,0),MATCH(X$2,data!$1:$1,0)),"#data"),IFERROR(W1487*INDEX(indexy_SDcast!$A:$ALI,MATCH($R1487,indexy_SDcast!$K:$K,0),MATCH(X$2,indexy_SDcast!$2:$2,0)),"#ekrk")),"#popis")</f>
        <v>-137.06337000000002</v>
      </c>
      <c r="Y1487" s="362">
        <f>IF($Q1487="ekrk",IF($R1487="data",IFERROR(INDEX(data!$A:$ALL,MATCH($M1487,data!$A:$A,0),MATCH(Y$2,data!$1:$1,0)),"#data"),IFERROR(X1487*INDEX(indexy_SDcast!$A:$ALI,MATCH($R1487,indexy_SDcast!$K:$K,0),MATCH(Y$2,indexy_SDcast!$2:$2,0)),"#ekrk")),"#popis")</f>
        <v>-137.06337000000002</v>
      </c>
    </row>
    <row r="1488" spans="1:25" x14ac:dyDescent="0.25">
      <c r="A1488" s="330">
        <v>653004</v>
      </c>
      <c r="B1488" s="329">
        <v>-8.5381999999999998</v>
      </c>
      <c r="C1488" s="157"/>
      <c r="D1488" s="330">
        <v>653004</v>
      </c>
      <c r="E1488" s="329">
        <v>-8.5381999999999998</v>
      </c>
      <c r="F1488" s="157"/>
      <c r="G1488" s="330">
        <v>653004</v>
      </c>
      <c r="H1488" s="329">
        <v>-8.5381999999999998</v>
      </c>
      <c r="I1488" s="157"/>
      <c r="J1488" s="330">
        <v>653004</v>
      </c>
      <c r="K1488" s="329">
        <v>-8.5381999999999998</v>
      </c>
      <c r="L1488" s="157"/>
      <c r="M1488" s="360">
        <f t="shared" si="158"/>
        <v>653004</v>
      </c>
      <c r="N1488" s="237">
        <f t="shared" si="159"/>
        <v>-8.5381999999999998</v>
      </c>
      <c r="O1488" s="361"/>
      <c r="P1488" s="361"/>
      <c r="Q1488" s="361" t="s">
        <v>698</v>
      </c>
      <c r="R1488" s="362">
        <f>IF(Q1488="ekrk",INDEX(indexy_SDcast!$A:$C,MATCH($M1488,indexy_SDcast!$A:$A,0),2),"")</f>
        <v>9</v>
      </c>
      <c r="S1488" s="236"/>
      <c r="T1488" s="364">
        <f t="shared" si="156"/>
        <v>653004</v>
      </c>
      <c r="U1488" s="365">
        <f t="shared" si="160"/>
        <v>-8.5381999999999998</v>
      </c>
      <c r="V1488" s="365">
        <f>IF($Q1488="ekrk",IF($R1488="data",IFERROR(INDEX(data!$A:$ALL,MATCH($M1488,data!$A:$A,0),MATCH(V$2,data!$1:$1,0)),"#data"),IFERROR(U1488*INDEX(indexy_SDcast!$A:$ALI,MATCH($R1488,indexy_SDcast!$K:$K,0),MATCH(V$2,indexy_SDcast!$2:$2,0)),"#ekrk")),"#popis")</f>
        <v>-8.5381999999999998</v>
      </c>
      <c r="W1488" s="365">
        <f>IF($Q1488="ekrk",IF($R1488="data",IFERROR(INDEX(data!$A:$ALL,MATCH($M1488,data!$A:$A,0),MATCH(W$2,data!$1:$1,0)),"#data"),IFERROR(V1488*INDEX(indexy_SDcast!$A:$ALI,MATCH($R1488,indexy_SDcast!$K:$K,0),MATCH(W$2,indexy_SDcast!$2:$2,0)),"#ekrk")),"#popis")</f>
        <v>-8.5381999999999998</v>
      </c>
      <c r="X1488" s="365">
        <f>IF($Q1488="ekrk",IF($R1488="data",IFERROR(INDEX(data!$A:$ALL,MATCH($M1488,data!$A:$A,0),MATCH(X$2,data!$1:$1,0)),"#data"),IFERROR(W1488*INDEX(indexy_SDcast!$A:$ALI,MATCH($R1488,indexy_SDcast!$K:$K,0),MATCH(X$2,indexy_SDcast!$2:$2,0)),"#ekrk")),"#popis")</f>
        <v>-8.5381999999999998</v>
      </c>
      <c r="Y1488" s="362">
        <f>IF($Q1488="ekrk",IF($R1488="data",IFERROR(INDEX(data!$A:$ALL,MATCH($M1488,data!$A:$A,0),MATCH(Y$2,data!$1:$1,0)),"#data"),IFERROR(X1488*INDEX(indexy_SDcast!$A:$ALI,MATCH($R1488,indexy_SDcast!$K:$K,0),MATCH(Y$2,indexy_SDcast!$2:$2,0)),"#ekrk")),"#popis")</f>
        <v>-8.5381999999999998</v>
      </c>
    </row>
    <row r="1489" spans="1:44" x14ac:dyDescent="0.25">
      <c r="A1489" s="330" t="s">
        <v>751</v>
      </c>
      <c r="B1489" s="329">
        <v>-7090</v>
      </c>
      <c r="C1489" s="157"/>
      <c r="D1489" s="348">
        <v>292000</v>
      </c>
      <c r="E1489" s="329">
        <v>-7090</v>
      </c>
      <c r="F1489" s="157"/>
      <c r="G1489" s="330">
        <v>292000</v>
      </c>
      <c r="H1489" s="356">
        <f>E1489+E1495</f>
        <v>22777</v>
      </c>
      <c r="I1489" s="157"/>
      <c r="J1489" s="330">
        <v>292000</v>
      </c>
      <c r="K1489" s="329">
        <f>H1489+H1495</f>
        <v>22777</v>
      </c>
      <c r="L1489" s="157"/>
      <c r="M1489" s="360">
        <f t="shared" si="158"/>
        <v>292000</v>
      </c>
      <c r="N1489" s="237">
        <f t="shared" si="159"/>
        <v>22777</v>
      </c>
      <c r="O1489" s="361"/>
      <c r="P1489" s="361"/>
      <c r="Q1489" s="361" t="s">
        <v>698</v>
      </c>
      <c r="R1489" s="362">
        <f>IF(Q1489="ekrk",INDEX(indexy_SDcast!$A:$C,MATCH($M1489,indexy_SDcast!$A:$A,0),2),"")</f>
        <v>22</v>
      </c>
      <c r="S1489" s="236"/>
      <c r="T1489" s="364">
        <f t="shared" si="156"/>
        <v>292000</v>
      </c>
      <c r="U1489" s="365">
        <f t="shared" si="160"/>
        <v>22777</v>
      </c>
      <c r="V1489" s="365">
        <f>IF($Q1489="ekrk",IF($R1489="data",IFERROR(INDEX(data!$A:$ALL,MATCH($M1489,data!$A:$A,0),MATCH(V$2,data!$1:$1,0)),"#data"),IFERROR(U1489*INDEX(indexy_SDcast!$A:$ALI,MATCH($R1489,indexy_SDcast!$K:$K,0),MATCH(V$2,indexy_SDcast!$2:$2,0)),"#ekrk")),"#popis")</f>
        <v>22777</v>
      </c>
      <c r="W1489" s="365">
        <f>IF($Q1489="ekrk",IF($R1489="data",IFERROR(INDEX(data!$A:$ALL,MATCH($M1489,data!$A:$A,0),MATCH(W$2,data!$1:$1,0)),"#data"),IFERROR(V1489*INDEX(indexy_SDcast!$A:$ALI,MATCH($R1489,indexy_SDcast!$K:$K,0),MATCH(W$2,indexy_SDcast!$2:$2,0)),"#ekrk")),"#popis")</f>
        <v>22777</v>
      </c>
      <c r="X1489" s="365">
        <f>IF($Q1489="ekrk",IF($R1489="data",IFERROR(INDEX(data!$A:$ALL,MATCH($M1489,data!$A:$A,0),MATCH(X$2,data!$1:$1,0)),"#data"),IFERROR(W1489*INDEX(indexy_SDcast!$A:$ALI,MATCH($R1489,indexy_SDcast!$K:$K,0),MATCH(X$2,indexy_SDcast!$2:$2,0)),"#ekrk")),"#popis")</f>
        <v>22777</v>
      </c>
      <c r="Y1489" s="362">
        <f>IF($Q1489="ekrk",IF($R1489="data",IFERROR(INDEX(data!$A:$ALL,MATCH($M1489,data!$A:$A,0),MATCH(Y$2,data!$1:$1,0)),"#data"),IFERROR(X1489*INDEX(indexy_SDcast!$A:$ALI,MATCH($R1489,indexy_SDcast!$K:$K,0),MATCH(Y$2,indexy_SDcast!$2:$2,0)),"#ekrk")),"#popis")</f>
        <v>22777</v>
      </c>
    </row>
    <row r="1490" spans="1:44" x14ac:dyDescent="0.25">
      <c r="A1490" s="330" t="s">
        <v>1000</v>
      </c>
      <c r="B1490" s="329">
        <v>-3</v>
      </c>
      <c r="C1490" s="157"/>
      <c r="D1490" s="348">
        <v>635000</v>
      </c>
      <c r="E1490" s="329">
        <v>-3</v>
      </c>
      <c r="F1490" s="157"/>
      <c r="G1490" s="330"/>
      <c r="H1490" s="329"/>
      <c r="I1490" s="157"/>
      <c r="J1490" s="330"/>
      <c r="K1490" s="329"/>
      <c r="L1490" s="157"/>
      <c r="M1490" s="360">
        <f t="shared" si="158"/>
        <v>0</v>
      </c>
      <c r="N1490" s="237">
        <f t="shared" si="159"/>
        <v>0</v>
      </c>
      <c r="O1490" s="361"/>
      <c r="P1490" s="361"/>
      <c r="Q1490" s="361"/>
      <c r="R1490" s="362"/>
      <c r="S1490" s="236"/>
      <c r="T1490" s="364"/>
      <c r="U1490" s="365"/>
      <c r="V1490" s="365"/>
      <c r="W1490" s="365"/>
      <c r="X1490" s="365"/>
      <c r="Y1490" s="362"/>
    </row>
    <row r="1491" spans="1:44" x14ac:dyDescent="0.25">
      <c r="A1491" s="330" t="s">
        <v>699</v>
      </c>
      <c r="B1491" s="329">
        <v>-178252</v>
      </c>
      <c r="C1491" s="157"/>
      <c r="D1491" s="348">
        <v>635000</v>
      </c>
      <c r="E1491" s="329">
        <v>-178252</v>
      </c>
      <c r="F1491" s="157"/>
      <c r="G1491" s="330"/>
      <c r="H1491" s="329"/>
      <c r="I1491" s="157"/>
      <c r="J1491" s="330"/>
      <c r="K1491" s="329"/>
      <c r="L1491" s="157"/>
      <c r="M1491" s="360">
        <f t="shared" si="158"/>
        <v>0</v>
      </c>
      <c r="N1491" s="237">
        <f t="shared" si="159"/>
        <v>0</v>
      </c>
      <c r="O1491" s="361"/>
      <c r="P1491" s="361"/>
      <c r="Q1491" s="361"/>
      <c r="R1491" s="362"/>
      <c r="S1491" s="236"/>
      <c r="T1491" s="364"/>
      <c r="U1491" s="365"/>
      <c r="V1491" s="365"/>
      <c r="W1491" s="365"/>
      <c r="X1491" s="365"/>
      <c r="Y1491" s="362"/>
    </row>
    <row r="1492" spans="1:44" x14ac:dyDescent="0.25">
      <c r="A1492" s="330" t="s">
        <v>994</v>
      </c>
      <c r="B1492" s="329">
        <v>-27450</v>
      </c>
      <c r="C1492" s="157"/>
      <c r="D1492" s="348">
        <v>637023</v>
      </c>
      <c r="E1492" s="329">
        <v>-27450</v>
      </c>
      <c r="F1492" s="157"/>
      <c r="G1492" s="330"/>
      <c r="H1492" s="329"/>
      <c r="I1492" s="157"/>
      <c r="J1492" s="330"/>
      <c r="K1492" s="329"/>
      <c r="L1492" s="157"/>
      <c r="M1492" s="360">
        <f t="shared" si="158"/>
        <v>0</v>
      </c>
      <c r="N1492" s="237">
        <f t="shared" si="159"/>
        <v>0</v>
      </c>
      <c r="O1492" s="361"/>
      <c r="P1492" s="361"/>
      <c r="Q1492" s="361"/>
      <c r="R1492" s="362"/>
      <c r="S1492" s="236"/>
      <c r="T1492" s="364"/>
      <c r="U1492" s="365"/>
      <c r="V1492" s="365"/>
      <c r="W1492" s="365"/>
      <c r="X1492" s="365"/>
      <c r="Y1492" s="362"/>
    </row>
    <row r="1493" spans="1:44" x14ac:dyDescent="0.25">
      <c r="A1493" s="330" t="s">
        <v>1001</v>
      </c>
      <c r="B1493" s="329">
        <v>-3</v>
      </c>
      <c r="C1493" s="157"/>
      <c r="D1493" s="348">
        <v>637023</v>
      </c>
      <c r="E1493" s="329">
        <v>-3</v>
      </c>
      <c r="F1493" s="157"/>
      <c r="G1493" s="330"/>
      <c r="H1493" s="329"/>
      <c r="I1493" s="157"/>
      <c r="J1493" s="330"/>
      <c r="K1493" s="329"/>
      <c r="L1493" s="157"/>
      <c r="M1493" s="360">
        <f t="shared" si="158"/>
        <v>0</v>
      </c>
      <c r="N1493" s="237">
        <f t="shared" si="159"/>
        <v>0</v>
      </c>
      <c r="O1493" s="361"/>
      <c r="P1493" s="361"/>
      <c r="Q1493" s="361"/>
      <c r="R1493" s="362"/>
      <c r="S1493" s="236"/>
      <c r="T1493" s="364"/>
      <c r="U1493" s="365"/>
      <c r="V1493" s="365"/>
      <c r="W1493" s="365"/>
      <c r="X1493" s="365"/>
      <c r="Y1493" s="362"/>
    </row>
    <row r="1494" spans="1:44" x14ac:dyDescent="0.25">
      <c r="A1494" s="330" t="s">
        <v>1002</v>
      </c>
      <c r="B1494" s="329">
        <v>1</v>
      </c>
      <c r="C1494" s="157"/>
      <c r="D1494" s="348">
        <v>637023</v>
      </c>
      <c r="E1494" s="329">
        <v>1</v>
      </c>
      <c r="F1494" s="157"/>
      <c r="G1494" s="330"/>
      <c r="H1494" s="329"/>
      <c r="I1494" s="157"/>
      <c r="J1494" s="330"/>
      <c r="K1494" s="329"/>
      <c r="L1494" s="157"/>
      <c r="M1494" s="360">
        <f t="shared" si="158"/>
        <v>0</v>
      </c>
      <c r="N1494" s="237">
        <f t="shared" si="159"/>
        <v>0</v>
      </c>
      <c r="O1494" s="361"/>
      <c r="P1494" s="361"/>
      <c r="Q1494" s="361"/>
      <c r="R1494" s="362"/>
      <c r="S1494" s="236"/>
      <c r="T1494" s="364"/>
      <c r="U1494" s="365"/>
      <c r="V1494" s="365"/>
      <c r="W1494" s="365"/>
      <c r="X1494" s="365"/>
      <c r="Y1494" s="362"/>
    </row>
    <row r="1495" spans="1:44" x14ac:dyDescent="0.25">
      <c r="A1495" s="330" t="s">
        <v>992</v>
      </c>
      <c r="B1495" s="329">
        <v>29867</v>
      </c>
      <c r="C1495" s="157"/>
      <c r="D1495" s="348">
        <v>292000</v>
      </c>
      <c r="E1495" s="329">
        <v>29867</v>
      </c>
      <c r="F1495" s="157"/>
      <c r="G1495" s="330"/>
      <c r="H1495" s="329"/>
      <c r="I1495" s="157"/>
      <c r="J1495" s="330"/>
      <c r="K1495" s="329"/>
      <c r="L1495" s="157"/>
      <c r="M1495" s="360">
        <f t="shared" si="158"/>
        <v>0</v>
      </c>
      <c r="N1495" s="237">
        <f t="shared" si="159"/>
        <v>0</v>
      </c>
      <c r="O1495" s="361"/>
      <c r="P1495" s="361"/>
      <c r="Q1495" s="361"/>
      <c r="R1495" s="362"/>
      <c r="S1495" s="236"/>
      <c r="T1495" s="364"/>
      <c r="U1495" s="365"/>
      <c r="V1495" s="365"/>
      <c r="W1495" s="365"/>
      <c r="X1495" s="365"/>
      <c r="Y1495" s="362"/>
    </row>
    <row r="1496" spans="1:44" x14ac:dyDescent="0.25">
      <c r="A1496" s="330" t="s">
        <v>993</v>
      </c>
      <c r="B1496" s="329">
        <v>-279108</v>
      </c>
      <c r="C1496" s="157"/>
      <c r="D1496" s="348">
        <v>637005</v>
      </c>
      <c r="E1496" s="329">
        <v>-279108</v>
      </c>
      <c r="F1496" s="157"/>
      <c r="G1496" s="330"/>
      <c r="H1496" s="329"/>
      <c r="I1496" s="157"/>
      <c r="J1496" s="330"/>
      <c r="K1496" s="329"/>
      <c r="L1496" s="157"/>
      <c r="M1496" s="360">
        <f t="shared" si="158"/>
        <v>0</v>
      </c>
      <c r="N1496" s="237">
        <f t="shared" si="159"/>
        <v>0</v>
      </c>
      <c r="O1496" s="361"/>
      <c r="P1496" s="361"/>
      <c r="Q1496" s="361"/>
      <c r="R1496" s="362"/>
      <c r="S1496" s="236"/>
      <c r="T1496" s="364"/>
      <c r="U1496" s="365"/>
      <c r="V1496" s="365"/>
      <c r="W1496" s="365"/>
      <c r="X1496" s="365"/>
      <c r="Y1496" s="362"/>
    </row>
    <row r="1497" spans="1:44" s="18" customFormat="1" x14ac:dyDescent="0.25">
      <c r="A1497" s="333" t="s">
        <v>754</v>
      </c>
      <c r="B1497" s="334">
        <v>-784586.29782139603</v>
      </c>
      <c r="C1497" s="164"/>
      <c r="D1497" s="333" t="s">
        <v>754</v>
      </c>
      <c r="E1497" s="334">
        <v>-784586.29782139603</v>
      </c>
      <c r="F1497" s="164"/>
      <c r="G1497" s="333" t="s">
        <v>754</v>
      </c>
      <c r="H1497" s="334">
        <v>-784586.29782139603</v>
      </c>
      <c r="I1497" s="164"/>
      <c r="J1497" s="333" t="s">
        <v>754</v>
      </c>
      <c r="K1497" s="334">
        <v>-784586.29782139603</v>
      </c>
      <c r="L1497" s="164"/>
      <c r="M1497" s="358" t="str">
        <f t="shared" si="158"/>
        <v>P5111</v>
      </c>
      <c r="N1497" s="239">
        <f t="shared" si="159"/>
        <v>-784586.29782139603</v>
      </c>
      <c r="O1497" s="243"/>
      <c r="P1497" s="243">
        <f>MATCH(Q1497,Q1498:Q$1550,0)</f>
        <v>31</v>
      </c>
      <c r="Q1497" s="243" t="s">
        <v>697</v>
      </c>
      <c r="R1497" s="359" t="str">
        <f>IF(Q1497="ekrk",INDEX(indexy_SDcast!$A:$C,MATCH($M1497,indexy_SDcast!$A:$A,0),2),"")</f>
        <v/>
      </c>
      <c r="S1497" s="240"/>
      <c r="T1497" s="363" t="str">
        <f t="shared" ref="T1497:T1549" si="161">M1497</f>
        <v>P5111</v>
      </c>
      <c r="U1497" s="244">
        <f>SUM(U1498:U1527)</f>
        <v>-784586.29782139615</v>
      </c>
      <c r="V1497" s="244">
        <f>SUM(V1498:V1527)</f>
        <v>-810142.78378949466</v>
      </c>
      <c r="W1497" s="244">
        <f>SUM(W1498:W1527)</f>
        <v>-846107.39849925018</v>
      </c>
      <c r="X1497" s="244">
        <f>SUM(X1498:X1527)</f>
        <v>-888928.46968998853</v>
      </c>
      <c r="Y1497" s="359">
        <f>SUM(Y1498:Y1527)</f>
        <v>-938044.10586022597</v>
      </c>
      <c r="Z1497" s="58"/>
      <c r="AA1497" s="58"/>
      <c r="AB1497" s="58"/>
      <c r="AC1497" s="58"/>
      <c r="AD1497" s="58"/>
      <c r="AE1497" s="58"/>
      <c r="AF1497" s="58"/>
      <c r="AG1497" s="58"/>
      <c r="AH1497" s="58"/>
      <c r="AI1497" s="58"/>
      <c r="AJ1497" s="58"/>
      <c r="AK1497" s="58"/>
      <c r="AL1497" s="58"/>
      <c r="AM1497" s="58"/>
      <c r="AN1497" s="58"/>
      <c r="AO1497" s="58"/>
      <c r="AP1497" s="58"/>
      <c r="AQ1497" s="58"/>
      <c r="AR1497" s="58"/>
    </row>
    <row r="1498" spans="1:44" x14ac:dyDescent="0.25">
      <c r="A1498" s="330">
        <v>713001</v>
      </c>
      <c r="B1498" s="329">
        <v>-1849.6180699999993</v>
      </c>
      <c r="C1498" s="157"/>
      <c r="D1498" s="330">
        <v>713001</v>
      </c>
      <c r="E1498" s="329">
        <v>-1849.6180699999993</v>
      </c>
      <c r="F1498" s="157"/>
      <c r="G1498" s="330">
        <v>713001</v>
      </c>
      <c r="H1498" s="329">
        <v>-1849.6180699999993</v>
      </c>
      <c r="I1498" s="157"/>
      <c r="J1498" s="330">
        <v>713001</v>
      </c>
      <c r="K1498" s="329">
        <v>-1849.6180699999993</v>
      </c>
      <c r="L1498" s="157"/>
      <c r="M1498" s="360">
        <f t="shared" si="158"/>
        <v>713001</v>
      </c>
      <c r="N1498" s="237">
        <f t="shared" si="159"/>
        <v>-1849.6180699999993</v>
      </c>
      <c r="O1498" s="361"/>
      <c r="P1498" s="361"/>
      <c r="Q1498" s="361" t="s">
        <v>698</v>
      </c>
      <c r="R1498" s="362">
        <f>IF(Q1498="ekrk",INDEX(indexy_SDcast!$A:$C,MATCH($M1498,indexy_SDcast!$A:$A,0),2),"")</f>
        <v>37</v>
      </c>
      <c r="S1498" s="236"/>
      <c r="T1498" s="364">
        <f t="shared" si="161"/>
        <v>713001</v>
      </c>
      <c r="U1498" s="365">
        <f t="shared" ref="U1498:U1527" si="162">N1498</f>
        <v>-1849.6180699999993</v>
      </c>
      <c r="V1498" s="365">
        <f>IF($Q1498="ekrk",IF($R1498="data",IFERROR(INDEX(data!$A:$ALL,MATCH($M1498,data!$A:$A,0),MATCH(V$2,data!$1:$1,0)),"#data"),IFERROR(U1498*INDEX(indexy_SDcast!$A:$ALI,MATCH($R1498,indexy_SDcast!$K:$K,0),MATCH(V$2,indexy_SDcast!$2:$2,0)),"#ekrk")),"#popis")</f>
        <v>-1909.6683352777243</v>
      </c>
      <c r="W1498" s="365">
        <f>IF($Q1498="ekrk",IF($R1498="data",IFERROR(INDEX(data!$A:$ALL,MATCH($M1498,data!$A:$A,0),MATCH(W$2,data!$1:$1,0)),"#data"),IFERROR(V1498*INDEX(indexy_SDcast!$A:$ALI,MATCH($R1498,indexy_SDcast!$K:$K,0),MATCH(W$2,indexy_SDcast!$2:$2,0)),"#ekrk")),"#popis")</f>
        <v>-1994.1286369241602</v>
      </c>
      <c r="X1498" s="365">
        <f>IF($Q1498="ekrk",IF($R1498="data",IFERROR(INDEX(data!$A:$ALL,MATCH($M1498,data!$A:$A,0),MATCH(X$2,data!$1:$1,0)),"#data"),IFERROR(W1498*INDEX(indexy_SDcast!$A:$ALI,MATCH($R1498,indexy_SDcast!$K:$K,0),MATCH(X$2,indexy_SDcast!$2:$2,0)),"#ekrk")),"#popis")</f>
        <v>-2094.6994875422934</v>
      </c>
      <c r="Y1498" s="362">
        <f>IF($Q1498="ekrk",IF($R1498="data",IFERROR(INDEX(data!$A:$ALL,MATCH($M1498,data!$A:$A,0),MATCH(Y$2,data!$1:$1,0)),"#data"),IFERROR(X1498*INDEX(indexy_SDcast!$A:$ALI,MATCH($R1498,indexy_SDcast!$K:$K,0),MATCH(Y$2,indexy_SDcast!$2:$2,0)),"#ekrk")),"#popis")</f>
        <v>-2210.0747391050445</v>
      </c>
    </row>
    <row r="1499" spans="1:44" x14ac:dyDescent="0.25">
      <c r="A1499" s="330">
        <v>713002</v>
      </c>
      <c r="B1499" s="329">
        <v>-28121.577850000009</v>
      </c>
      <c r="C1499" s="157"/>
      <c r="D1499" s="330">
        <v>713002</v>
      </c>
      <c r="E1499" s="329">
        <v>-28121.577850000009</v>
      </c>
      <c r="F1499" s="157"/>
      <c r="G1499" s="330">
        <v>713002</v>
      </c>
      <c r="H1499" s="329">
        <v>-28121.577850000009</v>
      </c>
      <c r="I1499" s="157"/>
      <c r="J1499" s="330">
        <v>713002</v>
      </c>
      <c r="K1499" s="329">
        <v>-28121.577850000009</v>
      </c>
      <c r="L1499" s="157"/>
      <c r="M1499" s="360">
        <f t="shared" si="158"/>
        <v>713002</v>
      </c>
      <c r="N1499" s="237">
        <f t="shared" si="159"/>
        <v>-28121.577850000009</v>
      </c>
      <c r="O1499" s="361"/>
      <c r="P1499" s="361"/>
      <c r="Q1499" s="361" t="s">
        <v>698</v>
      </c>
      <c r="R1499" s="362">
        <f>IF(Q1499="ekrk",INDEX(indexy_SDcast!$A:$C,MATCH($M1499,indexy_SDcast!$A:$A,0),2),"")</f>
        <v>37</v>
      </c>
      <c r="S1499" s="236"/>
      <c r="T1499" s="364">
        <f t="shared" si="161"/>
        <v>713002</v>
      </c>
      <c r="U1499" s="365">
        <f t="shared" si="162"/>
        <v>-28121.577850000009</v>
      </c>
      <c r="V1499" s="365">
        <f>IF($Q1499="ekrk",IF($R1499="data",IFERROR(INDEX(data!$A:$ALL,MATCH($M1499,data!$A:$A,0),MATCH(V$2,data!$1:$1,0)),"#data"),IFERROR(U1499*INDEX(indexy_SDcast!$A:$ALI,MATCH($R1499,indexy_SDcast!$K:$K,0),MATCH(V$2,indexy_SDcast!$2:$2,0)),"#ekrk")),"#popis")</f>
        <v>-29034.581586993503</v>
      </c>
      <c r="W1499" s="365">
        <f>IF($Q1499="ekrk",IF($R1499="data",IFERROR(INDEX(data!$A:$ALL,MATCH($M1499,data!$A:$A,0),MATCH(W$2,data!$1:$1,0)),"#data"),IFERROR(V1499*INDEX(indexy_SDcast!$A:$ALI,MATCH($R1499,indexy_SDcast!$K:$K,0),MATCH(W$2,indexy_SDcast!$2:$2,0)),"#ekrk")),"#popis")</f>
        <v>-30318.715315198664</v>
      </c>
      <c r="X1499" s="365">
        <f>IF($Q1499="ekrk",IF($R1499="data",IFERROR(INDEX(data!$A:$ALL,MATCH($M1499,data!$A:$A,0),MATCH(X$2,data!$1:$1,0)),"#data"),IFERROR(W1499*INDEX(indexy_SDcast!$A:$ALI,MATCH($R1499,indexy_SDcast!$K:$K,0),MATCH(X$2,indexy_SDcast!$2:$2,0)),"#ekrk")),"#popis")</f>
        <v>-31847.793696822904</v>
      </c>
      <c r="Y1499" s="362">
        <f>IF($Q1499="ekrk",IF($R1499="data",IFERROR(INDEX(data!$A:$ALL,MATCH($M1499,data!$A:$A,0),MATCH(Y$2,data!$1:$1,0)),"#data"),IFERROR(X1499*INDEX(indexy_SDcast!$A:$ALI,MATCH($R1499,indexy_SDcast!$K:$K,0),MATCH(Y$2,indexy_SDcast!$2:$2,0)),"#ekrk")),"#popis")</f>
        <v>-33601.958068057254</v>
      </c>
    </row>
    <row r="1500" spans="1:44" x14ac:dyDescent="0.25">
      <c r="A1500" s="330">
        <v>713003</v>
      </c>
      <c r="B1500" s="329">
        <v>-6789.3283199999996</v>
      </c>
      <c r="C1500" s="157"/>
      <c r="D1500" s="330">
        <v>713003</v>
      </c>
      <c r="E1500" s="329">
        <v>-6789.3283199999996</v>
      </c>
      <c r="F1500" s="157"/>
      <c r="G1500" s="330">
        <v>713003</v>
      </c>
      <c r="H1500" s="329">
        <v>-6789.3283199999996</v>
      </c>
      <c r="I1500" s="157"/>
      <c r="J1500" s="330">
        <v>713003</v>
      </c>
      <c r="K1500" s="329">
        <v>-6789.3283199999996</v>
      </c>
      <c r="L1500" s="157"/>
      <c r="M1500" s="360">
        <f t="shared" si="158"/>
        <v>713003</v>
      </c>
      <c r="N1500" s="237">
        <f t="shared" si="159"/>
        <v>-6789.3283199999996</v>
      </c>
      <c r="O1500" s="361"/>
      <c r="P1500" s="361"/>
      <c r="Q1500" s="361" t="s">
        <v>698</v>
      </c>
      <c r="R1500" s="362">
        <f>IF(Q1500="ekrk",INDEX(indexy_SDcast!$A:$C,MATCH($M1500,indexy_SDcast!$A:$A,0),2),"")</f>
        <v>37</v>
      </c>
      <c r="S1500" s="236"/>
      <c r="T1500" s="364">
        <f t="shared" si="161"/>
        <v>713003</v>
      </c>
      <c r="U1500" s="365">
        <f t="shared" si="162"/>
        <v>-6789.3283199999996</v>
      </c>
      <c r="V1500" s="365">
        <f>IF($Q1500="ekrk",IF($R1500="data",IFERROR(INDEX(data!$A:$ALL,MATCH($M1500,data!$A:$A,0),MATCH(V$2,data!$1:$1,0)),"#data"),IFERROR(U1500*INDEX(indexy_SDcast!$A:$ALI,MATCH($R1500,indexy_SDcast!$K:$K,0),MATCH(V$2,indexy_SDcast!$2:$2,0)),"#ekrk")),"#popis")</f>
        <v>-7009.752727225633</v>
      </c>
      <c r="W1500" s="365">
        <f>IF($Q1500="ekrk",IF($R1500="data",IFERROR(INDEX(data!$A:$ALL,MATCH($M1500,data!$A:$A,0),MATCH(W$2,data!$1:$1,0)),"#data"),IFERROR(V1500*INDEX(indexy_SDcast!$A:$ALI,MATCH($R1500,indexy_SDcast!$K:$K,0),MATCH(W$2,indexy_SDcast!$2:$2,0)),"#ekrk")),"#popis")</f>
        <v>-7319.7782006921043</v>
      </c>
      <c r="X1500" s="365">
        <f>IF($Q1500="ekrk",IF($R1500="data",IFERROR(INDEX(data!$A:$ALL,MATCH($M1500,data!$A:$A,0),MATCH(X$2,data!$1:$1,0)),"#data"),IFERROR(W1500*INDEX(indexy_SDcast!$A:$ALI,MATCH($R1500,indexy_SDcast!$K:$K,0),MATCH(X$2,indexy_SDcast!$2:$2,0)),"#ekrk")),"#popis")</f>
        <v>-7688.9401024614681</v>
      </c>
      <c r="Y1500" s="362">
        <f>IF($Q1500="ekrk",IF($R1500="data",IFERROR(INDEX(data!$A:$ALL,MATCH($M1500,data!$A:$A,0),MATCH(Y$2,data!$1:$1,0)),"#data"),IFERROR(X1500*INDEX(indexy_SDcast!$A:$ALI,MATCH($R1500,indexy_SDcast!$K:$K,0),MATCH(Y$2,indexy_SDcast!$2:$2,0)),"#ekrk")),"#popis")</f>
        <v>-8112.4440006809054</v>
      </c>
    </row>
    <row r="1501" spans="1:44" x14ac:dyDescent="0.25">
      <c r="A1501" s="330">
        <v>713004</v>
      </c>
      <c r="B1501" s="329">
        <v>-25429.296789999997</v>
      </c>
      <c r="C1501" s="157"/>
      <c r="D1501" s="330">
        <v>713004</v>
      </c>
      <c r="E1501" s="329">
        <v>-25429.296789999997</v>
      </c>
      <c r="F1501" s="157"/>
      <c r="G1501" s="330">
        <v>713004</v>
      </c>
      <c r="H1501" s="329">
        <v>-25429.296789999997</v>
      </c>
      <c r="I1501" s="157"/>
      <c r="J1501" s="330">
        <v>713004</v>
      </c>
      <c r="K1501" s="329">
        <v>-25429.296789999997</v>
      </c>
      <c r="L1501" s="157"/>
      <c r="M1501" s="360">
        <f t="shared" si="158"/>
        <v>713004</v>
      </c>
      <c r="N1501" s="237">
        <f t="shared" si="159"/>
        <v>-25429.296789999997</v>
      </c>
      <c r="O1501" s="361"/>
      <c r="P1501" s="361"/>
      <c r="Q1501" s="361" t="s">
        <v>698</v>
      </c>
      <c r="R1501" s="362">
        <f>IF(Q1501="ekrk",INDEX(indexy_SDcast!$A:$C,MATCH($M1501,indexy_SDcast!$A:$A,0),2),"")</f>
        <v>37</v>
      </c>
      <c r="S1501" s="236"/>
      <c r="T1501" s="364">
        <f t="shared" si="161"/>
        <v>713004</v>
      </c>
      <c r="U1501" s="365">
        <f t="shared" si="162"/>
        <v>-25429.296789999997</v>
      </c>
      <c r="V1501" s="365">
        <f>IF($Q1501="ekrk",IF($R1501="data",IFERROR(INDEX(data!$A:$ALL,MATCH($M1501,data!$A:$A,0),MATCH(V$2,data!$1:$1,0)),"#data"),IFERROR(U1501*INDEX(indexy_SDcast!$A:$ALI,MATCH($R1501,indexy_SDcast!$K:$K,0),MATCH(V$2,indexy_SDcast!$2:$2,0)),"#ekrk")),"#popis")</f>
        <v>-26254.89210766766</v>
      </c>
      <c r="W1501" s="365">
        <f>IF($Q1501="ekrk",IF($R1501="data",IFERROR(INDEX(data!$A:$ALL,MATCH($M1501,data!$A:$A,0),MATCH(W$2,data!$1:$1,0)),"#data"),IFERROR(V1501*INDEX(indexy_SDcast!$A:$ALI,MATCH($R1501,indexy_SDcast!$K:$K,0),MATCH(W$2,indexy_SDcast!$2:$2,0)),"#ekrk")),"#popis")</f>
        <v>-27416.086471183015</v>
      </c>
      <c r="X1501" s="365">
        <f>IF($Q1501="ekrk",IF($R1501="data",IFERROR(INDEX(data!$A:$ALL,MATCH($M1501,data!$A:$A,0),MATCH(X$2,data!$1:$1,0)),"#data"),IFERROR(W1501*INDEX(indexy_SDcast!$A:$ALI,MATCH($R1501,indexy_SDcast!$K:$K,0),MATCH(X$2,indexy_SDcast!$2:$2,0)),"#ekrk")),"#popis")</f>
        <v>-28798.775173392365</v>
      </c>
      <c r="Y1501" s="362">
        <f>IF($Q1501="ekrk",IF($R1501="data",IFERROR(INDEX(data!$A:$ALL,MATCH($M1501,data!$A:$A,0),MATCH(Y$2,data!$1:$1,0)),"#data"),IFERROR(X1501*INDEX(indexy_SDcast!$A:$ALI,MATCH($R1501,indexy_SDcast!$K:$K,0),MATCH(Y$2,indexy_SDcast!$2:$2,0)),"#ekrk")),"#popis")</f>
        <v>-30385.000763311105</v>
      </c>
    </row>
    <row r="1502" spans="1:44" x14ac:dyDescent="0.25">
      <c r="A1502" s="330">
        <v>713005</v>
      </c>
      <c r="B1502" s="329">
        <v>-13297.108559999997</v>
      </c>
      <c r="C1502" s="157"/>
      <c r="D1502" s="330">
        <v>713005</v>
      </c>
      <c r="E1502" s="329">
        <v>-13297.108559999997</v>
      </c>
      <c r="F1502" s="157"/>
      <c r="G1502" s="330">
        <v>713005</v>
      </c>
      <c r="H1502" s="329">
        <v>-13297.108559999997</v>
      </c>
      <c r="I1502" s="157"/>
      <c r="J1502" s="330">
        <v>713005</v>
      </c>
      <c r="K1502" s="329">
        <v>-13297.108559999997</v>
      </c>
      <c r="L1502" s="157"/>
      <c r="M1502" s="360">
        <f t="shared" si="158"/>
        <v>713005</v>
      </c>
      <c r="N1502" s="237">
        <f t="shared" si="159"/>
        <v>-13297.108559999997</v>
      </c>
      <c r="O1502" s="361"/>
      <c r="P1502" s="361"/>
      <c r="Q1502" s="361" t="s">
        <v>698</v>
      </c>
      <c r="R1502" s="362">
        <f>IF(Q1502="ekrk",INDEX(indexy_SDcast!$A:$C,MATCH($M1502,indexy_SDcast!$A:$A,0),2),"")</f>
        <v>37</v>
      </c>
      <c r="S1502" s="236"/>
      <c r="T1502" s="364">
        <f t="shared" si="161"/>
        <v>713005</v>
      </c>
      <c r="U1502" s="365">
        <f t="shared" si="162"/>
        <v>-13297.108559999997</v>
      </c>
      <c r="V1502" s="365">
        <f>IF($Q1502="ekrk",IF($R1502="data",IFERROR(INDEX(data!$A:$ALL,MATCH($M1502,data!$A:$A,0),MATCH(V$2,data!$1:$1,0)),"#data"),IFERROR(U1502*INDEX(indexy_SDcast!$A:$ALI,MATCH($R1502,indexy_SDcast!$K:$K,0),MATCH(V$2,indexy_SDcast!$2:$2,0)),"#ekrk")),"#popis")</f>
        <v>-13728.816548479319</v>
      </c>
      <c r="W1502" s="365">
        <f>IF($Q1502="ekrk",IF($R1502="data",IFERROR(INDEX(data!$A:$ALL,MATCH($M1502,data!$A:$A,0),MATCH(W$2,data!$1:$1,0)),"#data"),IFERROR(V1502*INDEX(indexy_SDcast!$A:$ALI,MATCH($R1502,indexy_SDcast!$K:$K,0),MATCH(W$2,indexy_SDcast!$2:$2,0)),"#ekrk")),"#popis")</f>
        <v>-14336.010984032711</v>
      </c>
      <c r="X1502" s="365">
        <f>IF($Q1502="ekrk",IF($R1502="data",IFERROR(INDEX(data!$A:$ALL,MATCH($M1502,data!$A:$A,0),MATCH(X$2,data!$1:$1,0)),"#data"),IFERROR(W1502*INDEX(indexy_SDcast!$A:$ALI,MATCH($R1502,indexy_SDcast!$K:$K,0),MATCH(X$2,indexy_SDcast!$2:$2,0)),"#ekrk")),"#popis")</f>
        <v>-15059.025935244157</v>
      </c>
      <c r="Y1502" s="362">
        <f>IF($Q1502="ekrk",IF($R1502="data",IFERROR(INDEX(data!$A:$ALL,MATCH($M1502,data!$A:$A,0),MATCH(Y$2,data!$1:$1,0)),"#data"),IFERROR(X1502*INDEX(indexy_SDcast!$A:$ALI,MATCH($R1502,indexy_SDcast!$K:$K,0),MATCH(Y$2,indexy_SDcast!$2:$2,0)),"#ekrk")),"#popis")</f>
        <v>-15888.471359708037</v>
      </c>
    </row>
    <row r="1503" spans="1:44" x14ac:dyDescent="0.25">
      <c r="A1503" s="330">
        <v>713006</v>
      </c>
      <c r="B1503" s="329">
        <v>-9964.5400900000004</v>
      </c>
      <c r="C1503" s="157"/>
      <c r="D1503" s="330">
        <v>713006</v>
      </c>
      <c r="E1503" s="329">
        <v>-9964.5400900000004</v>
      </c>
      <c r="F1503" s="157"/>
      <c r="G1503" s="330">
        <v>713006</v>
      </c>
      <c r="H1503" s="329">
        <v>-9964.5400900000004</v>
      </c>
      <c r="I1503" s="157"/>
      <c r="J1503" s="330">
        <v>713006</v>
      </c>
      <c r="K1503" s="329">
        <v>-9964.5400900000004</v>
      </c>
      <c r="L1503" s="157"/>
      <c r="M1503" s="360">
        <f t="shared" si="158"/>
        <v>713006</v>
      </c>
      <c r="N1503" s="237">
        <f t="shared" si="159"/>
        <v>-9964.5400900000004</v>
      </c>
      <c r="O1503" s="361"/>
      <c r="P1503" s="361"/>
      <c r="Q1503" s="361" t="s">
        <v>698</v>
      </c>
      <c r="R1503" s="362">
        <f>IF(Q1503="ekrk",INDEX(indexy_SDcast!$A:$C,MATCH($M1503,indexy_SDcast!$A:$A,0),2),"")</f>
        <v>37</v>
      </c>
      <c r="S1503" s="236"/>
      <c r="T1503" s="364">
        <f t="shared" si="161"/>
        <v>713006</v>
      </c>
      <c r="U1503" s="365">
        <f t="shared" si="162"/>
        <v>-9964.5400900000004</v>
      </c>
      <c r="V1503" s="365">
        <f>IF($Q1503="ekrk",IF($R1503="data",IFERROR(INDEX(data!$A:$ALL,MATCH($M1503,data!$A:$A,0),MATCH(V$2,data!$1:$1,0)),"#data"),IFERROR(U1503*INDEX(indexy_SDcast!$A:$ALI,MATCH($R1503,indexy_SDcast!$K:$K,0),MATCH(V$2,indexy_SDcast!$2:$2,0)),"#ekrk")),"#popis")</f>
        <v>-10288.051892506895</v>
      </c>
      <c r="W1503" s="365">
        <f>IF($Q1503="ekrk",IF($R1503="data",IFERROR(INDEX(data!$A:$ALL,MATCH($M1503,data!$A:$A,0),MATCH(W$2,data!$1:$1,0)),"#data"),IFERROR(V1503*INDEX(indexy_SDcast!$A:$ALI,MATCH($R1503,indexy_SDcast!$K:$K,0),MATCH(W$2,indexy_SDcast!$2:$2,0)),"#ekrk")),"#popis")</f>
        <v>-10743.069106828014</v>
      </c>
      <c r="X1503" s="365">
        <f>IF($Q1503="ekrk",IF($R1503="data",IFERROR(INDEX(data!$A:$ALL,MATCH($M1503,data!$A:$A,0),MATCH(X$2,data!$1:$1,0)),"#data"),IFERROR(W1503*INDEX(indexy_SDcast!$A:$ALI,MATCH($R1503,indexy_SDcast!$K:$K,0),MATCH(X$2,indexy_SDcast!$2:$2,0)),"#ekrk")),"#popis")</f>
        <v>-11284.879488724742</v>
      </c>
      <c r="Y1503" s="362">
        <f>IF($Q1503="ekrk",IF($R1503="data",IFERROR(INDEX(data!$A:$ALL,MATCH($M1503,data!$A:$A,0),MATCH(Y$2,data!$1:$1,0)),"#data"),IFERROR(X1503*INDEX(indexy_SDcast!$A:$ALI,MATCH($R1503,indexy_SDcast!$K:$K,0),MATCH(Y$2,indexy_SDcast!$2:$2,0)),"#ekrk")),"#popis")</f>
        <v>-11906.446361495871</v>
      </c>
    </row>
    <row r="1504" spans="1:44" x14ac:dyDescent="0.25">
      <c r="A1504" s="330">
        <v>714001</v>
      </c>
      <c r="B1504" s="329">
        <v>-33632.863340000004</v>
      </c>
      <c r="C1504" s="157"/>
      <c r="D1504" s="330">
        <v>714001</v>
      </c>
      <c r="E1504" s="329">
        <v>-33632.863340000004</v>
      </c>
      <c r="F1504" s="157"/>
      <c r="G1504" s="330">
        <v>714001</v>
      </c>
      <c r="H1504" s="329">
        <v>-33632.863340000004</v>
      </c>
      <c r="I1504" s="157"/>
      <c r="J1504" s="330">
        <v>714001</v>
      </c>
      <c r="K1504" s="329">
        <v>-33632.863340000004</v>
      </c>
      <c r="L1504" s="157"/>
      <c r="M1504" s="360">
        <f t="shared" si="158"/>
        <v>714001</v>
      </c>
      <c r="N1504" s="237">
        <f t="shared" si="159"/>
        <v>-33632.863340000004</v>
      </c>
      <c r="O1504" s="361"/>
      <c r="P1504" s="361"/>
      <c r="Q1504" s="361" t="s">
        <v>698</v>
      </c>
      <c r="R1504" s="362">
        <f>IF(Q1504="ekrk",INDEX(indexy_SDcast!$A:$C,MATCH($M1504,indexy_SDcast!$A:$A,0),2),"")</f>
        <v>37</v>
      </c>
      <c r="S1504" s="236"/>
      <c r="T1504" s="364">
        <f t="shared" si="161"/>
        <v>714001</v>
      </c>
      <c r="U1504" s="365">
        <f t="shared" si="162"/>
        <v>-33632.863340000004</v>
      </c>
      <c r="V1504" s="365">
        <f>IF($Q1504="ekrk",IF($R1504="data",IFERROR(INDEX(data!$A:$ALL,MATCH($M1504,data!$A:$A,0),MATCH(V$2,data!$1:$1,0)),"#data"),IFERROR(U1504*INDEX(indexy_SDcast!$A:$ALI,MATCH($R1504,indexy_SDcast!$K:$K,0),MATCH(V$2,indexy_SDcast!$2:$2,0)),"#ekrk")),"#popis")</f>
        <v>-34724.798155286742</v>
      </c>
      <c r="W1504" s="365">
        <f>IF($Q1504="ekrk",IF($R1504="data",IFERROR(INDEX(data!$A:$ALL,MATCH($M1504,data!$A:$A,0),MATCH(W$2,data!$1:$1,0)),"#data"),IFERROR(V1504*INDEX(indexy_SDcast!$A:$ALI,MATCH($R1504,indexy_SDcast!$K:$K,0),MATCH(W$2,indexy_SDcast!$2:$2,0)),"#ekrk")),"#popis")</f>
        <v>-36260.597263764183</v>
      </c>
      <c r="X1504" s="365">
        <f>IF($Q1504="ekrk",IF($R1504="data",IFERROR(INDEX(data!$A:$ALL,MATCH($M1504,data!$A:$A,0),MATCH(X$2,data!$1:$1,0)),"#data"),IFERROR(W1504*INDEX(indexy_SDcast!$A:$ALI,MATCH($R1504,indexy_SDcast!$K:$K,0),MATCH(X$2,indexy_SDcast!$2:$2,0)),"#ekrk")),"#popis")</f>
        <v>-38089.345441395919</v>
      </c>
      <c r="Y1504" s="362">
        <f>IF($Q1504="ekrk",IF($R1504="data",IFERROR(INDEX(data!$A:$ALL,MATCH($M1504,data!$A:$A,0),MATCH(Y$2,data!$1:$1,0)),"#data"),IFERROR(X1504*INDEX(indexy_SDcast!$A:$ALI,MATCH($R1504,indexy_SDcast!$K:$K,0),MATCH(Y$2,indexy_SDcast!$2:$2,0)),"#ekrk")),"#popis")</f>
        <v>-40187.292110260445</v>
      </c>
    </row>
    <row r="1505" spans="1:25" x14ac:dyDescent="0.25">
      <c r="A1505" s="330">
        <v>714002</v>
      </c>
      <c r="B1505" s="329">
        <v>-210.29219999999998</v>
      </c>
      <c r="C1505" s="157"/>
      <c r="D1505" s="330">
        <v>714002</v>
      </c>
      <c r="E1505" s="329">
        <v>-210.29219999999998</v>
      </c>
      <c r="F1505" s="157"/>
      <c r="G1505" s="330">
        <v>714002</v>
      </c>
      <c r="H1505" s="329">
        <v>-210.29219999999998</v>
      </c>
      <c r="I1505" s="157"/>
      <c r="J1505" s="330">
        <v>714002</v>
      </c>
      <c r="K1505" s="329">
        <v>-210.29219999999998</v>
      </c>
      <c r="L1505" s="157"/>
      <c r="M1505" s="360">
        <f t="shared" si="158"/>
        <v>714002</v>
      </c>
      <c r="N1505" s="237">
        <f t="shared" si="159"/>
        <v>-210.29219999999998</v>
      </c>
      <c r="O1505" s="361"/>
      <c r="P1505" s="361"/>
      <c r="Q1505" s="361" t="s">
        <v>698</v>
      </c>
      <c r="R1505" s="362">
        <f>IF(Q1505="ekrk",INDEX(indexy_SDcast!$A:$C,MATCH($M1505,indexy_SDcast!$A:$A,0),2),"")</f>
        <v>37</v>
      </c>
      <c r="S1505" s="236"/>
      <c r="T1505" s="364">
        <f t="shared" si="161"/>
        <v>714002</v>
      </c>
      <c r="U1505" s="365">
        <f t="shared" si="162"/>
        <v>-210.29219999999998</v>
      </c>
      <c r="V1505" s="365">
        <f>IF($Q1505="ekrk",IF($R1505="data",IFERROR(INDEX(data!$A:$ALL,MATCH($M1505,data!$A:$A,0),MATCH(V$2,data!$1:$1,0)),"#data"),IFERROR(U1505*INDEX(indexy_SDcast!$A:$ALI,MATCH($R1505,indexy_SDcast!$K:$K,0),MATCH(V$2,indexy_SDcast!$2:$2,0)),"#ekrk")),"#popis")</f>
        <v>-217.1196108047811</v>
      </c>
      <c r="W1505" s="365">
        <f>IF($Q1505="ekrk",IF($R1505="data",IFERROR(INDEX(data!$A:$ALL,MATCH($M1505,data!$A:$A,0),MATCH(W$2,data!$1:$1,0)),"#data"),IFERROR(V1505*INDEX(indexy_SDcast!$A:$ALI,MATCH($R1505,indexy_SDcast!$K:$K,0),MATCH(W$2,indexy_SDcast!$2:$2,0)),"#ekrk")),"#popis")</f>
        <v>-226.7223190254532</v>
      </c>
      <c r="X1505" s="365">
        <f>IF($Q1505="ekrk",IF($R1505="data",IFERROR(INDEX(data!$A:$ALL,MATCH($M1505,data!$A:$A,0),MATCH(X$2,data!$1:$1,0)),"#data"),IFERROR(W1505*INDEX(indexy_SDcast!$A:$ALI,MATCH($R1505,indexy_SDcast!$K:$K,0),MATCH(X$2,indexy_SDcast!$2:$2,0)),"#ekrk")),"#popis")</f>
        <v>-238.15671500989478</v>
      </c>
      <c r="Y1505" s="362">
        <f>IF($Q1505="ekrk",IF($R1505="data",IFERROR(INDEX(data!$A:$ALL,MATCH($M1505,data!$A:$A,0),MATCH(Y$2,data!$1:$1,0)),"#data"),IFERROR(X1505*INDEX(indexy_SDcast!$A:$ALI,MATCH($R1505,indexy_SDcast!$K:$K,0),MATCH(Y$2,indexy_SDcast!$2:$2,0)),"#ekrk")),"#popis")</f>
        <v>-251.27429634747568</v>
      </c>
    </row>
    <row r="1506" spans="1:25" x14ac:dyDescent="0.25">
      <c r="A1506" s="330">
        <v>714003</v>
      </c>
      <c r="B1506" s="329">
        <v>-1151.78953</v>
      </c>
      <c r="C1506" s="157"/>
      <c r="D1506" s="330">
        <v>714003</v>
      </c>
      <c r="E1506" s="329">
        <v>-1151.78953</v>
      </c>
      <c r="F1506" s="157"/>
      <c r="G1506" s="330">
        <v>714003</v>
      </c>
      <c r="H1506" s="329">
        <v>-1151.78953</v>
      </c>
      <c r="I1506" s="157"/>
      <c r="J1506" s="330">
        <v>714003</v>
      </c>
      <c r="K1506" s="329">
        <v>-1151.78953</v>
      </c>
      <c r="L1506" s="157"/>
      <c r="M1506" s="360">
        <f t="shared" si="158"/>
        <v>714003</v>
      </c>
      <c r="N1506" s="237">
        <f t="shared" si="159"/>
        <v>-1151.78953</v>
      </c>
      <c r="O1506" s="361"/>
      <c r="P1506" s="361"/>
      <c r="Q1506" s="361" t="s">
        <v>698</v>
      </c>
      <c r="R1506" s="362">
        <f>IF(Q1506="ekrk",INDEX(indexy_SDcast!$A:$C,MATCH($M1506,indexy_SDcast!$A:$A,0),2),"")</f>
        <v>37</v>
      </c>
      <c r="S1506" s="236"/>
      <c r="T1506" s="364">
        <f t="shared" si="161"/>
        <v>714003</v>
      </c>
      <c r="U1506" s="365">
        <f t="shared" si="162"/>
        <v>-1151.78953</v>
      </c>
      <c r="V1506" s="365">
        <f>IF($Q1506="ekrk",IF($R1506="data",IFERROR(INDEX(data!$A:$ALL,MATCH($M1506,data!$A:$A,0),MATCH(V$2,data!$1:$1,0)),"#data"),IFERROR(U1506*INDEX(indexy_SDcast!$A:$ALI,MATCH($R1506,indexy_SDcast!$K:$K,0),MATCH(V$2,indexy_SDcast!$2:$2,0)),"#ekrk")),"#popis")</f>
        <v>-1189.1838807270158</v>
      </c>
      <c r="W1506" s="365">
        <f>IF($Q1506="ekrk",IF($R1506="data",IFERROR(INDEX(data!$A:$ALL,MATCH($M1506,data!$A:$A,0),MATCH(W$2,data!$1:$1,0)),"#data"),IFERROR(V1506*INDEX(indexy_SDcast!$A:$ALI,MATCH($R1506,indexy_SDcast!$K:$K,0),MATCH(W$2,indexy_SDcast!$2:$2,0)),"#ekrk")),"#popis")</f>
        <v>-1241.7787881378233</v>
      </c>
      <c r="X1506" s="365">
        <f>IF($Q1506="ekrk",IF($R1506="data",IFERROR(INDEX(data!$A:$ALL,MATCH($M1506,data!$A:$A,0),MATCH(X$2,data!$1:$1,0)),"#data"),IFERROR(W1506*INDEX(indexy_SDcast!$A:$ALI,MATCH($R1506,indexy_SDcast!$K:$K,0),MATCH(X$2,indexy_SDcast!$2:$2,0)),"#ekrk")),"#popis")</f>
        <v>-1304.4060162364112</v>
      </c>
      <c r="Y1506" s="362">
        <f>IF($Q1506="ekrk",IF($R1506="data",IFERROR(INDEX(data!$A:$ALL,MATCH($M1506,data!$A:$A,0),MATCH(Y$2,data!$1:$1,0)),"#data"),IFERROR(X1506*INDEX(indexy_SDcast!$A:$ALI,MATCH($R1506,indexy_SDcast!$K:$K,0),MATCH(Y$2,indexy_SDcast!$2:$2,0)),"#ekrk")),"#popis")</f>
        <v>-1376.2522037961451</v>
      </c>
    </row>
    <row r="1507" spans="1:25" x14ac:dyDescent="0.25">
      <c r="A1507" s="330">
        <v>714004</v>
      </c>
      <c r="B1507" s="329">
        <v>-4974.9554999999982</v>
      </c>
      <c r="C1507" s="157"/>
      <c r="D1507" s="330">
        <v>714004</v>
      </c>
      <c r="E1507" s="329">
        <v>-4974.9554999999982</v>
      </c>
      <c r="F1507" s="157"/>
      <c r="G1507" s="330">
        <v>714004</v>
      </c>
      <c r="H1507" s="329">
        <v>-4974.9554999999982</v>
      </c>
      <c r="I1507" s="157"/>
      <c r="J1507" s="330">
        <v>714004</v>
      </c>
      <c r="K1507" s="329">
        <v>-4974.9554999999982</v>
      </c>
      <c r="L1507" s="157"/>
      <c r="M1507" s="360">
        <f t="shared" si="158"/>
        <v>714004</v>
      </c>
      <c r="N1507" s="237">
        <f t="shared" si="159"/>
        <v>-4974.9554999999982</v>
      </c>
      <c r="O1507" s="361"/>
      <c r="P1507" s="361"/>
      <c r="Q1507" s="361" t="s">
        <v>698</v>
      </c>
      <c r="R1507" s="362">
        <f>IF(Q1507="ekrk",INDEX(indexy_SDcast!$A:$C,MATCH($M1507,indexy_SDcast!$A:$A,0),2),"")</f>
        <v>37</v>
      </c>
      <c r="S1507" s="236"/>
      <c r="T1507" s="364">
        <f t="shared" si="161"/>
        <v>714004</v>
      </c>
      <c r="U1507" s="365">
        <f t="shared" si="162"/>
        <v>-4974.9554999999982</v>
      </c>
      <c r="V1507" s="365">
        <f>IF($Q1507="ekrk",IF($R1507="data",IFERROR(INDEX(data!$A:$ALL,MATCH($M1507,data!$A:$A,0),MATCH(V$2,data!$1:$1,0)),"#data"),IFERROR(U1507*INDEX(indexy_SDcast!$A:$ALI,MATCH($R1507,indexy_SDcast!$K:$K,0),MATCH(V$2,indexy_SDcast!$2:$2,0)),"#ekrk")),"#popis")</f>
        <v>-5136.4739250010452</v>
      </c>
      <c r="W1507" s="365">
        <f>IF($Q1507="ekrk",IF($R1507="data",IFERROR(INDEX(data!$A:$ALL,MATCH($M1507,data!$A:$A,0),MATCH(W$2,data!$1:$1,0)),"#data"),IFERROR(V1507*INDEX(indexy_SDcast!$A:$ALI,MATCH($R1507,indexy_SDcast!$K:$K,0),MATCH(W$2,indexy_SDcast!$2:$2,0)),"#ekrk")),"#popis")</f>
        <v>-5363.6485233804806</v>
      </c>
      <c r="X1507" s="365">
        <f>IF($Q1507="ekrk",IF($R1507="data",IFERROR(INDEX(data!$A:$ALL,MATCH($M1507,data!$A:$A,0),MATCH(X$2,data!$1:$1,0)),"#data"),IFERROR(W1507*INDEX(indexy_SDcast!$A:$ALI,MATCH($R1507,indexy_SDcast!$K:$K,0),MATCH(X$2,indexy_SDcast!$2:$2,0)),"#ekrk")),"#popis")</f>
        <v>-5634.1559943754846</v>
      </c>
      <c r="Y1507" s="362">
        <f>IF($Q1507="ekrk",IF($R1507="data",IFERROR(INDEX(data!$A:$ALL,MATCH($M1507,data!$A:$A,0),MATCH(Y$2,data!$1:$1,0)),"#data"),IFERROR(X1507*INDEX(indexy_SDcast!$A:$ALI,MATCH($R1507,indexy_SDcast!$K:$K,0),MATCH(Y$2,indexy_SDcast!$2:$2,0)),"#ekrk")),"#popis")</f>
        <v>-5944.4831649604866</v>
      </c>
    </row>
    <row r="1508" spans="1:25" x14ac:dyDescent="0.25">
      <c r="A1508" s="330">
        <v>714005</v>
      </c>
      <c r="B1508" s="329">
        <v>-14640.758000000003</v>
      </c>
      <c r="C1508" s="157"/>
      <c r="D1508" s="330">
        <v>714005</v>
      </c>
      <c r="E1508" s="329">
        <v>-14640.758000000003</v>
      </c>
      <c r="F1508" s="157"/>
      <c r="G1508" s="330">
        <v>714005</v>
      </c>
      <c r="H1508" s="329">
        <v>-14640.758000000003</v>
      </c>
      <c r="I1508" s="157"/>
      <c r="J1508" s="330">
        <v>714005</v>
      </c>
      <c r="K1508" s="329">
        <v>-14640.758000000003</v>
      </c>
      <c r="L1508" s="157"/>
      <c r="M1508" s="360">
        <f t="shared" si="158"/>
        <v>714005</v>
      </c>
      <c r="N1508" s="237">
        <f t="shared" si="159"/>
        <v>-14640.758000000003</v>
      </c>
      <c r="O1508" s="361"/>
      <c r="P1508" s="361"/>
      <c r="Q1508" s="361" t="s">
        <v>698</v>
      </c>
      <c r="R1508" s="362">
        <f>IF(Q1508="ekrk",INDEX(indexy_SDcast!$A:$C,MATCH($M1508,indexy_SDcast!$A:$A,0),2),"")</f>
        <v>37</v>
      </c>
      <c r="S1508" s="236"/>
      <c r="T1508" s="364">
        <f t="shared" si="161"/>
        <v>714005</v>
      </c>
      <c r="U1508" s="365">
        <f t="shared" si="162"/>
        <v>-14640.758000000003</v>
      </c>
      <c r="V1508" s="365">
        <f>IF($Q1508="ekrk",IF($R1508="data",IFERROR(INDEX(data!$A:$ALL,MATCH($M1508,data!$A:$A,0),MATCH(V$2,data!$1:$1,0)),"#data"),IFERROR(U1508*INDEX(indexy_SDcast!$A:$ALI,MATCH($R1508,indexy_SDcast!$K:$K,0),MATCH(V$2,indexy_SDcast!$2:$2,0)),"#ekrk")),"#popis")</f>
        <v>-15116.08932165333</v>
      </c>
      <c r="W1508" s="365">
        <f>IF($Q1508="ekrk",IF($R1508="data",IFERROR(INDEX(data!$A:$ALL,MATCH($M1508,data!$A:$A,0),MATCH(W$2,data!$1:$1,0)),"#data"),IFERROR(V1508*INDEX(indexy_SDcast!$A:$ALI,MATCH($R1508,indexy_SDcast!$K:$K,0),MATCH(W$2,indexy_SDcast!$2:$2,0)),"#ekrk")),"#popis")</f>
        <v>-15784.639687303938</v>
      </c>
      <c r="X1508" s="365">
        <f>IF($Q1508="ekrk",IF($R1508="data",IFERROR(INDEX(data!$A:$ALL,MATCH($M1508,data!$A:$A,0),MATCH(X$2,data!$1:$1,0)),"#data"),IFERROR(W1508*INDEX(indexy_SDcast!$A:$ALI,MATCH($R1508,indexy_SDcast!$K:$K,0),MATCH(X$2,indexy_SDcast!$2:$2,0)),"#ekrk")),"#popis")</f>
        <v>-16580.714028075403</v>
      </c>
      <c r="Y1508" s="362">
        <f>IF($Q1508="ekrk",IF($R1508="data",IFERROR(INDEX(data!$A:$ALL,MATCH($M1508,data!$A:$A,0),MATCH(Y$2,data!$1:$1,0)),"#data"),IFERROR(X1508*INDEX(indexy_SDcast!$A:$ALI,MATCH($R1508,indexy_SDcast!$K:$K,0),MATCH(Y$2,indexy_SDcast!$2:$2,0)),"#ekrk")),"#popis")</f>
        <v>-17493.973454287305</v>
      </c>
    </row>
    <row r="1509" spans="1:25" x14ac:dyDescent="0.25">
      <c r="A1509" s="330">
        <v>714006</v>
      </c>
      <c r="B1509" s="329">
        <v>-711.1</v>
      </c>
      <c r="C1509" s="157"/>
      <c r="D1509" s="330">
        <v>714006</v>
      </c>
      <c r="E1509" s="329">
        <v>-711.1</v>
      </c>
      <c r="F1509" s="157"/>
      <c r="G1509" s="330">
        <v>714006</v>
      </c>
      <c r="H1509" s="329">
        <v>-711.1</v>
      </c>
      <c r="I1509" s="157"/>
      <c r="J1509" s="330">
        <v>714006</v>
      </c>
      <c r="K1509" s="329">
        <v>-711.1</v>
      </c>
      <c r="L1509" s="157"/>
      <c r="M1509" s="360">
        <f t="shared" si="158"/>
        <v>714006</v>
      </c>
      <c r="N1509" s="237">
        <f t="shared" si="159"/>
        <v>-711.1</v>
      </c>
      <c r="O1509" s="361"/>
      <c r="P1509" s="361"/>
      <c r="Q1509" s="361" t="s">
        <v>698</v>
      </c>
      <c r="R1509" s="362">
        <f>IF(Q1509="ekrk",INDEX(indexy_SDcast!$A:$C,MATCH($M1509,indexy_SDcast!$A:$A,0),2),"")</f>
        <v>37</v>
      </c>
      <c r="S1509" s="236"/>
      <c r="T1509" s="364">
        <f t="shared" si="161"/>
        <v>714006</v>
      </c>
      <c r="U1509" s="365">
        <f t="shared" si="162"/>
        <v>-711.1</v>
      </c>
      <c r="V1509" s="365">
        <f>IF($Q1509="ekrk",IF($R1509="data",IFERROR(INDEX(data!$A:$ALL,MATCH($M1509,data!$A:$A,0),MATCH(V$2,data!$1:$1,0)),"#data"),IFERROR(U1509*INDEX(indexy_SDcast!$A:$ALI,MATCH($R1509,indexy_SDcast!$K:$K,0),MATCH(V$2,indexy_SDcast!$2:$2,0)),"#ekrk")),"#popis")</f>
        <v>-734.18678982520441</v>
      </c>
      <c r="W1509" s="365">
        <f>IF($Q1509="ekrk",IF($R1509="data",IFERROR(INDEX(data!$A:$ALL,MATCH($M1509,data!$A:$A,0),MATCH(W$2,data!$1:$1,0)),"#data"),IFERROR(V1509*INDEX(indexy_SDcast!$A:$ALI,MATCH($R1509,indexy_SDcast!$K:$K,0),MATCH(W$2,indexy_SDcast!$2:$2,0)),"#ekrk")),"#popis")</f>
        <v>-766.65820728966537</v>
      </c>
      <c r="X1509" s="365">
        <f>IF($Q1509="ekrk",IF($R1509="data",IFERROR(INDEX(data!$A:$ALL,MATCH($M1509,data!$A:$A,0),MATCH(X$2,data!$1:$1,0)),"#data"),IFERROR(W1509*INDEX(indexy_SDcast!$A:$ALI,MATCH($R1509,indexy_SDcast!$K:$K,0),MATCH(X$2,indexy_SDcast!$2:$2,0)),"#ekrk")),"#popis")</f>
        <v>-805.32345014953557</v>
      </c>
      <c r="Y1509" s="362">
        <f>IF($Q1509="ekrk",IF($R1509="data",IFERROR(INDEX(data!$A:$ALL,MATCH($M1509,data!$A:$A,0),MATCH(Y$2,data!$1:$1,0)),"#data"),IFERROR(X1509*INDEX(indexy_SDcast!$A:$ALI,MATCH($R1509,indexy_SDcast!$K:$K,0),MATCH(Y$2,indexy_SDcast!$2:$2,0)),"#ekrk")),"#popis")</f>
        <v>-849.68035967425294</v>
      </c>
    </row>
    <row r="1510" spans="1:25" x14ac:dyDescent="0.25">
      <c r="A1510" s="330">
        <v>716000</v>
      </c>
      <c r="B1510" s="329">
        <v>-16288.878010000011</v>
      </c>
      <c r="C1510" s="157"/>
      <c r="D1510" s="330">
        <v>716000</v>
      </c>
      <c r="E1510" s="329">
        <v>-16288.878010000011</v>
      </c>
      <c r="F1510" s="157"/>
      <c r="G1510" s="330">
        <v>716000</v>
      </c>
      <c r="H1510" s="329">
        <v>-16288.878010000011</v>
      </c>
      <c r="I1510" s="157"/>
      <c r="J1510" s="330">
        <v>716000</v>
      </c>
      <c r="K1510" s="329">
        <v>-16288.878010000011</v>
      </c>
      <c r="L1510" s="157"/>
      <c r="M1510" s="360">
        <f t="shared" si="158"/>
        <v>716000</v>
      </c>
      <c r="N1510" s="237">
        <f t="shared" si="159"/>
        <v>-16288.878010000011</v>
      </c>
      <c r="O1510" s="361"/>
      <c r="P1510" s="361"/>
      <c r="Q1510" s="361" t="s">
        <v>698</v>
      </c>
      <c r="R1510" s="362">
        <f>IF(Q1510="ekrk",INDEX(indexy_SDcast!$A:$C,MATCH($M1510,indexy_SDcast!$A:$A,0),2),"")</f>
        <v>37</v>
      </c>
      <c r="S1510" s="236"/>
      <c r="T1510" s="364">
        <f t="shared" si="161"/>
        <v>716000</v>
      </c>
      <c r="U1510" s="365">
        <f t="shared" si="162"/>
        <v>-16288.878010000011</v>
      </c>
      <c r="V1510" s="365">
        <f>IF($Q1510="ekrk",IF($R1510="data",IFERROR(INDEX(data!$A:$ALL,MATCH($M1510,data!$A:$A,0),MATCH(V$2,data!$1:$1,0)),"#data"),IFERROR(U1510*INDEX(indexy_SDcast!$A:$ALI,MATCH($R1510,indexy_SDcast!$K:$K,0),MATCH(V$2,indexy_SDcast!$2:$2,0)),"#ekrk")),"#popis")</f>
        <v>-16817.717699361936</v>
      </c>
      <c r="W1510" s="365">
        <f>IF($Q1510="ekrk",IF($R1510="data",IFERROR(INDEX(data!$A:$ALL,MATCH($M1510,data!$A:$A,0),MATCH(W$2,data!$1:$1,0)),"#data"),IFERROR(V1510*INDEX(indexy_SDcast!$A:$ALI,MATCH($R1510,indexy_SDcast!$K:$K,0),MATCH(W$2,indexy_SDcast!$2:$2,0)),"#ekrk")),"#popis")</f>
        <v>-17561.527230919226</v>
      </c>
      <c r="X1510" s="365">
        <f>IF($Q1510="ekrk",IF($R1510="data",IFERROR(INDEX(data!$A:$ALL,MATCH($M1510,data!$A:$A,0),MATCH(X$2,data!$1:$1,0)),"#data"),IFERROR(W1510*INDEX(indexy_SDcast!$A:$ALI,MATCH($R1510,indexy_SDcast!$K:$K,0),MATCH(X$2,indexy_SDcast!$2:$2,0)),"#ekrk")),"#popis")</f>
        <v>-18447.216197550431</v>
      </c>
      <c r="Y1510" s="362">
        <f>IF($Q1510="ekrk",IF($R1510="data",IFERROR(INDEX(data!$A:$ALL,MATCH($M1510,data!$A:$A,0),MATCH(Y$2,data!$1:$1,0)),"#data"),IFERROR(X1510*INDEX(indexy_SDcast!$A:$ALI,MATCH($R1510,indexy_SDcast!$K:$K,0),MATCH(Y$2,indexy_SDcast!$2:$2,0)),"#ekrk")),"#popis")</f>
        <v>-19463.281853785462</v>
      </c>
    </row>
    <row r="1511" spans="1:25" x14ac:dyDescent="0.25">
      <c r="A1511" s="330">
        <v>717000</v>
      </c>
      <c r="B1511" s="329">
        <v>-70.421690000000012</v>
      </c>
      <c r="C1511" s="157"/>
      <c r="D1511" s="330">
        <v>717000</v>
      </c>
      <c r="E1511" s="329">
        <v>-70.421690000000012</v>
      </c>
      <c r="F1511" s="157"/>
      <c r="G1511" s="330">
        <v>717000</v>
      </c>
      <c r="H1511" s="329">
        <v>-70.421690000000012</v>
      </c>
      <c r="I1511" s="157"/>
      <c r="J1511" s="330">
        <v>717000</v>
      </c>
      <c r="K1511" s="329">
        <v>-70.421690000000012</v>
      </c>
      <c r="L1511" s="157"/>
      <c r="M1511" s="360">
        <f t="shared" si="158"/>
        <v>717000</v>
      </c>
      <c r="N1511" s="237">
        <f t="shared" si="159"/>
        <v>-70.421690000000012</v>
      </c>
      <c r="O1511" s="361"/>
      <c r="P1511" s="361"/>
      <c r="Q1511" s="361" t="s">
        <v>698</v>
      </c>
      <c r="R1511" s="362">
        <f>IF(Q1511="ekrk",INDEX(indexy_SDcast!$A:$C,MATCH($M1511,indexy_SDcast!$A:$A,0),2),"")</f>
        <v>37</v>
      </c>
      <c r="S1511" s="236"/>
      <c r="T1511" s="364">
        <f t="shared" si="161"/>
        <v>717000</v>
      </c>
      <c r="U1511" s="365">
        <f t="shared" si="162"/>
        <v>-70.421690000000012</v>
      </c>
      <c r="V1511" s="365">
        <f>IF($Q1511="ekrk",IF($R1511="data",IFERROR(INDEX(data!$A:$ALL,MATCH($M1511,data!$A:$A,0),MATCH(V$2,data!$1:$1,0)),"#data"),IFERROR(U1511*INDEX(indexy_SDcast!$A:$ALI,MATCH($R1511,indexy_SDcast!$K:$K,0),MATCH(V$2,indexy_SDcast!$2:$2,0)),"#ekrk")),"#popis")</f>
        <v>-72.708022099797091</v>
      </c>
      <c r="W1511" s="365">
        <f>IF($Q1511="ekrk",IF($R1511="data",IFERROR(INDEX(data!$A:$ALL,MATCH($M1511,data!$A:$A,0),MATCH(W$2,data!$1:$1,0)),"#data"),IFERROR(V1511*INDEX(indexy_SDcast!$A:$ALI,MATCH($R1511,indexy_SDcast!$K:$K,0),MATCH(W$2,indexy_SDcast!$2:$2,0)),"#ekrk")),"#popis")</f>
        <v>-75.923733103232408</v>
      </c>
      <c r="X1511" s="365">
        <f>IF($Q1511="ekrk",IF($R1511="data",IFERROR(INDEX(data!$A:$ALL,MATCH($M1511,data!$A:$A,0),MATCH(X$2,data!$1:$1,0)),"#data"),IFERROR(W1511*INDEX(indexy_SDcast!$A:$ALI,MATCH($R1511,indexy_SDcast!$K:$K,0),MATCH(X$2,indexy_SDcast!$2:$2,0)),"#ekrk")),"#popis")</f>
        <v>-79.752831326340967</v>
      </c>
      <c r="Y1511" s="362">
        <f>IF($Q1511="ekrk",IF($R1511="data",IFERROR(INDEX(data!$A:$ALL,MATCH($M1511,data!$A:$A,0),MATCH(Y$2,data!$1:$1,0)),"#data"),IFERROR(X1511*INDEX(indexy_SDcast!$A:$ALI,MATCH($R1511,indexy_SDcast!$K:$K,0),MATCH(Y$2,indexy_SDcast!$2:$2,0)),"#ekrk")),"#popis")</f>
        <v>-84.145586961142953</v>
      </c>
    </row>
    <row r="1512" spans="1:25" x14ac:dyDescent="0.25">
      <c r="A1512" s="330">
        <v>717001</v>
      </c>
      <c r="B1512" s="329">
        <v>-140591.8903518602</v>
      </c>
      <c r="C1512" s="157"/>
      <c r="D1512" s="330">
        <v>717001</v>
      </c>
      <c r="E1512" s="329">
        <v>-140591.8903518602</v>
      </c>
      <c r="F1512" s="157"/>
      <c r="G1512" s="330">
        <v>717001</v>
      </c>
      <c r="H1512" s="356">
        <f>E1512+E1525</f>
        <v>-451984.8903518602</v>
      </c>
      <c r="I1512" s="157"/>
      <c r="J1512" s="330">
        <v>717001</v>
      </c>
      <c r="K1512" s="329">
        <f>H1512+H1525</f>
        <v>-451984.8903518602</v>
      </c>
      <c r="L1512" s="157"/>
      <c r="M1512" s="360">
        <f t="shared" si="158"/>
        <v>717001</v>
      </c>
      <c r="N1512" s="237">
        <f t="shared" si="159"/>
        <v>-451984.8903518602</v>
      </c>
      <c r="O1512" s="361"/>
      <c r="P1512" s="361"/>
      <c r="Q1512" s="361" t="s">
        <v>698</v>
      </c>
      <c r="R1512" s="362">
        <f>IF(Q1512="ekrk",INDEX(indexy_SDcast!$A:$C,MATCH($M1512,indexy_SDcast!$A:$A,0),2),"")</f>
        <v>37</v>
      </c>
      <c r="S1512" s="236"/>
      <c r="T1512" s="364">
        <f t="shared" si="161"/>
        <v>717001</v>
      </c>
      <c r="U1512" s="365">
        <f t="shared" si="162"/>
        <v>-451984.8903518602</v>
      </c>
      <c r="V1512" s="365">
        <f>IF($Q1512="ekrk",IF($R1512="data",IFERROR(INDEX(data!$A:$ALL,MATCH($M1512,data!$A:$A,0),MATCH(V$2,data!$1:$1,0)),"#data"),IFERROR(U1512*INDEX(indexy_SDcast!$A:$ALI,MATCH($R1512,indexy_SDcast!$K:$K,0),MATCH(V$2,indexy_SDcast!$2:$2,0)),"#ekrk")),"#popis")</f>
        <v>-466659.16987333604</v>
      </c>
      <c r="W1512" s="365">
        <f>IF($Q1512="ekrk",IF($R1512="data",IFERROR(INDEX(data!$A:$ALL,MATCH($M1512,data!$A:$A,0),MATCH(W$2,data!$1:$1,0)),"#data"),IFERROR(V1512*INDEX(indexy_SDcast!$A:$ALI,MATCH($R1512,indexy_SDcast!$K:$K,0),MATCH(W$2,indexy_SDcast!$2:$2,0)),"#ekrk")),"#popis")</f>
        <v>-487298.44713707373</v>
      </c>
      <c r="X1512" s="365">
        <f>IF($Q1512="ekrk",IF($R1512="data",IFERROR(INDEX(data!$A:$ALL,MATCH($M1512,data!$A:$A,0),MATCH(X$2,data!$1:$1,0)),"#data"),IFERROR(W1512*INDEX(indexy_SDcast!$A:$ALI,MATCH($R1512,indexy_SDcast!$K:$K,0),MATCH(X$2,indexy_SDcast!$2:$2,0)),"#ekrk")),"#popis")</f>
        <v>-511874.60457547411</v>
      </c>
      <c r="Y1512" s="362">
        <f>IF($Q1512="ekrk",IF($R1512="data",IFERROR(INDEX(data!$A:$ALL,MATCH($M1512,data!$A:$A,0),MATCH(Y$2,data!$1:$1,0)),"#data"),IFERROR(X1512*INDEX(indexy_SDcast!$A:$ALI,MATCH($R1512,indexy_SDcast!$K:$K,0),MATCH(Y$2,indexy_SDcast!$2:$2,0)),"#ekrk")),"#popis")</f>
        <v>-540068.4632280923</v>
      </c>
    </row>
    <row r="1513" spans="1:25" x14ac:dyDescent="0.25">
      <c r="A1513" s="330">
        <v>717002</v>
      </c>
      <c r="B1513" s="329">
        <v>-153484.09389417263</v>
      </c>
      <c r="C1513" s="157"/>
      <c r="D1513" s="330">
        <v>717002</v>
      </c>
      <c r="E1513" s="329">
        <v>-153484.09389417263</v>
      </c>
      <c r="F1513" s="157"/>
      <c r="G1513" s="330">
        <v>717002</v>
      </c>
      <c r="H1513" s="329">
        <v>-153484.09389417263</v>
      </c>
      <c r="I1513" s="157"/>
      <c r="J1513" s="330">
        <v>717002</v>
      </c>
      <c r="K1513" s="329">
        <v>-153484.09389417263</v>
      </c>
      <c r="L1513" s="157"/>
      <c r="M1513" s="360">
        <f t="shared" si="158"/>
        <v>717002</v>
      </c>
      <c r="N1513" s="237">
        <f t="shared" si="159"/>
        <v>-153484.09389417263</v>
      </c>
      <c r="O1513" s="361"/>
      <c r="P1513" s="361"/>
      <c r="Q1513" s="361" t="s">
        <v>698</v>
      </c>
      <c r="R1513" s="362">
        <f>IF(Q1513="ekrk",INDEX(indexy_SDcast!$A:$C,MATCH($M1513,indexy_SDcast!$A:$A,0),2),"")</f>
        <v>37</v>
      </c>
      <c r="S1513" s="236"/>
      <c r="T1513" s="364">
        <f t="shared" si="161"/>
        <v>717002</v>
      </c>
      <c r="U1513" s="365">
        <f t="shared" si="162"/>
        <v>-153484.09389417263</v>
      </c>
      <c r="V1513" s="365">
        <f>IF($Q1513="ekrk",IF($R1513="data",IFERROR(INDEX(data!$A:$ALL,MATCH($M1513,data!$A:$A,0),MATCH(V$2,data!$1:$1,0)),"#data"),IFERROR(U1513*INDEX(indexy_SDcast!$A:$ALI,MATCH($R1513,indexy_SDcast!$K:$K,0),MATCH(V$2,indexy_SDcast!$2:$2,0)),"#ekrk")),"#popis")</f>
        <v>-158467.15537251142</v>
      </c>
      <c r="W1513" s="365">
        <f>IF($Q1513="ekrk",IF($R1513="data",IFERROR(INDEX(data!$A:$ALL,MATCH($M1513,data!$A:$A,0),MATCH(W$2,data!$1:$1,0)),"#data"),IFERROR(V1513*INDEX(indexy_SDcast!$A:$ALI,MATCH($R1513,indexy_SDcast!$K:$K,0),MATCH(W$2,indexy_SDcast!$2:$2,0)),"#ekrk")),"#popis")</f>
        <v>-165475.79844239217</v>
      </c>
      <c r="X1513" s="365">
        <f>IF($Q1513="ekrk",IF($R1513="data",IFERROR(INDEX(data!$A:$ALL,MATCH($M1513,data!$A:$A,0),MATCH(X$2,data!$1:$1,0)),"#data"),IFERROR(W1513*INDEX(indexy_SDcast!$A:$ALI,MATCH($R1513,indexy_SDcast!$K:$K,0),MATCH(X$2,indexy_SDcast!$2:$2,0)),"#ekrk")),"#popis")</f>
        <v>-173821.31913645111</v>
      </c>
      <c r="Y1513" s="362">
        <f>IF($Q1513="ekrk",IF($R1513="data",IFERROR(INDEX(data!$A:$ALL,MATCH($M1513,data!$A:$A,0),MATCH(Y$2,data!$1:$1,0)),"#data"),IFERROR(X1513*INDEX(indexy_SDcast!$A:$ALI,MATCH($R1513,indexy_SDcast!$K:$K,0),MATCH(Y$2,indexy_SDcast!$2:$2,0)),"#ekrk")),"#popis")</f>
        <v>-183395.33132369208</v>
      </c>
    </row>
    <row r="1514" spans="1:25" x14ac:dyDescent="0.25">
      <c r="A1514" s="330">
        <v>717003</v>
      </c>
      <c r="B1514" s="329">
        <v>-11857.231915363252</v>
      </c>
      <c r="C1514" s="157"/>
      <c r="D1514" s="330">
        <v>717003</v>
      </c>
      <c r="E1514" s="329">
        <v>-11857.231915363252</v>
      </c>
      <c r="F1514" s="157"/>
      <c r="G1514" s="330">
        <v>717003</v>
      </c>
      <c r="H1514" s="329">
        <v>-11857.231915363252</v>
      </c>
      <c r="I1514" s="157"/>
      <c r="J1514" s="330">
        <v>717003</v>
      </c>
      <c r="K1514" s="329">
        <v>-11857.231915363252</v>
      </c>
      <c r="L1514" s="157"/>
      <c r="M1514" s="360">
        <f t="shared" si="158"/>
        <v>717003</v>
      </c>
      <c r="N1514" s="237">
        <f t="shared" si="159"/>
        <v>-11857.231915363252</v>
      </c>
      <c r="O1514" s="361"/>
      <c r="P1514" s="361"/>
      <c r="Q1514" s="361" t="s">
        <v>698</v>
      </c>
      <c r="R1514" s="362">
        <f>IF(Q1514="ekrk",INDEX(indexy_SDcast!$A:$C,MATCH($M1514,indexy_SDcast!$A:$A,0),2),"")</f>
        <v>37</v>
      </c>
      <c r="S1514" s="236"/>
      <c r="T1514" s="364">
        <f t="shared" si="161"/>
        <v>717003</v>
      </c>
      <c r="U1514" s="365">
        <f t="shared" si="162"/>
        <v>-11857.231915363252</v>
      </c>
      <c r="V1514" s="365">
        <f>IF($Q1514="ekrk",IF($R1514="data",IFERROR(INDEX(data!$A:$ALL,MATCH($M1514,data!$A:$A,0),MATCH(V$2,data!$1:$1,0)),"#data"),IFERROR(U1514*INDEX(indexy_SDcast!$A:$ALI,MATCH($R1514,indexy_SDcast!$K:$K,0),MATCH(V$2,indexy_SDcast!$2:$2,0)),"#ekrk")),"#popis")</f>
        <v>-12242.192428847569</v>
      </c>
      <c r="W1514" s="365">
        <f>IF($Q1514="ekrk",IF($R1514="data",IFERROR(INDEX(data!$A:$ALL,MATCH($M1514,data!$A:$A,0),MATCH(W$2,data!$1:$1,0)),"#data"),IFERROR(V1514*INDEX(indexy_SDcast!$A:$ALI,MATCH($R1514,indexy_SDcast!$K:$K,0),MATCH(W$2,indexy_SDcast!$2:$2,0)),"#ekrk")),"#popis")</f>
        <v>-12783.636849458862</v>
      </c>
      <c r="X1514" s="365">
        <f>IF($Q1514="ekrk",IF($R1514="data",IFERROR(INDEX(data!$A:$ALL,MATCH($M1514,data!$A:$A,0),MATCH(X$2,data!$1:$1,0)),"#data"),IFERROR(W1514*INDEX(indexy_SDcast!$A:$ALI,MATCH($R1514,indexy_SDcast!$K:$K,0),MATCH(X$2,indexy_SDcast!$2:$2,0)),"#ekrk")),"#popis")</f>
        <v>-13428.360167773199</v>
      </c>
      <c r="Y1514" s="362">
        <f>IF($Q1514="ekrk",IF($R1514="data",IFERROR(INDEX(data!$A:$ALL,MATCH($M1514,data!$A:$A,0),MATCH(Y$2,data!$1:$1,0)),"#data"),IFERROR(X1514*INDEX(indexy_SDcast!$A:$ALI,MATCH($R1514,indexy_SDcast!$K:$K,0),MATCH(Y$2,indexy_SDcast!$2:$2,0)),"#ekrk")),"#popis")</f>
        <v>-14167.98914159314</v>
      </c>
    </row>
    <row r="1515" spans="1:25" x14ac:dyDescent="0.25">
      <c r="A1515" s="330">
        <v>718002</v>
      </c>
      <c r="B1515" s="329">
        <v>-271.73518999999999</v>
      </c>
      <c r="C1515" s="157"/>
      <c r="D1515" s="330">
        <v>718002</v>
      </c>
      <c r="E1515" s="329">
        <v>-271.73518999999999</v>
      </c>
      <c r="F1515" s="157"/>
      <c r="G1515" s="330">
        <v>718002</v>
      </c>
      <c r="H1515" s="329">
        <v>-271.73518999999999</v>
      </c>
      <c r="I1515" s="157"/>
      <c r="J1515" s="330">
        <v>718002</v>
      </c>
      <c r="K1515" s="329">
        <v>-271.73518999999999</v>
      </c>
      <c r="L1515" s="157"/>
      <c r="M1515" s="360">
        <f t="shared" si="158"/>
        <v>718002</v>
      </c>
      <c r="N1515" s="237">
        <f t="shared" si="159"/>
        <v>-271.73518999999999</v>
      </c>
      <c r="O1515" s="361"/>
      <c r="P1515" s="361"/>
      <c r="Q1515" s="361" t="s">
        <v>698</v>
      </c>
      <c r="R1515" s="362">
        <f>IF(Q1515="ekrk",INDEX(indexy_SDcast!$A:$C,MATCH($M1515,indexy_SDcast!$A:$A,0),2),"")</f>
        <v>37</v>
      </c>
      <c r="S1515" s="236"/>
      <c r="T1515" s="364">
        <f t="shared" si="161"/>
        <v>718002</v>
      </c>
      <c r="U1515" s="365">
        <f t="shared" si="162"/>
        <v>-271.73518999999999</v>
      </c>
      <c r="V1515" s="365">
        <f>IF($Q1515="ekrk",IF($R1515="data",IFERROR(INDEX(data!$A:$ALL,MATCH($M1515,data!$A:$A,0),MATCH(V$2,data!$1:$1,0)),"#data"),IFERROR(U1515*INDEX(indexy_SDcast!$A:$ALI,MATCH($R1515,indexy_SDcast!$K:$K,0),MATCH(V$2,indexy_SDcast!$2:$2,0)),"#ekrk")),"#popis")</f>
        <v>-280.5574276875854</v>
      </c>
      <c r="W1515" s="365">
        <f>IF($Q1515="ekrk",IF($R1515="data",IFERROR(INDEX(data!$A:$ALL,MATCH($M1515,data!$A:$A,0),MATCH(W$2,data!$1:$1,0)),"#data"),IFERROR(V1515*INDEX(indexy_SDcast!$A:$ALI,MATCH($R1515,indexy_SDcast!$K:$K,0),MATCH(W$2,indexy_SDcast!$2:$2,0)),"#ekrk")),"#popis")</f>
        <v>-292.9658467485819</v>
      </c>
      <c r="X1515" s="365">
        <f>IF($Q1515="ekrk",IF($R1515="data",IFERROR(INDEX(data!$A:$ALL,MATCH($M1515,data!$A:$A,0),MATCH(X$2,data!$1:$1,0)),"#data"),IFERROR(W1515*INDEX(indexy_SDcast!$A:$ALI,MATCH($R1515,indexy_SDcast!$K:$K,0),MATCH(X$2,indexy_SDcast!$2:$2,0)),"#ekrk")),"#popis")</f>
        <v>-307.74113449281333</v>
      </c>
      <c r="Y1515" s="362">
        <f>IF($Q1515="ekrk",IF($R1515="data",IFERROR(INDEX(data!$A:$ALL,MATCH($M1515,data!$A:$A,0),MATCH(Y$2,data!$1:$1,0)),"#data"),IFERROR(X1515*INDEX(indexy_SDcast!$A:$ALI,MATCH($R1515,indexy_SDcast!$K:$K,0),MATCH(Y$2,indexy_SDcast!$2:$2,0)),"#ekrk")),"#popis")</f>
        <v>-324.69139920595057</v>
      </c>
    </row>
    <row r="1516" spans="1:25" x14ac:dyDescent="0.25">
      <c r="A1516" s="330">
        <v>718003</v>
      </c>
      <c r="B1516" s="329">
        <v>-156.67023</v>
      </c>
      <c r="C1516" s="157"/>
      <c r="D1516" s="330">
        <v>718003</v>
      </c>
      <c r="E1516" s="329">
        <v>-156.67023</v>
      </c>
      <c r="F1516" s="157"/>
      <c r="G1516" s="330">
        <v>718003</v>
      </c>
      <c r="H1516" s="329">
        <v>-156.67023</v>
      </c>
      <c r="I1516" s="157"/>
      <c r="J1516" s="330">
        <v>718003</v>
      </c>
      <c r="K1516" s="329">
        <v>-156.67023</v>
      </c>
      <c r="L1516" s="157"/>
      <c r="M1516" s="360">
        <f t="shared" si="158"/>
        <v>718003</v>
      </c>
      <c r="N1516" s="237">
        <f t="shared" si="159"/>
        <v>-156.67023</v>
      </c>
      <c r="O1516" s="361"/>
      <c r="P1516" s="361"/>
      <c r="Q1516" s="361" t="s">
        <v>698</v>
      </c>
      <c r="R1516" s="362">
        <f>IF(Q1516="ekrk",INDEX(indexy_SDcast!$A:$C,MATCH($M1516,indexy_SDcast!$A:$A,0),2),"")</f>
        <v>37</v>
      </c>
      <c r="S1516" s="236"/>
      <c r="T1516" s="364">
        <f t="shared" si="161"/>
        <v>718003</v>
      </c>
      <c r="U1516" s="365">
        <f t="shared" si="162"/>
        <v>-156.67023</v>
      </c>
      <c r="V1516" s="365">
        <f>IF($Q1516="ekrk",IF($R1516="data",IFERROR(INDEX(data!$A:$ALL,MATCH($M1516,data!$A:$A,0),MATCH(V$2,data!$1:$1,0)),"#data"),IFERROR(U1516*INDEX(indexy_SDcast!$A:$ALI,MATCH($R1516,indexy_SDcast!$K:$K,0),MATCH(V$2,indexy_SDcast!$2:$2,0)),"#ekrk")),"#popis")</f>
        <v>-161.75673354644414</v>
      </c>
      <c r="W1516" s="365">
        <f>IF($Q1516="ekrk",IF($R1516="data",IFERROR(INDEX(data!$A:$ALL,MATCH($M1516,data!$A:$A,0),MATCH(W$2,data!$1:$1,0)),"#data"),IFERROR(V1516*INDEX(indexy_SDcast!$A:$ALI,MATCH($R1516,indexy_SDcast!$K:$K,0),MATCH(W$2,indexy_SDcast!$2:$2,0)),"#ekrk")),"#popis")</f>
        <v>-168.91086720216501</v>
      </c>
      <c r="X1516" s="365">
        <f>IF($Q1516="ekrk",IF($R1516="data",IFERROR(INDEX(data!$A:$ALL,MATCH($M1516,data!$A:$A,0),MATCH(X$2,data!$1:$1,0)),"#data"),IFERROR(W1516*INDEX(indexy_SDcast!$A:$ALI,MATCH($R1516,indexy_SDcast!$K:$K,0),MATCH(X$2,indexy_SDcast!$2:$2,0)),"#ekrk")),"#popis")</f>
        <v>-177.42963037452014</v>
      </c>
      <c r="Y1516" s="362">
        <f>IF($Q1516="ekrk",IF($R1516="data",IFERROR(INDEX(data!$A:$ALL,MATCH($M1516,data!$A:$A,0),MATCH(Y$2,data!$1:$1,0)),"#data"),IFERROR(X1516*INDEX(indexy_SDcast!$A:$ALI,MATCH($R1516,indexy_SDcast!$K:$K,0),MATCH(Y$2,indexy_SDcast!$2:$2,0)),"#ekrk")),"#popis")</f>
        <v>-187.20238697320764</v>
      </c>
    </row>
    <row r="1517" spans="1:25" x14ac:dyDescent="0.25">
      <c r="A1517" s="330">
        <v>718004</v>
      </c>
      <c r="B1517" s="329">
        <v>-1038.9225800000004</v>
      </c>
      <c r="C1517" s="157"/>
      <c r="D1517" s="330">
        <v>718004</v>
      </c>
      <c r="E1517" s="329">
        <v>-1038.9225800000004</v>
      </c>
      <c r="F1517" s="157"/>
      <c r="G1517" s="330">
        <v>718004</v>
      </c>
      <c r="H1517" s="329">
        <v>-1038.9225800000004</v>
      </c>
      <c r="I1517" s="157"/>
      <c r="J1517" s="330">
        <v>718004</v>
      </c>
      <c r="K1517" s="329">
        <v>-1038.9225800000004</v>
      </c>
      <c r="L1517" s="157"/>
      <c r="M1517" s="360">
        <f t="shared" ref="M1517:M1549" si="163">J1517</f>
        <v>718004</v>
      </c>
      <c r="N1517" s="237">
        <f t="shared" ref="N1517:N1549" si="164">K1517</f>
        <v>-1038.9225800000004</v>
      </c>
      <c r="O1517" s="361"/>
      <c r="P1517" s="361"/>
      <c r="Q1517" s="361" t="s">
        <v>698</v>
      </c>
      <c r="R1517" s="362">
        <f>IF(Q1517="ekrk",INDEX(indexy_SDcast!$A:$C,MATCH($M1517,indexy_SDcast!$A:$A,0),2),"")</f>
        <v>37</v>
      </c>
      <c r="S1517" s="236"/>
      <c r="T1517" s="364">
        <f t="shared" si="161"/>
        <v>718004</v>
      </c>
      <c r="U1517" s="365">
        <f t="shared" si="162"/>
        <v>-1038.9225800000004</v>
      </c>
      <c r="V1517" s="365">
        <f>IF($Q1517="ekrk",IF($R1517="data",IFERROR(INDEX(data!$A:$ALL,MATCH($M1517,data!$A:$A,0),MATCH(V$2,data!$1:$1,0)),"#data"),IFERROR(U1517*INDEX(indexy_SDcast!$A:$ALI,MATCH($R1517,indexy_SDcast!$K:$K,0),MATCH(V$2,indexy_SDcast!$2:$2,0)),"#ekrk")),"#popis")</f>
        <v>-1072.6525578499779</v>
      </c>
      <c r="W1517" s="365">
        <f>IF($Q1517="ekrk",IF($R1517="data",IFERROR(INDEX(data!$A:$ALL,MATCH($M1517,data!$A:$A,0),MATCH(W$2,data!$1:$1,0)),"#data"),IFERROR(V1517*INDEX(indexy_SDcast!$A:$ALI,MATCH($R1517,indexy_SDcast!$K:$K,0),MATCH(W$2,indexy_SDcast!$2:$2,0)),"#ekrk")),"#popis")</f>
        <v>-1120.0935490023262</v>
      </c>
      <c r="X1517" s="365">
        <f>IF($Q1517="ekrk",IF($R1517="data",IFERROR(INDEX(data!$A:$ALL,MATCH($M1517,data!$A:$A,0),MATCH(X$2,data!$1:$1,0)),"#data"),IFERROR(W1517*INDEX(indexy_SDcast!$A:$ALI,MATCH($R1517,indexy_SDcast!$K:$K,0),MATCH(X$2,indexy_SDcast!$2:$2,0)),"#ekrk")),"#popis")</f>
        <v>-1176.5837667892802</v>
      </c>
      <c r="Y1517" s="362">
        <f>IF($Q1517="ekrk",IF($R1517="data",IFERROR(INDEX(data!$A:$ALL,MATCH($M1517,data!$A:$A,0),MATCH(Y$2,data!$1:$1,0)),"#data"),IFERROR(X1517*INDEX(indexy_SDcast!$A:$ALI,MATCH($R1517,indexy_SDcast!$K:$K,0),MATCH(Y$2,indexy_SDcast!$2:$2,0)),"#ekrk")),"#popis")</f>
        <v>-1241.3895534356675</v>
      </c>
    </row>
    <row r="1518" spans="1:25" x14ac:dyDescent="0.25">
      <c r="A1518" s="330">
        <v>718005</v>
      </c>
      <c r="B1518" s="329">
        <v>-3063.1142399999994</v>
      </c>
      <c r="C1518" s="157"/>
      <c r="D1518" s="330">
        <v>718005</v>
      </c>
      <c r="E1518" s="329">
        <v>-3063.1142399999994</v>
      </c>
      <c r="F1518" s="157"/>
      <c r="G1518" s="330">
        <v>718005</v>
      </c>
      <c r="H1518" s="329">
        <v>-3063.1142399999994</v>
      </c>
      <c r="I1518" s="157"/>
      <c r="J1518" s="330">
        <v>718005</v>
      </c>
      <c r="K1518" s="329">
        <v>-3063.1142399999994</v>
      </c>
      <c r="L1518" s="157"/>
      <c r="M1518" s="360">
        <f t="shared" si="163"/>
        <v>718005</v>
      </c>
      <c r="N1518" s="237">
        <f t="shared" si="164"/>
        <v>-3063.1142399999994</v>
      </c>
      <c r="O1518" s="361"/>
      <c r="P1518" s="361"/>
      <c r="Q1518" s="361" t="s">
        <v>698</v>
      </c>
      <c r="R1518" s="362">
        <f>IF(Q1518="ekrk",INDEX(indexy_SDcast!$A:$C,MATCH($M1518,indexy_SDcast!$A:$A,0),2),"")</f>
        <v>37</v>
      </c>
      <c r="S1518" s="236"/>
      <c r="T1518" s="364">
        <f t="shared" si="161"/>
        <v>718005</v>
      </c>
      <c r="U1518" s="365">
        <f t="shared" si="162"/>
        <v>-3063.1142399999994</v>
      </c>
      <c r="V1518" s="365">
        <f>IF($Q1518="ekrk",IF($R1518="data",IFERROR(INDEX(data!$A:$ALL,MATCH($M1518,data!$A:$A,0),MATCH(V$2,data!$1:$1,0)),"#data"),IFERROR(U1518*INDEX(indexy_SDcast!$A:$ALI,MATCH($R1518,indexy_SDcast!$K:$K,0),MATCH(V$2,indexy_SDcast!$2:$2,0)),"#ekrk")),"#popis")</f>
        <v>-3162.5622426289838</v>
      </c>
      <c r="W1518" s="365">
        <f>IF($Q1518="ekrk",IF($R1518="data",IFERROR(INDEX(data!$A:$ALL,MATCH($M1518,data!$A:$A,0),MATCH(W$2,data!$1:$1,0)),"#data"),IFERROR(V1518*INDEX(indexy_SDcast!$A:$ALI,MATCH($R1518,indexy_SDcast!$K:$K,0),MATCH(W$2,indexy_SDcast!$2:$2,0)),"#ekrk")),"#popis")</f>
        <v>-3302.4352017463725</v>
      </c>
      <c r="X1518" s="365">
        <f>IF($Q1518="ekrk",IF($R1518="data",IFERROR(INDEX(data!$A:$ALL,MATCH($M1518,data!$A:$A,0),MATCH(X$2,data!$1:$1,0)),"#data"),IFERROR(W1518*INDEX(indexy_SDcast!$A:$ALI,MATCH($R1518,indexy_SDcast!$K:$K,0),MATCH(X$2,indexy_SDcast!$2:$2,0)),"#ekrk")),"#popis")</f>
        <v>-3468.9885078877405</v>
      </c>
      <c r="Y1518" s="362">
        <f>IF($Q1518="ekrk",IF($R1518="data",IFERROR(INDEX(data!$A:$ALL,MATCH($M1518,data!$A:$A,0),MATCH(Y$2,data!$1:$1,0)),"#data"),IFERROR(X1518*INDEX(indexy_SDcast!$A:$ALI,MATCH($R1518,indexy_SDcast!$K:$K,0),MATCH(Y$2,indexy_SDcast!$2:$2,0)),"#ekrk")),"#popis")</f>
        <v>-3660.0590763134942</v>
      </c>
    </row>
    <row r="1519" spans="1:25" x14ac:dyDescent="0.25">
      <c r="A1519" s="330">
        <v>718007</v>
      </c>
      <c r="B1519" s="329">
        <v>-202.54944</v>
      </c>
      <c r="C1519" s="157"/>
      <c r="D1519" s="330">
        <v>718007</v>
      </c>
      <c r="E1519" s="329">
        <v>-202.54944</v>
      </c>
      <c r="F1519" s="157"/>
      <c r="G1519" s="330">
        <v>718007</v>
      </c>
      <c r="H1519" s="329">
        <v>-202.54944</v>
      </c>
      <c r="I1519" s="157"/>
      <c r="J1519" s="330">
        <v>718007</v>
      </c>
      <c r="K1519" s="329">
        <v>-202.54944</v>
      </c>
      <c r="L1519" s="157"/>
      <c r="M1519" s="360">
        <f t="shared" si="163"/>
        <v>718007</v>
      </c>
      <c r="N1519" s="237">
        <f t="shared" si="164"/>
        <v>-202.54944</v>
      </c>
      <c r="O1519" s="361"/>
      <c r="P1519" s="361"/>
      <c r="Q1519" s="361" t="s">
        <v>698</v>
      </c>
      <c r="R1519" s="362">
        <f>IF(Q1519="ekrk",INDEX(indexy_SDcast!$A:$C,MATCH($M1519,indexy_SDcast!$A:$A,0),2),"")</f>
        <v>37</v>
      </c>
      <c r="S1519" s="236"/>
      <c r="T1519" s="364">
        <f t="shared" si="161"/>
        <v>718007</v>
      </c>
      <c r="U1519" s="365">
        <f t="shared" si="162"/>
        <v>-202.54944</v>
      </c>
      <c r="V1519" s="365">
        <f>IF($Q1519="ekrk",IF($R1519="data",IFERROR(INDEX(data!$A:$ALL,MATCH($M1519,data!$A:$A,0),MATCH(V$2,data!$1:$1,0)),"#data"),IFERROR(U1519*INDEX(indexy_SDcast!$A:$ALI,MATCH($R1519,indexy_SDcast!$K:$K,0),MATCH(V$2,indexy_SDcast!$2:$2,0)),"#ekrk")),"#popis")</f>
        <v>-209.12547199338047</v>
      </c>
      <c r="W1519" s="365">
        <f>IF($Q1519="ekrk",IF($R1519="data",IFERROR(INDEX(data!$A:$ALL,MATCH($M1519,data!$A:$A,0),MATCH(W$2,data!$1:$1,0)),"#data"),IFERROR(V1519*INDEX(indexy_SDcast!$A:$ALI,MATCH($R1519,indexy_SDcast!$K:$K,0),MATCH(W$2,indexy_SDcast!$2:$2,0)),"#ekrk")),"#popis")</f>
        <v>-218.37461757548255</v>
      </c>
      <c r="X1519" s="365">
        <f>IF($Q1519="ekrk",IF($R1519="data",IFERROR(INDEX(data!$A:$ALL,MATCH($M1519,data!$A:$A,0),MATCH(X$2,data!$1:$1,0)),"#data"),IFERROR(W1519*INDEX(indexy_SDcast!$A:$ALI,MATCH($R1519,indexy_SDcast!$K:$K,0),MATCH(X$2,indexy_SDcast!$2:$2,0)),"#ekrk")),"#popis")</f>
        <v>-229.38800990951535</v>
      </c>
      <c r="Y1519" s="362">
        <f>IF($Q1519="ekrk",IF($R1519="data",IFERROR(INDEX(data!$A:$ALL,MATCH($M1519,data!$A:$A,0),MATCH(Y$2,data!$1:$1,0)),"#data"),IFERROR(X1519*INDEX(indexy_SDcast!$A:$ALI,MATCH($R1519,indexy_SDcast!$K:$K,0),MATCH(Y$2,indexy_SDcast!$2:$2,0)),"#ekrk")),"#popis")</f>
        <v>-242.02261430321832</v>
      </c>
    </row>
    <row r="1520" spans="1:25" x14ac:dyDescent="0.25">
      <c r="A1520" s="330">
        <v>719000</v>
      </c>
      <c r="B1520" s="329">
        <v>-2994.8279100000004</v>
      </c>
      <c r="C1520" s="157"/>
      <c r="D1520" s="330">
        <v>719000</v>
      </c>
      <c r="E1520" s="329">
        <v>-2994.8279100000004</v>
      </c>
      <c r="F1520" s="157"/>
      <c r="G1520" s="330">
        <v>719000</v>
      </c>
      <c r="H1520" s="329">
        <v>-2994.8279100000004</v>
      </c>
      <c r="I1520" s="157"/>
      <c r="J1520" s="330">
        <v>719000</v>
      </c>
      <c r="K1520" s="329">
        <v>-2994.8279100000004</v>
      </c>
      <c r="L1520" s="157"/>
      <c r="M1520" s="360">
        <f t="shared" si="163"/>
        <v>719000</v>
      </c>
      <c r="N1520" s="237">
        <f t="shared" si="164"/>
        <v>-2994.8279100000004</v>
      </c>
      <c r="O1520" s="361"/>
      <c r="P1520" s="361"/>
      <c r="Q1520" s="361" t="s">
        <v>698</v>
      </c>
      <c r="R1520" s="362">
        <f>IF(Q1520="ekrk",INDEX(indexy_SDcast!$A:$C,MATCH($M1520,indexy_SDcast!$A:$A,0),2),"")</f>
        <v>37</v>
      </c>
      <c r="S1520" s="236"/>
      <c r="T1520" s="364">
        <f t="shared" si="161"/>
        <v>719000</v>
      </c>
      <c r="U1520" s="365">
        <f t="shared" si="162"/>
        <v>-2994.8279100000004</v>
      </c>
      <c r="V1520" s="365">
        <f>IF($Q1520="ekrk",IF($R1520="data",IFERROR(INDEX(data!$A:$ALL,MATCH($M1520,data!$A:$A,0),MATCH(V$2,data!$1:$1,0)),"#data"),IFERROR(U1520*INDEX(indexy_SDcast!$A:$ALI,MATCH($R1520,indexy_SDcast!$K:$K,0),MATCH(V$2,indexy_SDcast!$2:$2,0)),"#ekrk")),"#popis")</f>
        <v>-3092.0589077792524</v>
      </c>
      <c r="W1520" s="365">
        <f>IF($Q1520="ekrk",IF($R1520="data",IFERROR(INDEX(data!$A:$ALL,MATCH($M1520,data!$A:$A,0),MATCH(W$2,data!$1:$1,0)),"#data"),IFERROR(V1520*INDEX(indexy_SDcast!$A:$ALI,MATCH($R1520,indexy_SDcast!$K:$K,0),MATCH(W$2,indexy_SDcast!$2:$2,0)),"#ekrk")),"#popis")</f>
        <v>-3228.8136642127065</v>
      </c>
      <c r="X1520" s="365">
        <f>IF($Q1520="ekrk",IF($R1520="data",IFERROR(INDEX(data!$A:$ALL,MATCH($M1520,data!$A:$A,0),MATCH(X$2,data!$1:$1,0)),"#data"),IFERROR(W1520*INDEX(indexy_SDcast!$A:$ALI,MATCH($R1520,indexy_SDcast!$K:$K,0),MATCH(X$2,indexy_SDcast!$2:$2,0)),"#ekrk")),"#popis")</f>
        <v>-3391.6539798696713</v>
      </c>
      <c r="Y1520" s="362">
        <f>IF($Q1520="ekrk",IF($R1520="data",IFERROR(INDEX(data!$A:$ALL,MATCH($M1520,data!$A:$A,0),MATCH(Y$2,data!$1:$1,0)),"#data"),IFERROR(X1520*INDEX(indexy_SDcast!$A:$ALI,MATCH($R1520,indexy_SDcast!$K:$K,0),MATCH(Y$2,indexy_SDcast!$2:$2,0)),"#ekrk")),"#popis")</f>
        <v>-3578.4649918876275</v>
      </c>
    </row>
    <row r="1521" spans="1:44" x14ac:dyDescent="0.25">
      <c r="A1521" s="330">
        <v>719001</v>
      </c>
      <c r="B1521" s="329">
        <v>-393.92421999999999</v>
      </c>
      <c r="C1521" s="157"/>
      <c r="D1521" s="330">
        <v>719001</v>
      </c>
      <c r="E1521" s="329">
        <v>-393.92421999999999</v>
      </c>
      <c r="F1521" s="157"/>
      <c r="G1521" s="330">
        <v>719001</v>
      </c>
      <c r="H1521" s="329">
        <v>-393.92421999999999</v>
      </c>
      <c r="I1521" s="157"/>
      <c r="J1521" s="330">
        <v>719001</v>
      </c>
      <c r="K1521" s="329">
        <v>-393.92421999999999</v>
      </c>
      <c r="L1521" s="157"/>
      <c r="M1521" s="360">
        <f t="shared" si="163"/>
        <v>719001</v>
      </c>
      <c r="N1521" s="237">
        <f t="shared" si="164"/>
        <v>-393.92421999999999</v>
      </c>
      <c r="O1521" s="361"/>
      <c r="P1521" s="361"/>
      <c r="Q1521" s="361" t="s">
        <v>698</v>
      </c>
      <c r="R1521" s="362">
        <f>IF(Q1521="ekrk",INDEX(indexy_SDcast!$A:$C,MATCH($M1521,indexy_SDcast!$A:$A,0),2),"")</f>
        <v>37</v>
      </c>
      <c r="S1521" s="236"/>
      <c r="T1521" s="364">
        <f t="shared" si="161"/>
        <v>719001</v>
      </c>
      <c r="U1521" s="365">
        <f t="shared" si="162"/>
        <v>-393.92421999999999</v>
      </c>
      <c r="V1521" s="365">
        <f>IF($Q1521="ekrk",IF($R1521="data",IFERROR(INDEX(data!$A:$ALL,MATCH($M1521,data!$A:$A,0),MATCH(V$2,data!$1:$1,0)),"#data"),IFERROR(U1521*INDEX(indexy_SDcast!$A:$ALI,MATCH($R1521,indexy_SDcast!$K:$K,0),MATCH(V$2,indexy_SDcast!$2:$2,0)),"#ekrk")),"#popis")</f>
        <v>-406.71348406159132</v>
      </c>
      <c r="W1521" s="365">
        <f>IF($Q1521="ekrk",IF($R1521="data",IFERROR(INDEX(data!$A:$ALL,MATCH($M1521,data!$A:$A,0),MATCH(W$2,data!$1:$1,0)),"#data"),IFERROR(V1521*INDEX(indexy_SDcast!$A:$ALI,MATCH($R1521,indexy_SDcast!$K:$K,0),MATCH(W$2,indexy_SDcast!$2:$2,0)),"#ekrk")),"#popis")</f>
        <v>-424.70149952633915</v>
      </c>
      <c r="X1521" s="365">
        <f>IF($Q1521="ekrk",IF($R1521="data",IFERROR(INDEX(data!$A:$ALL,MATCH($M1521,data!$A:$A,0),MATCH(X$2,data!$1:$1,0)),"#data"),IFERROR(W1521*INDEX(indexy_SDcast!$A:$ALI,MATCH($R1521,indexy_SDcast!$K:$K,0),MATCH(X$2,indexy_SDcast!$2:$2,0)),"#ekrk")),"#popis")</f>
        <v>-446.12067493723066</v>
      </c>
      <c r="Y1521" s="362">
        <f>IF($Q1521="ekrk",IF($R1521="data",IFERROR(INDEX(data!$A:$ALL,MATCH($M1521,data!$A:$A,0),MATCH(Y$2,data!$1:$1,0)),"#data"),IFERROR(X1521*INDEX(indexy_SDcast!$A:$ALI,MATCH($R1521,indexy_SDcast!$K:$K,0),MATCH(Y$2,indexy_SDcast!$2:$2,0)),"#ekrk")),"#popis")</f>
        <v>-470.69283213893908</v>
      </c>
    </row>
    <row r="1522" spans="1:44" x14ac:dyDescent="0.25">
      <c r="A1522" s="330">
        <v>719012</v>
      </c>
      <c r="B1522" s="329">
        <v>-1607.2694099999999</v>
      </c>
      <c r="C1522" s="157"/>
      <c r="D1522" s="330">
        <v>719012</v>
      </c>
      <c r="E1522" s="329">
        <v>-1607.2694099999999</v>
      </c>
      <c r="F1522" s="157"/>
      <c r="G1522" s="330">
        <v>719012</v>
      </c>
      <c r="H1522" s="329">
        <v>-1607.2694099999999</v>
      </c>
      <c r="I1522" s="157"/>
      <c r="J1522" s="330">
        <v>719012</v>
      </c>
      <c r="K1522" s="329">
        <v>-1607.2694099999999</v>
      </c>
      <c r="L1522" s="157"/>
      <c r="M1522" s="360">
        <f t="shared" si="163"/>
        <v>719012</v>
      </c>
      <c r="N1522" s="237">
        <f t="shared" si="164"/>
        <v>-1607.2694099999999</v>
      </c>
      <c r="O1522" s="361"/>
      <c r="P1522" s="361"/>
      <c r="Q1522" s="361" t="s">
        <v>698</v>
      </c>
      <c r="R1522" s="362">
        <f>IF(Q1522="ekrk",INDEX(indexy_SDcast!$A:$C,MATCH($M1522,indexy_SDcast!$A:$A,0),2),"")</f>
        <v>37</v>
      </c>
      <c r="S1522" s="236"/>
      <c r="T1522" s="364">
        <f t="shared" si="161"/>
        <v>719012</v>
      </c>
      <c r="U1522" s="365">
        <f t="shared" si="162"/>
        <v>-1607.2694099999999</v>
      </c>
      <c r="V1522" s="365">
        <f>IF($Q1522="ekrk",IF($R1522="data",IFERROR(INDEX(data!$A:$ALL,MATCH($M1522,data!$A:$A,0),MATCH(V$2,data!$1:$1,0)),"#data"),IFERROR(U1522*INDEX(indexy_SDcast!$A:$ALI,MATCH($R1522,indexy_SDcast!$K:$K,0),MATCH(V$2,indexy_SDcast!$2:$2,0)),"#ekrk")),"#popis")</f>
        <v>-1659.4515096500495</v>
      </c>
      <c r="W1522" s="365">
        <f>IF($Q1522="ekrk",IF($R1522="data",IFERROR(INDEX(data!$A:$ALL,MATCH($M1522,data!$A:$A,0),MATCH(W$2,data!$1:$1,0)),"#data"),IFERROR(V1522*INDEX(indexy_SDcast!$A:$ALI,MATCH($R1522,indexy_SDcast!$K:$K,0),MATCH(W$2,indexy_SDcast!$2:$2,0)),"#ekrk")),"#popis")</f>
        <v>-1732.8452882887332</v>
      </c>
      <c r="X1522" s="365">
        <f>IF($Q1522="ekrk",IF($R1522="data",IFERROR(INDEX(data!$A:$ALL,MATCH($M1522,data!$A:$A,0),MATCH(X$2,data!$1:$1,0)),"#data"),IFERROR(W1522*INDEX(indexy_SDcast!$A:$ALI,MATCH($R1522,indexy_SDcast!$K:$K,0),MATCH(X$2,indexy_SDcast!$2:$2,0)),"#ekrk")),"#popis")</f>
        <v>-1820.2387098593847</v>
      </c>
      <c r="Y1522" s="362">
        <f>IF($Q1522="ekrk",IF($R1522="data",IFERROR(INDEX(data!$A:$ALL,MATCH($M1522,data!$A:$A,0),MATCH(Y$2,data!$1:$1,0)),"#data"),IFERROR(X1522*INDEX(indexy_SDcast!$A:$ALI,MATCH($R1522,indexy_SDcast!$K:$K,0),MATCH(Y$2,indexy_SDcast!$2:$2,0)),"#ekrk")),"#popis")</f>
        <v>-1920.4967661119736</v>
      </c>
    </row>
    <row r="1523" spans="1:44" x14ac:dyDescent="0.25">
      <c r="A1523" s="330">
        <v>719013</v>
      </c>
      <c r="B1523" s="329">
        <v>-2</v>
      </c>
      <c r="C1523" s="157"/>
      <c r="D1523" s="330">
        <v>719013</v>
      </c>
      <c r="E1523" s="329">
        <v>-2</v>
      </c>
      <c r="F1523" s="157"/>
      <c r="G1523" s="330">
        <v>719013</v>
      </c>
      <c r="H1523" s="329">
        <v>-2</v>
      </c>
      <c r="I1523" s="157"/>
      <c r="J1523" s="330">
        <v>719013</v>
      </c>
      <c r="K1523" s="329">
        <v>-2</v>
      </c>
      <c r="L1523" s="157"/>
      <c r="M1523" s="360">
        <f t="shared" si="163"/>
        <v>719013</v>
      </c>
      <c r="N1523" s="237">
        <f t="shared" si="164"/>
        <v>-2</v>
      </c>
      <c r="O1523" s="361"/>
      <c r="P1523" s="361"/>
      <c r="Q1523" s="361" t="s">
        <v>698</v>
      </c>
      <c r="R1523" s="362">
        <f>IF(Q1523="ekrk",INDEX(indexy_SDcast!$A:$C,MATCH($M1523,indexy_SDcast!$A:$A,0),2),"")</f>
        <v>37</v>
      </c>
      <c r="S1523" s="236"/>
      <c r="T1523" s="364">
        <f t="shared" si="161"/>
        <v>719013</v>
      </c>
      <c r="U1523" s="365">
        <f t="shared" si="162"/>
        <v>-2</v>
      </c>
      <c r="V1523" s="365">
        <f>IF($Q1523="ekrk",IF($R1523="data",IFERROR(INDEX(data!$A:$ALL,MATCH($M1523,data!$A:$A,0),MATCH(V$2,data!$1:$1,0)),"#data"),IFERROR(U1523*INDEX(indexy_SDcast!$A:$ALI,MATCH($R1523,indexy_SDcast!$K:$K,0),MATCH(V$2,indexy_SDcast!$2:$2,0)),"#ekrk")),"#popis")</f>
        <v>-2.0649326109554336</v>
      </c>
      <c r="W1523" s="365">
        <f>IF($Q1523="ekrk",IF($R1523="data",IFERROR(INDEX(data!$A:$ALL,MATCH($M1523,data!$A:$A,0),MATCH(W$2,data!$1:$1,0)),"#data"),IFERROR(V1523*INDEX(indexy_SDcast!$A:$ALI,MATCH($R1523,indexy_SDcast!$K:$K,0),MATCH(W$2,indexy_SDcast!$2:$2,0)),"#ekrk")),"#popis")</f>
        <v>-2.1562598995631146</v>
      </c>
      <c r="X1523" s="365">
        <f>IF($Q1523="ekrk",IF($R1523="data",IFERROR(INDEX(data!$A:$ALL,MATCH($M1523,data!$A:$A,0),MATCH(X$2,data!$1:$1,0)),"#data"),IFERROR(W1523*INDEX(indexy_SDcast!$A:$ALI,MATCH($R1523,indexy_SDcast!$K:$K,0),MATCH(X$2,indexy_SDcast!$2:$2,0)),"#ekrk")),"#popis")</f>
        <v>-2.2650075942892296</v>
      </c>
      <c r="Y1523" s="362">
        <f>IF($Q1523="ekrk",IF($R1523="data",IFERROR(INDEX(data!$A:$ALL,MATCH($M1523,data!$A:$A,0),MATCH(Y$2,data!$1:$1,0)),"#data"),IFERROR(X1523*INDEX(indexy_SDcast!$A:$ALI,MATCH($R1523,indexy_SDcast!$K:$K,0),MATCH(Y$2,indexy_SDcast!$2:$2,0)),"#ekrk")),"#popis")</f>
        <v>-2.3897633516362058</v>
      </c>
    </row>
    <row r="1524" spans="1:44" x14ac:dyDescent="0.25">
      <c r="A1524" s="330">
        <v>719014</v>
      </c>
      <c r="B1524" s="329">
        <v>-2989.540489999998</v>
      </c>
      <c r="C1524" s="157"/>
      <c r="D1524" s="330">
        <v>719014</v>
      </c>
      <c r="E1524" s="329">
        <v>-2989.540489999998</v>
      </c>
      <c r="F1524" s="157"/>
      <c r="G1524" s="330">
        <v>719014</v>
      </c>
      <c r="H1524" s="329">
        <v>-2989.540489999998</v>
      </c>
      <c r="I1524" s="157"/>
      <c r="J1524" s="330">
        <v>719014</v>
      </c>
      <c r="K1524" s="329">
        <v>-2989.540489999998</v>
      </c>
      <c r="L1524" s="157"/>
      <c r="M1524" s="360">
        <f t="shared" si="163"/>
        <v>719014</v>
      </c>
      <c r="N1524" s="237">
        <f t="shared" si="164"/>
        <v>-2989.540489999998</v>
      </c>
      <c r="O1524" s="361"/>
      <c r="P1524" s="361"/>
      <c r="Q1524" s="361" t="s">
        <v>698</v>
      </c>
      <c r="R1524" s="362">
        <f>IF(Q1524="ekrk",INDEX(indexy_SDcast!$A:$C,MATCH($M1524,indexy_SDcast!$A:$A,0),2),"")</f>
        <v>9</v>
      </c>
      <c r="S1524" s="236"/>
      <c r="T1524" s="364">
        <f t="shared" si="161"/>
        <v>719014</v>
      </c>
      <c r="U1524" s="365">
        <f t="shared" si="162"/>
        <v>-2989.540489999998</v>
      </c>
      <c r="V1524" s="365">
        <f>IF($Q1524="ekrk",IF($R1524="data",IFERROR(INDEX(data!$A:$ALL,MATCH($M1524,data!$A:$A,0),MATCH(V$2,data!$1:$1,0)),"#data"),IFERROR(U1524*INDEX(indexy_SDcast!$A:$ALI,MATCH($R1524,indexy_SDcast!$K:$K,0),MATCH(V$2,indexy_SDcast!$2:$2,0)),"#ekrk")),"#popis")</f>
        <v>-2989.540489999998</v>
      </c>
      <c r="W1524" s="365">
        <f>IF($Q1524="ekrk",IF($R1524="data",IFERROR(INDEX(data!$A:$ALL,MATCH($M1524,data!$A:$A,0),MATCH(W$2,data!$1:$1,0)),"#data"),IFERROR(V1524*INDEX(indexy_SDcast!$A:$ALI,MATCH($R1524,indexy_SDcast!$K:$K,0),MATCH(W$2,indexy_SDcast!$2:$2,0)),"#ekrk")),"#popis")</f>
        <v>-2989.540489999998</v>
      </c>
      <c r="X1524" s="365">
        <f>IF($Q1524="ekrk",IF($R1524="data",IFERROR(INDEX(data!$A:$ALL,MATCH($M1524,data!$A:$A,0),MATCH(X$2,data!$1:$1,0)),"#data"),IFERROR(W1524*INDEX(indexy_SDcast!$A:$ALI,MATCH($R1524,indexy_SDcast!$K:$K,0),MATCH(X$2,indexy_SDcast!$2:$2,0)),"#ekrk")),"#popis")</f>
        <v>-2989.540489999998</v>
      </c>
      <c r="Y1524" s="362">
        <f>IF($Q1524="ekrk",IF($R1524="data",IFERROR(INDEX(data!$A:$ALL,MATCH($M1524,data!$A:$A,0),MATCH(Y$2,data!$1:$1,0)),"#data"),IFERROR(X1524*INDEX(indexy_SDcast!$A:$ALI,MATCH($R1524,indexy_SDcast!$K:$K,0),MATCH(Y$2,indexy_SDcast!$2:$2,0)),"#ekrk")),"#popis")</f>
        <v>-2989.540489999998</v>
      </c>
    </row>
    <row r="1525" spans="1:44" x14ac:dyDescent="0.25">
      <c r="A1525" s="330" t="s">
        <v>699</v>
      </c>
      <c r="B1525" s="329">
        <v>-311393</v>
      </c>
      <c r="C1525" s="157"/>
      <c r="D1525" s="348">
        <v>717001</v>
      </c>
      <c r="E1525" s="329">
        <v>-311393</v>
      </c>
      <c r="F1525" s="157"/>
      <c r="G1525" s="330"/>
      <c r="H1525" s="329"/>
      <c r="I1525" s="157"/>
      <c r="J1525" s="330"/>
      <c r="K1525" s="329"/>
      <c r="L1525" s="157"/>
      <c r="M1525" s="360">
        <f t="shared" si="163"/>
        <v>0</v>
      </c>
      <c r="N1525" s="237">
        <f t="shared" si="164"/>
        <v>0</v>
      </c>
      <c r="O1525" s="361"/>
      <c r="P1525" s="361"/>
      <c r="Q1525" s="361" t="s">
        <v>573</v>
      </c>
      <c r="R1525" s="362" t="str">
        <f>IF(Q1525="ekrk",INDEX(indexy_SDcast!$A:$C,MATCH($M1525,indexy_SDcast!$A:$A,0),2),"")</f>
        <v/>
      </c>
      <c r="S1525" s="236"/>
      <c r="T1525" s="364">
        <f t="shared" si="161"/>
        <v>0</v>
      </c>
      <c r="U1525" s="365">
        <f t="shared" si="162"/>
        <v>0</v>
      </c>
      <c r="V1525" s="365"/>
      <c r="W1525" s="365"/>
      <c r="X1525" s="365"/>
      <c r="Y1525" s="362"/>
    </row>
    <row r="1526" spans="1:44" x14ac:dyDescent="0.25">
      <c r="A1526" s="330" t="s">
        <v>992</v>
      </c>
      <c r="B1526" s="329">
        <v>7889</v>
      </c>
      <c r="C1526" s="157"/>
      <c r="D1526" s="348">
        <v>292000</v>
      </c>
      <c r="E1526" s="329">
        <v>7889</v>
      </c>
      <c r="F1526" s="157"/>
      <c r="G1526" s="330">
        <v>292000</v>
      </c>
      <c r="H1526" s="329">
        <v>7889</v>
      </c>
      <c r="I1526" s="157"/>
      <c r="J1526" s="330">
        <v>292000</v>
      </c>
      <c r="K1526" s="329">
        <v>7889</v>
      </c>
      <c r="L1526" s="157"/>
      <c r="M1526" s="360">
        <f t="shared" si="163"/>
        <v>292000</v>
      </c>
      <c r="N1526" s="237">
        <f t="shared" si="164"/>
        <v>7889</v>
      </c>
      <c r="O1526" s="361"/>
      <c r="P1526" s="361"/>
      <c r="Q1526" s="361" t="s">
        <v>698</v>
      </c>
      <c r="R1526" s="362">
        <f>IF(Q1526="ekrk",INDEX(indexy_SDcast!$A:$C,MATCH($M1526,indexy_SDcast!$A:$A,0),2),"")</f>
        <v>22</v>
      </c>
      <c r="S1526" s="236"/>
      <c r="T1526" s="364">
        <f t="shared" si="161"/>
        <v>292000</v>
      </c>
      <c r="U1526" s="365">
        <f t="shared" si="162"/>
        <v>7889</v>
      </c>
      <c r="V1526" s="365">
        <f>IF($Q1526="ekrk",IF($R1526="data",IFERROR(INDEX(data!$A:$ALL,MATCH($M1526,data!$A:$A,0),MATCH(V$2,data!$1:$1,0)),"#data"),IFERROR(U1526*INDEX(indexy_SDcast!$A:$ALI,MATCH($R1526,indexy_SDcast!$K:$K,0),MATCH(V$2,indexy_SDcast!$2:$2,0)),"#ekrk")),"#popis")</f>
        <v>7889</v>
      </c>
      <c r="W1526" s="365">
        <f>IF($Q1526="ekrk",IF($R1526="data",IFERROR(INDEX(data!$A:$ALL,MATCH($M1526,data!$A:$A,0),MATCH(W$2,data!$1:$1,0)),"#data"),IFERROR(V1526*INDEX(indexy_SDcast!$A:$ALI,MATCH($R1526,indexy_SDcast!$K:$K,0),MATCH(W$2,indexy_SDcast!$2:$2,0)),"#ekrk")),"#popis")</f>
        <v>7889</v>
      </c>
      <c r="X1526" s="365">
        <f>IF($Q1526="ekrk",IF($R1526="data",IFERROR(INDEX(data!$A:$ALL,MATCH($M1526,data!$A:$A,0),MATCH(X$2,data!$1:$1,0)),"#data"),IFERROR(W1526*INDEX(indexy_SDcast!$A:$ALI,MATCH($R1526,indexy_SDcast!$K:$K,0),MATCH(X$2,indexy_SDcast!$2:$2,0)),"#ekrk")),"#popis")</f>
        <v>7889</v>
      </c>
      <c r="Y1526" s="362">
        <f>IF($Q1526="ekrk",IF($R1526="data",IFERROR(INDEX(data!$A:$ALL,MATCH($M1526,data!$A:$A,0),MATCH(Y$2,data!$1:$1,0)),"#data"),IFERROR(X1526*INDEX(indexy_SDcast!$A:$ALI,MATCH($R1526,indexy_SDcast!$K:$K,0),MATCH(Y$2,indexy_SDcast!$2:$2,0)),"#ekrk")),"#popis")</f>
        <v>7889</v>
      </c>
    </row>
    <row r="1527" spans="1:44" x14ac:dyDescent="0.25">
      <c r="A1527" s="330" t="s">
        <v>993</v>
      </c>
      <c r="B1527" s="329">
        <v>-5296</v>
      </c>
      <c r="C1527" s="157"/>
      <c r="D1527" s="348">
        <v>637005</v>
      </c>
      <c r="E1527" s="329">
        <v>-5296</v>
      </c>
      <c r="F1527" s="157"/>
      <c r="G1527" s="330">
        <v>637005</v>
      </c>
      <c r="H1527" s="329">
        <v>-5296</v>
      </c>
      <c r="I1527" s="157"/>
      <c r="J1527" s="330">
        <v>637005</v>
      </c>
      <c r="K1527" s="329">
        <v>-5296</v>
      </c>
      <c r="L1527" s="157"/>
      <c r="M1527" s="360">
        <f t="shared" si="163"/>
        <v>637005</v>
      </c>
      <c r="N1527" s="237">
        <f t="shared" si="164"/>
        <v>-5296</v>
      </c>
      <c r="O1527" s="361"/>
      <c r="P1527" s="361"/>
      <c r="Q1527" s="361" t="s">
        <v>698</v>
      </c>
      <c r="R1527" s="362">
        <f>IF(Q1527="ekrk",INDEX(indexy_SDcast!$A:$C,MATCH($M1527,indexy_SDcast!$A:$A,0),2),"")</f>
        <v>6</v>
      </c>
      <c r="S1527" s="236"/>
      <c r="T1527" s="364">
        <f t="shared" si="161"/>
        <v>637005</v>
      </c>
      <c r="U1527" s="365">
        <f t="shared" si="162"/>
        <v>-5296</v>
      </c>
      <c r="V1527" s="365">
        <f>IF($Q1527="ekrk",IF($R1527="data",IFERROR(INDEX(data!$A:$ALL,MATCH($M1527,data!$A:$A,0),MATCH(V$2,data!$1:$1,0)),"#data"),IFERROR(U1527*INDEX(indexy_SDcast!$A:$ALI,MATCH($R1527,indexy_SDcast!$K:$K,0),MATCH(V$2,indexy_SDcast!$2:$2,0)),"#ekrk")),"#popis")</f>
        <v>-5392.7417540806</v>
      </c>
      <c r="W1527" s="365">
        <f>IF($Q1527="ekrk",IF($R1527="data",IFERROR(INDEX(data!$A:$ALL,MATCH($M1527,data!$A:$A,0),MATCH(W$2,data!$1:$1,0)),"#data"),IFERROR(V1527*INDEX(indexy_SDcast!$A:$ALI,MATCH($R1527,indexy_SDcast!$K:$K,0),MATCH(W$2,indexy_SDcast!$2:$2,0)),"#ekrk")),"#popis")</f>
        <v>-5548.3943183401716</v>
      </c>
      <c r="X1527" s="365">
        <f>IF($Q1527="ekrk",IF($R1527="data",IFERROR(INDEX(data!$A:$ALL,MATCH($M1527,data!$A:$A,0),MATCH(X$2,data!$1:$1,0)),"#data"),IFERROR(W1527*INDEX(indexy_SDcast!$A:$ALI,MATCH($R1527,indexy_SDcast!$K:$K,0),MATCH(X$2,indexy_SDcast!$2:$2,0)),"#ekrk")),"#popis")</f>
        <v>-5730.0513402682518</v>
      </c>
      <c r="Y1527" s="362">
        <f>IF($Q1527="ekrk",IF($R1527="data",IFERROR(INDEX(data!$A:$ALL,MATCH($M1527,data!$A:$A,0),MATCH(Y$2,data!$1:$1,0)),"#data"),IFERROR(X1527*INDEX(indexy_SDcast!$A:$ALI,MATCH($R1527,indexy_SDcast!$K:$K,0),MATCH(Y$2,indexy_SDcast!$2:$2,0)),"#ekrk")),"#popis")</f>
        <v>-5929.5939706959116</v>
      </c>
    </row>
    <row r="1528" spans="1:44" s="18" customFormat="1" x14ac:dyDescent="0.25">
      <c r="A1528" s="333" t="s">
        <v>755</v>
      </c>
      <c r="B1528" s="334">
        <v>-35936.204189999997</v>
      </c>
      <c r="C1528" s="164"/>
      <c r="D1528" s="333" t="s">
        <v>755</v>
      </c>
      <c r="E1528" s="334">
        <v>-35936.204189999997</v>
      </c>
      <c r="F1528" s="164"/>
      <c r="G1528" s="333" t="s">
        <v>755</v>
      </c>
      <c r="H1528" s="334">
        <v>-35936.204189999997</v>
      </c>
      <c r="I1528" s="164"/>
      <c r="J1528" s="333" t="s">
        <v>755</v>
      </c>
      <c r="K1528" s="334">
        <v>-35936.204189999997</v>
      </c>
      <c r="L1528" s="164"/>
      <c r="M1528" s="358" t="str">
        <f t="shared" si="163"/>
        <v>P5112</v>
      </c>
      <c r="N1528" s="239">
        <f t="shared" si="164"/>
        <v>-35936.204189999997</v>
      </c>
      <c r="O1528" s="243"/>
      <c r="P1528" s="243">
        <f>MATCH(Q1528,Q1529:Q$1550,0)</f>
        <v>3</v>
      </c>
      <c r="Q1528" s="243" t="s">
        <v>697</v>
      </c>
      <c r="R1528" s="359" t="str">
        <f>IF(Q1528="ekrk",INDEX(indexy_SDcast!$A:$C,MATCH($M1528,indexy_SDcast!$A:$A,0),2),"")</f>
        <v/>
      </c>
      <c r="S1528" s="240"/>
      <c r="T1528" s="363" t="str">
        <f t="shared" si="161"/>
        <v>P5112</v>
      </c>
      <c r="U1528" s="244">
        <f>SUM(U1529:U1530)</f>
        <v>-35936.204189999997</v>
      </c>
      <c r="V1528" s="244">
        <f>SUM(V1529:V1530)</f>
        <v>-37102.919972942138</v>
      </c>
      <c r="W1528" s="244">
        <f>SUM(W1529:W1530)</f>
        <v>-38743.89801870448</v>
      </c>
      <c r="X1528" s="244">
        <f>SUM(X1529:X1530)</f>
        <v>-40697.887700139203</v>
      </c>
      <c r="Y1528" s="359">
        <f>SUM(Y1529:Y1530)</f>
        <v>-42939.511885088723</v>
      </c>
      <c r="Z1528" s="58"/>
      <c r="AA1528" s="58"/>
      <c r="AB1528" s="58"/>
      <c r="AC1528" s="58"/>
      <c r="AD1528" s="58"/>
      <c r="AE1528" s="58"/>
      <c r="AF1528" s="58"/>
      <c r="AG1528" s="58"/>
      <c r="AH1528" s="58"/>
      <c r="AI1528" s="58"/>
      <c r="AJ1528" s="58"/>
      <c r="AK1528" s="58"/>
      <c r="AL1528" s="58"/>
      <c r="AM1528" s="58"/>
      <c r="AN1528" s="58"/>
      <c r="AO1528" s="58"/>
      <c r="AP1528" s="58"/>
      <c r="AQ1528" s="58"/>
      <c r="AR1528" s="58"/>
    </row>
    <row r="1529" spans="1:44" x14ac:dyDescent="0.25">
      <c r="A1529" s="330">
        <v>712001</v>
      </c>
      <c r="B1529" s="329">
        <v>-35650.326279999994</v>
      </c>
      <c r="C1529" s="157"/>
      <c r="D1529" s="330">
        <v>712001</v>
      </c>
      <c r="E1529" s="329">
        <v>-35650.326279999994</v>
      </c>
      <c r="F1529" s="157"/>
      <c r="G1529" s="330">
        <v>712001</v>
      </c>
      <c r="H1529" s="329">
        <v>-35650.326279999994</v>
      </c>
      <c r="I1529" s="157"/>
      <c r="J1529" s="330">
        <v>712001</v>
      </c>
      <c r="K1529" s="329">
        <v>-35650.326279999994</v>
      </c>
      <c r="L1529" s="157"/>
      <c r="M1529" s="360">
        <f t="shared" si="163"/>
        <v>712001</v>
      </c>
      <c r="N1529" s="237">
        <f t="shared" si="164"/>
        <v>-35650.326279999994</v>
      </c>
      <c r="O1529" s="361"/>
      <c r="P1529" s="361"/>
      <c r="Q1529" s="361" t="s">
        <v>698</v>
      </c>
      <c r="R1529" s="362">
        <f>IF(Q1529="ekrk",INDEX(indexy_SDcast!$A:$C,MATCH($M1529,indexy_SDcast!$A:$A,0),2),"")</f>
        <v>37</v>
      </c>
      <c r="S1529" s="236"/>
      <c r="T1529" s="364">
        <f t="shared" si="161"/>
        <v>712001</v>
      </c>
      <c r="U1529" s="365">
        <f>N1529</f>
        <v>-35650.326279999994</v>
      </c>
      <c r="V1529" s="365">
        <f>IF($Q1529="ekrk",IF($R1529="data",IFERROR(INDEX(data!$A:$ALL,MATCH($M1529,data!$A:$A,0),MATCH(V$2,data!$1:$1,0)),"#data"),IFERROR(U1529*INDEX(indexy_SDcast!$A:$ALI,MATCH($R1529,indexy_SDcast!$K:$K,0),MATCH(V$2,indexy_SDcast!$2:$2,0)),"#ekrk")),"#popis")</f>
        <v>-36807.760663386747</v>
      </c>
      <c r="W1529" s="365">
        <f>IF($Q1529="ekrk",IF($R1529="data",IFERROR(INDEX(data!$A:$ALL,MATCH($M1529,data!$A:$A,0),MATCH(W$2,data!$1:$1,0)),"#data"),IFERROR(V1529*INDEX(indexy_SDcast!$A:$ALI,MATCH($R1529,indexy_SDcast!$K:$K,0),MATCH(W$2,indexy_SDcast!$2:$2,0)),"#ekrk")),"#popis")</f>
        <v>-38435.684481952521</v>
      </c>
      <c r="X1529" s="365">
        <f>IF($Q1529="ekrk",IF($R1529="data",IFERROR(INDEX(data!$A:$ALL,MATCH($M1529,data!$A:$A,0),MATCH(X$2,data!$1:$1,0)),"#data"),IFERROR(W1529*INDEX(indexy_SDcast!$A:$ALI,MATCH($R1529,indexy_SDcast!$K:$K,0),MATCH(X$2,indexy_SDcast!$2:$2,0)),"#ekrk")),"#popis")</f>
        <v>-40374.129881544439</v>
      </c>
      <c r="Y1529" s="362">
        <f>IF($Q1529="ekrk",IF($R1529="data",IFERROR(INDEX(data!$A:$ALL,MATCH($M1529,data!$A:$A,0),MATCH(Y$2,data!$1:$1,0)),"#data"),IFERROR(X1529*INDEX(indexy_SDcast!$A:$ALI,MATCH($R1529,indexy_SDcast!$K:$K,0),MATCH(Y$2,indexy_SDcast!$2:$2,0)),"#ekrk")),"#popis")</f>
        <v>-42597.921608908546</v>
      </c>
    </row>
    <row r="1530" spans="1:44" x14ac:dyDescent="0.25">
      <c r="A1530" s="330">
        <v>712002</v>
      </c>
      <c r="B1530" s="329">
        <v>-285.87791000000004</v>
      </c>
      <c r="C1530" s="157"/>
      <c r="D1530" s="330">
        <v>712002</v>
      </c>
      <c r="E1530" s="329">
        <v>-285.87791000000004</v>
      </c>
      <c r="F1530" s="157"/>
      <c r="G1530" s="330">
        <v>712002</v>
      </c>
      <c r="H1530" s="329">
        <v>-285.87791000000004</v>
      </c>
      <c r="I1530" s="157"/>
      <c r="J1530" s="330">
        <v>712002</v>
      </c>
      <c r="K1530" s="329">
        <v>-285.87791000000004</v>
      </c>
      <c r="L1530" s="157"/>
      <c r="M1530" s="360">
        <f t="shared" si="163"/>
        <v>712002</v>
      </c>
      <c r="N1530" s="237">
        <f t="shared" si="164"/>
        <v>-285.87791000000004</v>
      </c>
      <c r="O1530" s="361"/>
      <c r="P1530" s="361"/>
      <c r="Q1530" s="361" t="s">
        <v>698</v>
      </c>
      <c r="R1530" s="362">
        <f>IF(Q1530="ekrk",INDEX(indexy_SDcast!$A:$C,MATCH($M1530,indexy_SDcast!$A:$A,0),2),"")</f>
        <v>37</v>
      </c>
      <c r="S1530" s="236"/>
      <c r="T1530" s="364">
        <f t="shared" si="161"/>
        <v>712002</v>
      </c>
      <c r="U1530" s="365">
        <f>N1530</f>
        <v>-285.87791000000004</v>
      </c>
      <c r="V1530" s="365">
        <f>IF($Q1530="ekrk",IF($R1530="data",IFERROR(INDEX(data!$A:$ALL,MATCH($M1530,data!$A:$A,0),MATCH(V$2,data!$1:$1,0)),"#data"),IFERROR(U1530*INDEX(indexy_SDcast!$A:$ALI,MATCH($R1530,indexy_SDcast!$K:$K,0),MATCH(V$2,indexy_SDcast!$2:$2,0)),"#ekrk")),"#popis")</f>
        <v>-295.15930955539125</v>
      </c>
      <c r="W1530" s="365">
        <f>IF($Q1530="ekrk",IF($R1530="data",IFERROR(INDEX(data!$A:$ALL,MATCH($M1530,data!$A:$A,0),MATCH(W$2,data!$1:$1,0)),"#data"),IFERROR(V1530*INDEX(indexy_SDcast!$A:$ALI,MATCH($R1530,indexy_SDcast!$K:$K,0),MATCH(W$2,indexy_SDcast!$2:$2,0)),"#ekrk")),"#popis")</f>
        <v>-308.21353675195655</v>
      </c>
      <c r="X1530" s="365">
        <f>IF($Q1530="ekrk",IF($R1530="data",IFERROR(INDEX(data!$A:$ALL,MATCH($M1530,data!$A:$A,0),MATCH(X$2,data!$1:$1,0)),"#data"),IFERROR(W1530*INDEX(indexy_SDcast!$A:$ALI,MATCH($R1530,indexy_SDcast!$K:$K,0),MATCH(X$2,indexy_SDcast!$2:$2,0)),"#ekrk")),"#popis")</f>
        <v>-323.75781859476649</v>
      </c>
      <c r="Y1530" s="362">
        <f>IF($Q1530="ekrk",IF($R1530="data",IFERROR(INDEX(data!$A:$ALL,MATCH($M1530,data!$A:$A,0),MATCH(Y$2,data!$1:$1,0)),"#data"),IFERROR(X1530*INDEX(indexy_SDcast!$A:$ALI,MATCH($R1530,indexy_SDcast!$K:$K,0),MATCH(Y$2,indexy_SDcast!$2:$2,0)),"#ekrk")),"#popis")</f>
        <v>-341.59027618017683</v>
      </c>
    </row>
    <row r="1531" spans="1:44" s="18" customFormat="1" x14ac:dyDescent="0.25">
      <c r="A1531" s="333" t="s">
        <v>756</v>
      </c>
      <c r="B1531" s="334">
        <v>115477.54088000002</v>
      </c>
      <c r="C1531" s="164"/>
      <c r="D1531" s="333" t="s">
        <v>756</v>
      </c>
      <c r="E1531" s="334">
        <v>115477.54088000002</v>
      </c>
      <c r="F1531" s="164"/>
      <c r="G1531" s="333" t="s">
        <v>756</v>
      </c>
      <c r="H1531" s="334">
        <v>115477.54088000002</v>
      </c>
      <c r="I1531" s="164"/>
      <c r="J1531" s="333" t="s">
        <v>756</v>
      </c>
      <c r="K1531" s="334">
        <v>115477.54088000002</v>
      </c>
      <c r="L1531" s="164"/>
      <c r="M1531" s="358" t="str">
        <f t="shared" si="163"/>
        <v>P5113</v>
      </c>
      <c r="N1531" s="239">
        <f t="shared" si="164"/>
        <v>115477.54088000002</v>
      </c>
      <c r="O1531" s="243"/>
      <c r="P1531" s="243">
        <f>MATCH(Q1531,Q1532:Q$1550,0)</f>
        <v>6</v>
      </c>
      <c r="Q1531" s="243" t="s">
        <v>697</v>
      </c>
      <c r="R1531" s="359" t="str">
        <f>IF(Q1531="ekrk",INDEX(indexy_SDcast!$A:$C,MATCH($M1531,indexy_SDcast!$A:$A,0),2),"")</f>
        <v/>
      </c>
      <c r="S1531" s="240"/>
      <c r="T1531" s="363" t="str">
        <f t="shared" si="161"/>
        <v>P5113</v>
      </c>
      <c r="U1531" s="244">
        <f>SUM(U1532:U1536)</f>
        <v>115477.54088000002</v>
      </c>
      <c r="V1531" s="244">
        <f>SUM(V1532:V1536)</f>
        <v>115477.54088000002</v>
      </c>
      <c r="W1531" s="244">
        <f>SUM(W1532:W1536)</f>
        <v>115477.54088000002</v>
      </c>
      <c r="X1531" s="244">
        <f>SUM(X1532:X1536)</f>
        <v>115477.54088000002</v>
      </c>
      <c r="Y1531" s="359">
        <f>SUM(Y1532:Y1536)</f>
        <v>115477.54088000002</v>
      </c>
      <c r="Z1531" s="58"/>
      <c r="AA1531" s="58"/>
      <c r="AB1531" s="58"/>
      <c r="AC1531" s="58"/>
      <c r="AD1531" s="58"/>
      <c r="AE1531" s="58"/>
      <c r="AF1531" s="58"/>
      <c r="AG1531" s="58"/>
      <c r="AH1531" s="58"/>
      <c r="AI1531" s="58"/>
      <c r="AJ1531" s="58"/>
      <c r="AK1531" s="58"/>
      <c r="AL1531" s="58"/>
      <c r="AM1531" s="58"/>
      <c r="AN1531" s="58"/>
      <c r="AO1531" s="58"/>
      <c r="AP1531" s="58"/>
      <c r="AQ1531" s="58"/>
      <c r="AR1531" s="58"/>
    </row>
    <row r="1532" spans="1:44" x14ac:dyDescent="0.25">
      <c r="A1532" s="330">
        <v>231000</v>
      </c>
      <c r="B1532" s="329">
        <v>108371.21089000002</v>
      </c>
      <c r="C1532" s="157"/>
      <c r="D1532" s="330">
        <v>231000</v>
      </c>
      <c r="E1532" s="329">
        <v>108371.21089000002</v>
      </c>
      <c r="F1532" s="157"/>
      <c r="G1532" s="330">
        <v>231000</v>
      </c>
      <c r="H1532" s="329">
        <v>108371.21089000002</v>
      </c>
      <c r="I1532" s="157"/>
      <c r="J1532" s="330">
        <v>231000</v>
      </c>
      <c r="K1532" s="329">
        <v>108371.21089000002</v>
      </c>
      <c r="L1532" s="157"/>
      <c r="M1532" s="360">
        <f t="shared" si="163"/>
        <v>231000</v>
      </c>
      <c r="N1532" s="237">
        <f t="shared" si="164"/>
        <v>108371.21089000002</v>
      </c>
      <c r="O1532" s="361"/>
      <c r="P1532" s="361"/>
      <c r="Q1532" s="361" t="s">
        <v>698</v>
      </c>
      <c r="R1532" s="362">
        <f>IF(Q1532="ekrk",INDEX(indexy_SDcast!$A:$C,MATCH($M1532,indexy_SDcast!$A:$A,0),2),"")</f>
        <v>9</v>
      </c>
      <c r="S1532" s="236"/>
      <c r="T1532" s="364">
        <f t="shared" si="161"/>
        <v>231000</v>
      </c>
      <c r="U1532" s="365">
        <f>N1532</f>
        <v>108371.21089000002</v>
      </c>
      <c r="V1532" s="365">
        <f>IF($Q1532="ekrk",IF($R1532="data",IFERROR(INDEX(data!$A:$ALL,MATCH($M1532,data!$A:$A,0),MATCH(V$2,data!$1:$1,0)),"#data"),IFERROR(U1532*INDEX(indexy_SDcast!$A:$ALI,MATCH($R1532,indexy_SDcast!$K:$K,0),MATCH(V$2,indexy_SDcast!$2:$2,0)),"#ekrk")),"#popis")</f>
        <v>108371.21089000002</v>
      </c>
      <c r="W1532" s="365">
        <f>IF($Q1532="ekrk",IF($R1532="data",IFERROR(INDEX(data!$A:$ALL,MATCH($M1532,data!$A:$A,0),MATCH(W$2,data!$1:$1,0)),"#data"),IFERROR(V1532*INDEX(indexy_SDcast!$A:$ALI,MATCH($R1532,indexy_SDcast!$K:$K,0),MATCH(W$2,indexy_SDcast!$2:$2,0)),"#ekrk")),"#popis")</f>
        <v>108371.21089000002</v>
      </c>
      <c r="X1532" s="365">
        <f>IF($Q1532="ekrk",IF($R1532="data",IFERROR(INDEX(data!$A:$ALL,MATCH($M1532,data!$A:$A,0),MATCH(X$2,data!$1:$1,0)),"#data"),IFERROR(W1532*INDEX(indexy_SDcast!$A:$ALI,MATCH($R1532,indexy_SDcast!$K:$K,0),MATCH(X$2,indexy_SDcast!$2:$2,0)),"#ekrk")),"#popis")</f>
        <v>108371.21089000002</v>
      </c>
      <c r="Y1532" s="362">
        <f>IF($Q1532="ekrk",IF($R1532="data",IFERROR(INDEX(data!$A:$ALL,MATCH($M1532,data!$A:$A,0),MATCH(Y$2,data!$1:$1,0)),"#data"),IFERROR(X1532*INDEX(indexy_SDcast!$A:$ALI,MATCH($R1532,indexy_SDcast!$K:$K,0),MATCH(Y$2,indexy_SDcast!$2:$2,0)),"#ekrk")),"#popis")</f>
        <v>108371.21089000002</v>
      </c>
    </row>
    <row r="1533" spans="1:44" x14ac:dyDescent="0.25">
      <c r="A1533" s="330">
        <v>239001</v>
      </c>
      <c r="B1533" s="329">
        <v>2435.2494899999997</v>
      </c>
      <c r="C1533" s="157"/>
      <c r="D1533" s="330">
        <v>239001</v>
      </c>
      <c r="E1533" s="329">
        <v>2435.2494899999997</v>
      </c>
      <c r="F1533" s="157"/>
      <c r="G1533" s="330">
        <v>239001</v>
      </c>
      <c r="H1533" s="329">
        <v>2435.2494899999997</v>
      </c>
      <c r="I1533" s="157"/>
      <c r="J1533" s="330">
        <v>239001</v>
      </c>
      <c r="K1533" s="329">
        <v>2435.2494899999997</v>
      </c>
      <c r="L1533" s="157"/>
      <c r="M1533" s="360">
        <f t="shared" si="163"/>
        <v>239001</v>
      </c>
      <c r="N1533" s="237">
        <f t="shared" si="164"/>
        <v>2435.2494899999997</v>
      </c>
      <c r="O1533" s="361"/>
      <c r="P1533" s="361"/>
      <c r="Q1533" s="361" t="s">
        <v>698</v>
      </c>
      <c r="R1533" s="362">
        <f>IF(Q1533="ekrk",INDEX(indexy_SDcast!$A:$C,MATCH($M1533,indexy_SDcast!$A:$A,0),2),"")</f>
        <v>9</v>
      </c>
      <c r="S1533" s="236"/>
      <c r="T1533" s="364">
        <f t="shared" si="161"/>
        <v>239001</v>
      </c>
      <c r="U1533" s="365">
        <f>N1533</f>
        <v>2435.2494899999997</v>
      </c>
      <c r="V1533" s="365">
        <f>IF($Q1533="ekrk",IF($R1533="data",IFERROR(INDEX(data!$A:$ALL,MATCH($M1533,data!$A:$A,0),MATCH(V$2,data!$1:$1,0)),"#data"),IFERROR(U1533*INDEX(indexy_SDcast!$A:$ALI,MATCH($R1533,indexy_SDcast!$K:$K,0),MATCH(V$2,indexy_SDcast!$2:$2,0)),"#ekrk")),"#popis")</f>
        <v>2435.2494899999997</v>
      </c>
      <c r="W1533" s="365">
        <f>IF($Q1533="ekrk",IF($R1533="data",IFERROR(INDEX(data!$A:$ALL,MATCH($M1533,data!$A:$A,0),MATCH(W$2,data!$1:$1,0)),"#data"),IFERROR(V1533*INDEX(indexy_SDcast!$A:$ALI,MATCH($R1533,indexy_SDcast!$K:$K,0),MATCH(W$2,indexy_SDcast!$2:$2,0)),"#ekrk")),"#popis")</f>
        <v>2435.2494899999997</v>
      </c>
      <c r="X1533" s="365">
        <f>IF($Q1533="ekrk",IF($R1533="data",IFERROR(INDEX(data!$A:$ALL,MATCH($M1533,data!$A:$A,0),MATCH(X$2,data!$1:$1,0)),"#data"),IFERROR(W1533*INDEX(indexy_SDcast!$A:$ALI,MATCH($R1533,indexy_SDcast!$K:$K,0),MATCH(X$2,indexy_SDcast!$2:$2,0)),"#ekrk")),"#popis")</f>
        <v>2435.2494899999997</v>
      </c>
      <c r="Y1533" s="362">
        <f>IF($Q1533="ekrk",IF($R1533="data",IFERROR(INDEX(data!$A:$ALL,MATCH($M1533,data!$A:$A,0),MATCH(Y$2,data!$1:$1,0)),"#data"),IFERROR(X1533*INDEX(indexy_SDcast!$A:$ALI,MATCH($R1533,indexy_SDcast!$K:$K,0),MATCH(Y$2,indexy_SDcast!$2:$2,0)),"#ekrk")),"#popis")</f>
        <v>2435.2494899999997</v>
      </c>
    </row>
    <row r="1534" spans="1:44" x14ac:dyDescent="0.25">
      <c r="A1534" s="330">
        <v>239002</v>
      </c>
      <c r="B1534" s="329">
        <v>1669.1021700000003</v>
      </c>
      <c r="C1534" s="157"/>
      <c r="D1534" s="330">
        <v>239002</v>
      </c>
      <c r="E1534" s="329">
        <v>1669.1021700000003</v>
      </c>
      <c r="F1534" s="157"/>
      <c r="G1534" s="330">
        <v>239002</v>
      </c>
      <c r="H1534" s="329">
        <v>1669.1021700000003</v>
      </c>
      <c r="I1534" s="157"/>
      <c r="J1534" s="330">
        <v>239002</v>
      </c>
      <c r="K1534" s="329">
        <v>1669.1021700000003</v>
      </c>
      <c r="L1534" s="157"/>
      <c r="M1534" s="360">
        <f t="shared" si="163"/>
        <v>239002</v>
      </c>
      <c r="N1534" s="237">
        <f t="shared" si="164"/>
        <v>1669.1021700000003</v>
      </c>
      <c r="O1534" s="361"/>
      <c r="P1534" s="361"/>
      <c r="Q1534" s="361" t="s">
        <v>698</v>
      </c>
      <c r="R1534" s="362">
        <f>IF(Q1534="ekrk",INDEX(indexy_SDcast!$A:$C,MATCH($M1534,indexy_SDcast!$A:$A,0),2),"")</f>
        <v>9</v>
      </c>
      <c r="S1534" s="236"/>
      <c r="T1534" s="364">
        <f t="shared" si="161"/>
        <v>239002</v>
      </c>
      <c r="U1534" s="365">
        <f>N1534</f>
        <v>1669.1021700000003</v>
      </c>
      <c r="V1534" s="365">
        <f>IF($Q1534="ekrk",IF($R1534="data",IFERROR(INDEX(data!$A:$ALL,MATCH($M1534,data!$A:$A,0),MATCH(V$2,data!$1:$1,0)),"#data"),IFERROR(U1534*INDEX(indexy_SDcast!$A:$ALI,MATCH($R1534,indexy_SDcast!$K:$K,0),MATCH(V$2,indexy_SDcast!$2:$2,0)),"#ekrk")),"#popis")</f>
        <v>1669.1021700000003</v>
      </c>
      <c r="W1534" s="365">
        <f>IF($Q1534="ekrk",IF($R1534="data",IFERROR(INDEX(data!$A:$ALL,MATCH($M1534,data!$A:$A,0),MATCH(W$2,data!$1:$1,0)),"#data"),IFERROR(V1534*INDEX(indexy_SDcast!$A:$ALI,MATCH($R1534,indexy_SDcast!$K:$K,0),MATCH(W$2,indexy_SDcast!$2:$2,0)),"#ekrk")),"#popis")</f>
        <v>1669.1021700000003</v>
      </c>
      <c r="X1534" s="365">
        <f>IF($Q1534="ekrk",IF($R1534="data",IFERROR(INDEX(data!$A:$ALL,MATCH($M1534,data!$A:$A,0),MATCH(X$2,data!$1:$1,0)),"#data"),IFERROR(W1534*INDEX(indexy_SDcast!$A:$ALI,MATCH($R1534,indexy_SDcast!$K:$K,0),MATCH(X$2,indexy_SDcast!$2:$2,0)),"#ekrk")),"#popis")</f>
        <v>1669.1021700000003</v>
      </c>
      <c r="Y1534" s="362">
        <f>IF($Q1534="ekrk",IF($R1534="data",IFERROR(INDEX(data!$A:$ALL,MATCH($M1534,data!$A:$A,0),MATCH(Y$2,data!$1:$1,0)),"#data"),IFERROR(X1534*INDEX(indexy_SDcast!$A:$ALI,MATCH($R1534,indexy_SDcast!$K:$K,0),MATCH(Y$2,indexy_SDcast!$2:$2,0)),"#ekrk")),"#popis")</f>
        <v>1669.1021700000003</v>
      </c>
    </row>
    <row r="1535" spans="1:44" x14ac:dyDescent="0.25">
      <c r="A1535" s="330">
        <v>239200</v>
      </c>
      <c r="B1535" s="329">
        <v>609.97832999999991</v>
      </c>
      <c r="C1535" s="157"/>
      <c r="D1535" s="330">
        <v>239200</v>
      </c>
      <c r="E1535" s="329">
        <v>609.97832999999991</v>
      </c>
      <c r="F1535" s="157"/>
      <c r="G1535" s="330">
        <v>239200</v>
      </c>
      <c r="H1535" s="356">
        <f>E1535+E1536</f>
        <v>3001.9783299999999</v>
      </c>
      <c r="I1535" s="157"/>
      <c r="J1535" s="330">
        <v>239200</v>
      </c>
      <c r="K1535" s="329">
        <f>H1535+H1536</f>
        <v>3001.9783299999999</v>
      </c>
      <c r="L1535" s="157"/>
      <c r="M1535" s="360">
        <f t="shared" si="163"/>
        <v>239200</v>
      </c>
      <c r="N1535" s="237">
        <f t="shared" si="164"/>
        <v>3001.9783299999999</v>
      </c>
      <c r="O1535" s="361"/>
      <c r="P1535" s="361"/>
      <c r="Q1535" s="361" t="s">
        <v>698</v>
      </c>
      <c r="R1535" s="362">
        <f>IF(Q1535="ekrk",INDEX(indexy_SDcast!$A:$C,MATCH($M1535,indexy_SDcast!$A:$A,0),2),"")</f>
        <v>9</v>
      </c>
      <c r="S1535" s="236"/>
      <c r="T1535" s="364">
        <f t="shared" si="161"/>
        <v>239200</v>
      </c>
      <c r="U1535" s="365">
        <f>N1535</f>
        <v>3001.9783299999999</v>
      </c>
      <c r="V1535" s="365">
        <f>IF($Q1535="ekrk",IF($R1535="data",IFERROR(INDEX(data!$A:$ALL,MATCH($M1535,data!$A:$A,0),MATCH(V$2,data!$1:$1,0)),"#data"),IFERROR(U1535*INDEX(indexy_SDcast!$A:$ALI,MATCH($R1535,indexy_SDcast!$K:$K,0),MATCH(V$2,indexy_SDcast!$2:$2,0)),"#ekrk")),"#popis")</f>
        <v>3001.9783299999999</v>
      </c>
      <c r="W1535" s="365">
        <f>IF($Q1535="ekrk",IF($R1535="data",IFERROR(INDEX(data!$A:$ALL,MATCH($M1535,data!$A:$A,0),MATCH(W$2,data!$1:$1,0)),"#data"),IFERROR(V1535*INDEX(indexy_SDcast!$A:$ALI,MATCH($R1535,indexy_SDcast!$K:$K,0),MATCH(W$2,indexy_SDcast!$2:$2,0)),"#ekrk")),"#popis")</f>
        <v>3001.9783299999999</v>
      </c>
      <c r="X1535" s="365">
        <f>IF($Q1535="ekrk",IF($R1535="data",IFERROR(INDEX(data!$A:$ALL,MATCH($M1535,data!$A:$A,0),MATCH(X$2,data!$1:$1,0)),"#data"),IFERROR(W1535*INDEX(indexy_SDcast!$A:$ALI,MATCH($R1535,indexy_SDcast!$K:$K,0),MATCH(X$2,indexy_SDcast!$2:$2,0)),"#ekrk")),"#popis")</f>
        <v>3001.9783299999999</v>
      </c>
      <c r="Y1535" s="362">
        <f>IF($Q1535="ekrk",IF($R1535="data",IFERROR(INDEX(data!$A:$ALL,MATCH($M1535,data!$A:$A,0),MATCH(Y$2,data!$1:$1,0)),"#data"),IFERROR(X1535*INDEX(indexy_SDcast!$A:$ALI,MATCH($R1535,indexy_SDcast!$K:$K,0),MATCH(Y$2,indexy_SDcast!$2:$2,0)),"#ekrk")),"#popis")</f>
        <v>3001.9783299999999</v>
      </c>
    </row>
    <row r="1536" spans="1:44" x14ac:dyDescent="0.25">
      <c r="A1536" s="330" t="s">
        <v>699</v>
      </c>
      <c r="B1536" s="329">
        <v>2392</v>
      </c>
      <c r="C1536" s="157"/>
      <c r="D1536" s="348">
        <v>239200</v>
      </c>
      <c r="E1536" s="329">
        <v>2392</v>
      </c>
      <c r="F1536" s="157"/>
      <c r="G1536" s="330"/>
      <c r="H1536" s="329"/>
      <c r="I1536" s="157"/>
      <c r="J1536" s="330"/>
      <c r="K1536" s="329"/>
      <c r="L1536" s="157"/>
      <c r="M1536" s="360">
        <f t="shared" si="163"/>
        <v>0</v>
      </c>
      <c r="N1536" s="237">
        <f t="shared" si="164"/>
        <v>0</v>
      </c>
      <c r="O1536" s="361"/>
      <c r="P1536" s="361"/>
      <c r="Q1536" s="361"/>
      <c r="R1536" s="362"/>
      <c r="S1536" s="236"/>
      <c r="T1536" s="364">
        <f t="shared" si="161"/>
        <v>0</v>
      </c>
      <c r="U1536" s="365"/>
      <c r="V1536" s="365"/>
      <c r="W1536" s="365"/>
      <c r="X1536" s="365"/>
      <c r="Y1536" s="362"/>
    </row>
    <row r="1537" spans="1:44" s="18" customFormat="1" x14ac:dyDescent="0.25">
      <c r="A1537" s="333" t="s">
        <v>757</v>
      </c>
      <c r="B1537" s="334">
        <v>-72287.158840000033</v>
      </c>
      <c r="C1537" s="164"/>
      <c r="D1537" s="333" t="s">
        <v>757</v>
      </c>
      <c r="E1537" s="334">
        <v>-72287.158840000033</v>
      </c>
      <c r="F1537" s="164"/>
      <c r="G1537" s="333" t="s">
        <v>757</v>
      </c>
      <c r="H1537" s="334">
        <v>-72287.158840000033</v>
      </c>
      <c r="I1537" s="164"/>
      <c r="J1537" s="333" t="s">
        <v>757</v>
      </c>
      <c r="K1537" s="334">
        <v>-72287.158840000033</v>
      </c>
      <c r="L1537" s="164"/>
      <c r="M1537" s="358" t="str">
        <f t="shared" si="163"/>
        <v>P5121</v>
      </c>
      <c r="N1537" s="239">
        <f t="shared" si="164"/>
        <v>-72287.158840000033</v>
      </c>
      <c r="O1537" s="243"/>
      <c r="P1537" s="243">
        <f>MATCH(Q1537,Q1538:Q$1550,0)</f>
        <v>4</v>
      </c>
      <c r="Q1537" s="243" t="s">
        <v>697</v>
      </c>
      <c r="R1537" s="359" t="str">
        <f>IF(Q1537="ekrk",INDEX(indexy_SDcast!$A:$C,MATCH($M1537,indexy_SDcast!$A:$A,0),2),"")</f>
        <v/>
      </c>
      <c r="S1537" s="240"/>
      <c r="T1537" s="363" t="str">
        <f t="shared" si="161"/>
        <v>P5121</v>
      </c>
      <c r="U1537" s="244">
        <f>SUM(U1538:U1540)</f>
        <v>-72287.158840000033</v>
      </c>
      <c r="V1537" s="244">
        <f>SUM(V1538:V1540)</f>
        <v>-74634.055821015718</v>
      </c>
      <c r="W1537" s="244">
        <f>SUM(W1538:W1540)</f>
        <v>-77934.950930020699</v>
      </c>
      <c r="X1537" s="244">
        <f>SUM(X1538:X1540)</f>
        <v>-81865.481871095966</v>
      </c>
      <c r="Y1537" s="359">
        <f>SUM(Y1538:Y1540)</f>
        <v>-86374.601494868664</v>
      </c>
      <c r="Z1537" s="58"/>
      <c r="AA1537" s="58"/>
      <c r="AB1537" s="58"/>
      <c r="AC1537" s="58"/>
      <c r="AD1537" s="58"/>
      <c r="AE1537" s="58"/>
      <c r="AF1537" s="58"/>
      <c r="AG1537" s="58"/>
      <c r="AH1537" s="58"/>
      <c r="AI1537" s="58"/>
      <c r="AJ1537" s="58"/>
      <c r="AK1537" s="58"/>
      <c r="AL1537" s="58"/>
      <c r="AM1537" s="58"/>
      <c r="AN1537" s="58"/>
      <c r="AO1537" s="58"/>
      <c r="AP1537" s="58"/>
      <c r="AQ1537" s="58"/>
      <c r="AR1537" s="58"/>
    </row>
    <row r="1538" spans="1:44" x14ac:dyDescent="0.25">
      <c r="A1538" s="330">
        <v>711003</v>
      </c>
      <c r="B1538" s="329">
        <v>-65340.089540000037</v>
      </c>
      <c r="C1538" s="157"/>
      <c r="D1538" s="330">
        <v>711003</v>
      </c>
      <c r="E1538" s="329">
        <v>-65340.089540000037</v>
      </c>
      <c r="F1538" s="157"/>
      <c r="G1538" s="330">
        <v>711003</v>
      </c>
      <c r="H1538" s="329">
        <v>-65340.089540000037</v>
      </c>
      <c r="I1538" s="157"/>
      <c r="J1538" s="330">
        <v>711003</v>
      </c>
      <c r="K1538" s="329">
        <v>-65340.089540000037</v>
      </c>
      <c r="L1538" s="157"/>
      <c r="M1538" s="360">
        <f t="shared" si="163"/>
        <v>711003</v>
      </c>
      <c r="N1538" s="237">
        <f t="shared" si="164"/>
        <v>-65340.089540000037</v>
      </c>
      <c r="O1538" s="361"/>
      <c r="P1538" s="361"/>
      <c r="Q1538" s="361" t="s">
        <v>698</v>
      </c>
      <c r="R1538" s="362">
        <f>IF(Q1538="ekrk",INDEX(indexy_SDcast!$A:$C,MATCH($M1538,indexy_SDcast!$A:$A,0),2),"")</f>
        <v>37</v>
      </c>
      <c r="S1538" s="236"/>
      <c r="T1538" s="364">
        <f t="shared" si="161"/>
        <v>711003</v>
      </c>
      <c r="U1538" s="365">
        <f>N1538</f>
        <v>-65340.089540000037</v>
      </c>
      <c r="V1538" s="365">
        <f>IF($Q1538="ekrk",IF($R1538="data",IFERROR(INDEX(data!$A:$ALL,MATCH($M1538,data!$A:$A,0),MATCH(V$2,data!$1:$1,0)),"#data"),IFERROR(U1538*INDEX(indexy_SDcast!$A:$ALI,MATCH($R1538,indexy_SDcast!$K:$K,0),MATCH(V$2,indexy_SDcast!$2:$2,0)),"#ekrk")),"#popis")</f>
        <v>-67461.440846947051</v>
      </c>
      <c r="W1538" s="365">
        <f>IF($Q1538="ekrk",IF($R1538="data",IFERROR(INDEX(data!$A:$ALL,MATCH($M1538,data!$A:$A,0),MATCH(W$2,data!$1:$1,0)),"#data"),IFERROR(V1538*INDEX(indexy_SDcast!$A:$ALI,MATCH($R1538,indexy_SDcast!$K:$K,0),MATCH(W$2,indexy_SDcast!$2:$2,0)),"#ekrk")),"#popis")</f>
        <v>-70445.107454482699</v>
      </c>
      <c r="X1538" s="365">
        <f>IF($Q1538="ekrk",IF($R1538="data",IFERROR(INDEX(data!$A:$ALL,MATCH($M1538,data!$A:$A,0),MATCH(X$2,data!$1:$1,0)),"#data"),IFERROR(W1538*INDEX(indexy_SDcast!$A:$ALI,MATCH($R1538,indexy_SDcast!$K:$K,0),MATCH(X$2,indexy_SDcast!$2:$2,0)),"#ekrk")),"#popis")</f>
        <v>-73997.899509819181</v>
      </c>
      <c r="Y1538" s="362">
        <f>IF($Q1538="ekrk",IF($R1538="data",IFERROR(INDEX(data!$A:$ALL,MATCH($M1538,data!$A:$A,0),MATCH(Y$2,data!$1:$1,0)),"#data"),IFERROR(X1538*INDEX(indexy_SDcast!$A:$ALI,MATCH($R1538,indexy_SDcast!$K:$K,0),MATCH(Y$2,indexy_SDcast!$2:$2,0)),"#ekrk")),"#popis")</f>
        <v>-78073.675687660158</v>
      </c>
    </row>
    <row r="1539" spans="1:44" x14ac:dyDescent="0.25">
      <c r="A1539" s="330">
        <v>711005</v>
      </c>
      <c r="B1539" s="329">
        <v>-1186.9732199999996</v>
      </c>
      <c r="C1539" s="157"/>
      <c r="D1539" s="330">
        <v>711005</v>
      </c>
      <c r="E1539" s="329">
        <v>-1186.9732199999996</v>
      </c>
      <c r="F1539" s="157"/>
      <c r="G1539" s="330">
        <v>711005</v>
      </c>
      <c r="H1539" s="329">
        <v>-1186.9732199999996</v>
      </c>
      <c r="I1539" s="157"/>
      <c r="J1539" s="330">
        <v>711005</v>
      </c>
      <c r="K1539" s="329">
        <v>-1186.9732199999996</v>
      </c>
      <c r="L1539" s="157"/>
      <c r="M1539" s="360">
        <f t="shared" si="163"/>
        <v>711005</v>
      </c>
      <c r="N1539" s="237">
        <f t="shared" si="164"/>
        <v>-1186.9732199999996</v>
      </c>
      <c r="O1539" s="361"/>
      <c r="P1539" s="361"/>
      <c r="Q1539" s="361" t="s">
        <v>698</v>
      </c>
      <c r="R1539" s="362">
        <f>IF(Q1539="ekrk",INDEX(indexy_SDcast!$A:$C,MATCH($M1539,indexy_SDcast!$A:$A,0),2),"")</f>
        <v>37</v>
      </c>
      <c r="S1539" s="236"/>
      <c r="T1539" s="364">
        <f t="shared" si="161"/>
        <v>711005</v>
      </c>
      <c r="U1539" s="365">
        <f>N1539</f>
        <v>-1186.9732199999996</v>
      </c>
      <c r="V1539" s="365">
        <f>IF($Q1539="ekrk",IF($R1539="data",IFERROR(INDEX(data!$A:$ALL,MATCH($M1539,data!$A:$A,0),MATCH(V$2,data!$1:$1,0)),"#data"),IFERROR(U1539*INDEX(indexy_SDcast!$A:$ALI,MATCH($R1539,indexy_SDcast!$K:$K,0),MATCH(V$2,indexy_SDcast!$2:$2,0)),"#ekrk")),"#popis")</f>
        <v>-1225.5098551543888</v>
      </c>
      <c r="W1539" s="365">
        <f>IF($Q1539="ekrk",IF($R1539="data",IFERROR(INDEX(data!$A:$ALL,MATCH($M1539,data!$A:$A,0),MATCH(W$2,data!$1:$1,0)),"#data"),IFERROR(V1539*INDEX(indexy_SDcast!$A:$ALI,MATCH($R1539,indexy_SDcast!$K:$K,0),MATCH(W$2,indexy_SDcast!$2:$2,0)),"#ekrk")),"#popis")</f>
        <v>-1279.7113780706529</v>
      </c>
      <c r="X1539" s="365">
        <f>IF($Q1539="ekrk",IF($R1539="data",IFERROR(INDEX(data!$A:$ALL,MATCH($M1539,data!$A:$A,0),MATCH(X$2,data!$1:$1,0)),"#data"),IFERROR(W1539*INDEX(indexy_SDcast!$A:$ALI,MATCH($R1539,indexy_SDcast!$K:$K,0),MATCH(X$2,indexy_SDcast!$2:$2,0)),"#ekrk")),"#popis")</f>
        <v>-1344.2516787589698</v>
      </c>
      <c r="Y1539" s="362">
        <f>IF($Q1539="ekrk",IF($R1539="data",IFERROR(INDEX(data!$A:$ALL,MATCH($M1539,data!$A:$A,0),MATCH(Y$2,data!$1:$1,0)),"#data"),IFERROR(X1539*INDEX(indexy_SDcast!$A:$ALI,MATCH($R1539,indexy_SDcast!$K:$K,0),MATCH(Y$2,indexy_SDcast!$2:$2,0)),"#ekrk")),"#popis")</f>
        <v>-1418.2925502648093</v>
      </c>
    </row>
    <row r="1540" spans="1:44" x14ac:dyDescent="0.25">
      <c r="A1540" s="330">
        <v>718006</v>
      </c>
      <c r="B1540" s="329">
        <v>-5760.0960800000003</v>
      </c>
      <c r="C1540" s="157"/>
      <c r="D1540" s="330">
        <v>718006</v>
      </c>
      <c r="E1540" s="329">
        <v>-5760.0960800000003</v>
      </c>
      <c r="F1540" s="157"/>
      <c r="G1540" s="330">
        <v>718006</v>
      </c>
      <c r="H1540" s="329">
        <v>-5760.0960800000003</v>
      </c>
      <c r="I1540" s="157"/>
      <c r="J1540" s="330">
        <v>718006</v>
      </c>
      <c r="K1540" s="329">
        <v>-5760.0960800000003</v>
      </c>
      <c r="L1540" s="157"/>
      <c r="M1540" s="360">
        <f t="shared" si="163"/>
        <v>718006</v>
      </c>
      <c r="N1540" s="237">
        <f t="shared" si="164"/>
        <v>-5760.0960800000003</v>
      </c>
      <c r="O1540" s="361"/>
      <c r="P1540" s="361"/>
      <c r="Q1540" s="361" t="s">
        <v>698</v>
      </c>
      <c r="R1540" s="362">
        <f>IF(Q1540="ekrk",INDEX(indexy_SDcast!$A:$C,MATCH($M1540,indexy_SDcast!$A:$A,0),2),"")</f>
        <v>37</v>
      </c>
      <c r="S1540" s="236"/>
      <c r="T1540" s="364">
        <f t="shared" si="161"/>
        <v>718006</v>
      </c>
      <c r="U1540" s="365">
        <f>N1540</f>
        <v>-5760.0960800000003</v>
      </c>
      <c r="V1540" s="365">
        <f>IF($Q1540="ekrk",IF($R1540="data",IFERROR(INDEX(data!$A:$ALL,MATCH($M1540,data!$A:$A,0),MATCH(V$2,data!$1:$1,0)),"#data"),IFERROR(U1540*INDEX(indexy_SDcast!$A:$ALI,MATCH($R1540,indexy_SDcast!$K:$K,0),MATCH(V$2,indexy_SDcast!$2:$2,0)),"#ekrk")),"#popis")</f>
        <v>-5947.105118914279</v>
      </c>
      <c r="W1540" s="365">
        <f>IF($Q1540="ekrk",IF($R1540="data",IFERROR(INDEX(data!$A:$ALL,MATCH($M1540,data!$A:$A,0),MATCH(W$2,data!$1:$1,0)),"#data"),IFERROR(V1540*INDEX(indexy_SDcast!$A:$ALI,MATCH($R1540,indexy_SDcast!$K:$K,0),MATCH(W$2,indexy_SDcast!$2:$2,0)),"#ekrk")),"#popis")</f>
        <v>-6210.1320974673454</v>
      </c>
      <c r="X1540" s="365">
        <f>IF($Q1540="ekrk",IF($R1540="data",IFERROR(INDEX(data!$A:$ALL,MATCH($M1540,data!$A:$A,0),MATCH(X$2,data!$1:$1,0)),"#data"),IFERROR(W1540*INDEX(indexy_SDcast!$A:$ALI,MATCH($R1540,indexy_SDcast!$K:$K,0),MATCH(X$2,indexy_SDcast!$2:$2,0)),"#ekrk")),"#popis")</f>
        <v>-6523.3306825178115</v>
      </c>
      <c r="Y1540" s="362">
        <f>IF($Q1540="ekrk",IF($R1540="data",IFERROR(INDEX(data!$A:$ALL,MATCH($M1540,data!$A:$A,0),MATCH(Y$2,data!$1:$1,0)),"#data"),IFERROR(X1540*INDEX(indexy_SDcast!$A:$ALI,MATCH($R1540,indexy_SDcast!$K:$K,0),MATCH(Y$2,indexy_SDcast!$2:$2,0)),"#ekrk")),"#popis")</f>
        <v>-6882.6332569436863</v>
      </c>
    </row>
    <row r="1541" spans="1:44" s="18" customFormat="1" x14ac:dyDescent="0.25">
      <c r="A1541" s="333" t="s">
        <v>758</v>
      </c>
      <c r="B1541" s="334">
        <v>-3341.3813300000002</v>
      </c>
      <c r="C1541" s="164"/>
      <c r="D1541" s="333" t="s">
        <v>758</v>
      </c>
      <c r="E1541" s="334">
        <v>-3341.3813300000002</v>
      </c>
      <c r="F1541" s="164"/>
      <c r="G1541" s="333" t="s">
        <v>758</v>
      </c>
      <c r="H1541" s="334">
        <v>-3341.3813300000002</v>
      </c>
      <c r="I1541" s="164"/>
      <c r="J1541" s="333" t="s">
        <v>758</v>
      </c>
      <c r="K1541" s="334">
        <v>-3341.3813300000002</v>
      </c>
      <c r="L1541" s="164"/>
      <c r="M1541" s="358" t="str">
        <f t="shared" si="163"/>
        <v>P5132</v>
      </c>
      <c r="N1541" s="239">
        <f t="shared" si="164"/>
        <v>-3341.3813300000002</v>
      </c>
      <c r="O1541" s="243"/>
      <c r="P1541" s="243">
        <f>MATCH(Q1541,Q1542:Q$1550,0)</f>
        <v>3</v>
      </c>
      <c r="Q1541" s="243" t="s">
        <v>697</v>
      </c>
      <c r="R1541" s="359" t="str">
        <f>IF(Q1541="ekrk",INDEX(indexy_SDcast!$A:$C,MATCH($M1541,indexy_SDcast!$A:$A,0),2),"")</f>
        <v/>
      </c>
      <c r="S1541" s="240"/>
      <c r="T1541" s="363" t="str">
        <f t="shared" si="161"/>
        <v>P5132</v>
      </c>
      <c r="U1541" s="244">
        <f>SUM(U1542:U1543)</f>
        <v>-3341.3813300000002</v>
      </c>
      <c r="V1541" s="244">
        <f>SUM(V1542:V1543)</f>
        <v>-3341.3813300000002</v>
      </c>
      <c r="W1541" s="244">
        <f>SUM(W1542:W1543)</f>
        <v>-3341.3813300000002</v>
      </c>
      <c r="X1541" s="244">
        <f>SUM(X1542:X1543)</f>
        <v>-3341.3813300000002</v>
      </c>
      <c r="Y1541" s="359">
        <f>SUM(Y1542:Y1543)</f>
        <v>-3341.3813300000002</v>
      </c>
      <c r="Z1541" s="58"/>
      <c r="AA1541" s="58"/>
      <c r="AB1541" s="58"/>
      <c r="AC1541" s="58"/>
      <c r="AD1541" s="58"/>
      <c r="AE1541" s="58"/>
      <c r="AF1541" s="58"/>
      <c r="AG1541" s="58"/>
      <c r="AH1541" s="58"/>
      <c r="AI1541" s="58"/>
      <c r="AJ1541" s="58"/>
      <c r="AK1541" s="58"/>
      <c r="AL1541" s="58"/>
      <c r="AM1541" s="58"/>
      <c r="AN1541" s="58"/>
      <c r="AO1541" s="58"/>
      <c r="AP1541" s="58"/>
      <c r="AQ1541" s="58"/>
      <c r="AR1541" s="58"/>
    </row>
    <row r="1542" spans="1:44" x14ac:dyDescent="0.25">
      <c r="A1542" s="330">
        <v>233000</v>
      </c>
      <c r="B1542" s="329">
        <v>1.0000000000065512E-5</v>
      </c>
      <c r="C1542" s="157"/>
      <c r="D1542" s="330">
        <v>233000</v>
      </c>
      <c r="E1542" s="329">
        <v>1.0000000000065512E-5</v>
      </c>
      <c r="F1542" s="157"/>
      <c r="G1542" s="330">
        <v>233000</v>
      </c>
      <c r="H1542" s="329">
        <v>1.0000000000065512E-5</v>
      </c>
      <c r="I1542" s="157"/>
      <c r="J1542" s="330">
        <v>233000</v>
      </c>
      <c r="K1542" s="329">
        <v>1.0000000000065512E-5</v>
      </c>
      <c r="L1542" s="157"/>
      <c r="M1542" s="360">
        <f t="shared" si="163"/>
        <v>233000</v>
      </c>
      <c r="N1542" s="237">
        <f t="shared" si="164"/>
        <v>1.0000000000065512E-5</v>
      </c>
      <c r="O1542" s="361"/>
      <c r="P1542" s="361"/>
      <c r="Q1542" s="361" t="s">
        <v>698</v>
      </c>
      <c r="R1542" s="362">
        <f>IF(Q1542="ekrk",INDEX(indexy_SDcast!$A:$C,MATCH($M1542,indexy_SDcast!$A:$A,0),2),"")</f>
        <v>9</v>
      </c>
      <c r="S1542" s="236"/>
      <c r="T1542" s="364">
        <f t="shared" si="161"/>
        <v>233000</v>
      </c>
      <c r="U1542" s="365">
        <f>N1542</f>
        <v>1.0000000000065512E-5</v>
      </c>
      <c r="V1542" s="365">
        <f>IF($Q1542="ekrk",IF($R1542="data",IFERROR(INDEX(data!$A:$ALL,MATCH($M1542,data!$A:$A,0),MATCH(V$2,data!$1:$1,0)),"#data"),IFERROR(U1542*INDEX(indexy_SDcast!$A:$ALI,MATCH($R1542,indexy_SDcast!$K:$K,0),MATCH(V$2,indexy_SDcast!$2:$2,0)),"#ekrk")),"#popis")</f>
        <v>1.0000000000065512E-5</v>
      </c>
      <c r="W1542" s="365">
        <f>IF($Q1542="ekrk",IF($R1542="data",IFERROR(INDEX(data!$A:$ALL,MATCH($M1542,data!$A:$A,0),MATCH(W$2,data!$1:$1,0)),"#data"),IFERROR(V1542*INDEX(indexy_SDcast!$A:$ALI,MATCH($R1542,indexy_SDcast!$K:$K,0),MATCH(W$2,indexy_SDcast!$2:$2,0)),"#ekrk")),"#popis")</f>
        <v>1.0000000000065512E-5</v>
      </c>
      <c r="X1542" s="365">
        <f>IF($Q1542="ekrk",IF($R1542="data",IFERROR(INDEX(data!$A:$ALL,MATCH($M1542,data!$A:$A,0),MATCH(X$2,data!$1:$1,0)),"#data"),IFERROR(W1542*INDEX(indexy_SDcast!$A:$ALI,MATCH($R1542,indexy_SDcast!$K:$K,0),MATCH(X$2,indexy_SDcast!$2:$2,0)),"#ekrk")),"#popis")</f>
        <v>1.0000000000065512E-5</v>
      </c>
      <c r="Y1542" s="362">
        <f>IF($Q1542="ekrk",IF($R1542="data",IFERROR(INDEX(data!$A:$ALL,MATCH($M1542,data!$A:$A,0),MATCH(Y$2,data!$1:$1,0)),"#data"),IFERROR(X1542*INDEX(indexy_SDcast!$A:$ALI,MATCH($R1542,indexy_SDcast!$K:$K,0),MATCH(Y$2,indexy_SDcast!$2:$2,0)),"#ekrk")),"#popis")</f>
        <v>1.0000000000065512E-5</v>
      </c>
    </row>
    <row r="1543" spans="1:44" x14ac:dyDescent="0.25">
      <c r="A1543" s="330">
        <v>233001</v>
      </c>
      <c r="B1543" s="329">
        <v>-3341.3813400000004</v>
      </c>
      <c r="C1543" s="157"/>
      <c r="D1543" s="330">
        <v>233001</v>
      </c>
      <c r="E1543" s="329">
        <v>-3341.3813400000004</v>
      </c>
      <c r="F1543" s="157"/>
      <c r="G1543" s="330">
        <v>233001</v>
      </c>
      <c r="H1543" s="329">
        <v>-3341.3813400000004</v>
      </c>
      <c r="I1543" s="157"/>
      <c r="J1543" s="330">
        <v>233001</v>
      </c>
      <c r="K1543" s="329">
        <v>-3341.3813400000004</v>
      </c>
      <c r="L1543" s="157"/>
      <c r="M1543" s="360">
        <f t="shared" si="163"/>
        <v>233001</v>
      </c>
      <c r="N1543" s="237">
        <f t="shared" si="164"/>
        <v>-3341.3813400000004</v>
      </c>
      <c r="O1543" s="361"/>
      <c r="P1543" s="361"/>
      <c r="Q1543" s="361" t="s">
        <v>698</v>
      </c>
      <c r="R1543" s="362">
        <f>IF(Q1543="ekrk",INDEX(indexy_SDcast!$A:$C,MATCH($M1543,indexy_SDcast!$A:$A,0),2),"")</f>
        <v>9</v>
      </c>
      <c r="S1543" s="236"/>
      <c r="T1543" s="364">
        <f t="shared" si="161"/>
        <v>233001</v>
      </c>
      <c r="U1543" s="365">
        <f>N1543</f>
        <v>-3341.3813400000004</v>
      </c>
      <c r="V1543" s="365">
        <f>IF($Q1543="ekrk",IF($R1543="data",IFERROR(INDEX(data!$A:$ALL,MATCH($M1543,data!$A:$A,0),MATCH(V$2,data!$1:$1,0)),"#data"),IFERROR(U1543*INDEX(indexy_SDcast!$A:$ALI,MATCH($R1543,indexy_SDcast!$K:$K,0),MATCH(V$2,indexy_SDcast!$2:$2,0)),"#ekrk")),"#popis")</f>
        <v>-3341.3813400000004</v>
      </c>
      <c r="W1543" s="365">
        <f>IF($Q1543="ekrk",IF($R1543="data",IFERROR(INDEX(data!$A:$ALL,MATCH($M1543,data!$A:$A,0),MATCH(W$2,data!$1:$1,0)),"#data"),IFERROR(V1543*INDEX(indexy_SDcast!$A:$ALI,MATCH($R1543,indexy_SDcast!$K:$K,0),MATCH(W$2,indexy_SDcast!$2:$2,0)),"#ekrk")),"#popis")</f>
        <v>-3341.3813400000004</v>
      </c>
      <c r="X1543" s="365">
        <f>IF($Q1543="ekrk",IF($R1543="data",IFERROR(INDEX(data!$A:$ALL,MATCH($M1543,data!$A:$A,0),MATCH(X$2,data!$1:$1,0)),"#data"),IFERROR(W1543*INDEX(indexy_SDcast!$A:$ALI,MATCH($R1543,indexy_SDcast!$K:$K,0),MATCH(X$2,indexy_SDcast!$2:$2,0)),"#ekrk")),"#popis")</f>
        <v>-3341.3813400000004</v>
      </c>
      <c r="Y1543" s="362">
        <f>IF($Q1543="ekrk",IF($R1543="data",IFERROR(INDEX(data!$A:$ALL,MATCH($M1543,data!$A:$A,0),MATCH(Y$2,data!$1:$1,0)),"#data"),IFERROR(X1543*INDEX(indexy_SDcast!$A:$ALI,MATCH($R1543,indexy_SDcast!$K:$K,0),MATCH(Y$2,indexy_SDcast!$2:$2,0)),"#ekrk")),"#popis")</f>
        <v>-3341.3813400000004</v>
      </c>
    </row>
    <row r="1544" spans="1:44" s="18" customFormat="1" x14ac:dyDescent="0.25">
      <c r="A1544" s="333" t="s">
        <v>759</v>
      </c>
      <c r="B1544" s="334">
        <v>-50738.810730000012</v>
      </c>
      <c r="C1544" s="164"/>
      <c r="D1544" s="333" t="s">
        <v>759</v>
      </c>
      <c r="E1544" s="334">
        <v>-50738.810730000012</v>
      </c>
      <c r="F1544" s="164"/>
      <c r="G1544" s="333" t="s">
        <v>759</v>
      </c>
      <c r="H1544" s="334">
        <v>-50738.810730000012</v>
      </c>
      <c r="I1544" s="164"/>
      <c r="J1544" s="333" t="s">
        <v>759</v>
      </c>
      <c r="K1544" s="334">
        <v>-50738.810730000012</v>
      </c>
      <c r="L1544" s="164"/>
      <c r="M1544" s="358" t="str">
        <f t="shared" si="163"/>
        <v>P52A</v>
      </c>
      <c r="N1544" s="239">
        <f t="shared" si="164"/>
        <v>-50738.810730000012</v>
      </c>
      <c r="O1544" s="243"/>
      <c r="P1544" s="243">
        <f>MATCH(Q1544,Q1545:Q$1550,0)</f>
        <v>2</v>
      </c>
      <c r="Q1544" s="243" t="s">
        <v>697</v>
      </c>
      <c r="R1544" s="359" t="str">
        <f>IF(Q1544="ekrk",INDEX(indexy_SDcast!$A:$C,MATCH($M1544,indexy_SDcast!$A:$A,0),2),"")</f>
        <v/>
      </c>
      <c r="S1544" s="240"/>
      <c r="T1544" s="363" t="str">
        <f t="shared" si="161"/>
        <v>P52A</v>
      </c>
      <c r="U1544" s="244">
        <f>SUM(U1545:U1545)</f>
        <v>-50738.810730000012</v>
      </c>
      <c r="V1544" s="244">
        <f>SUM(V1545:V1545)</f>
        <v>-50738.810730000012</v>
      </c>
      <c r="W1544" s="244">
        <f>SUM(W1545:W1545)</f>
        <v>-50738.810730000012</v>
      </c>
      <c r="X1544" s="244">
        <f>SUM(X1545:X1545)</f>
        <v>-50738.810730000012</v>
      </c>
      <c r="Y1544" s="359">
        <f>SUM(Y1545:Y1545)</f>
        <v>-50738.810730000012</v>
      </c>
      <c r="Z1544" s="58"/>
      <c r="AA1544" s="58"/>
      <c r="AB1544" s="58"/>
      <c r="AC1544" s="58"/>
      <c r="AD1544" s="58"/>
      <c r="AE1544" s="58"/>
      <c r="AF1544" s="58"/>
      <c r="AG1544" s="58"/>
      <c r="AH1544" s="58"/>
      <c r="AI1544" s="58"/>
      <c r="AJ1544" s="58"/>
      <c r="AK1544" s="58"/>
      <c r="AL1544" s="58"/>
      <c r="AM1544" s="58"/>
      <c r="AN1544" s="58"/>
      <c r="AO1544" s="58"/>
      <c r="AP1544" s="58"/>
      <c r="AQ1544" s="58"/>
      <c r="AR1544" s="58"/>
    </row>
    <row r="1545" spans="1:44" x14ac:dyDescent="0.25">
      <c r="A1545" s="330">
        <v>719004</v>
      </c>
      <c r="B1545" s="329">
        <v>-50738.810730000012</v>
      </c>
      <c r="C1545" s="157"/>
      <c r="D1545" s="330">
        <v>719004</v>
      </c>
      <c r="E1545" s="329">
        <v>-50738.810730000012</v>
      </c>
      <c r="F1545" s="157"/>
      <c r="G1545" s="330">
        <v>719004</v>
      </c>
      <c r="H1545" s="329">
        <v>-50738.810730000012</v>
      </c>
      <c r="I1545" s="157"/>
      <c r="J1545" s="330">
        <v>719004</v>
      </c>
      <c r="K1545" s="329">
        <v>-50738.810730000012</v>
      </c>
      <c r="L1545" s="157"/>
      <c r="M1545" s="360">
        <f t="shared" si="163"/>
        <v>719004</v>
      </c>
      <c r="N1545" s="237">
        <f t="shared" si="164"/>
        <v>-50738.810730000012</v>
      </c>
      <c r="O1545" s="361"/>
      <c r="P1545" s="361"/>
      <c r="Q1545" s="361" t="s">
        <v>698</v>
      </c>
      <c r="R1545" s="362">
        <f>IF(Q1545="ekrk",INDEX(indexy_SDcast!$A:$C,MATCH($M1545,indexy_SDcast!$A:$A,0),2),"")</f>
        <v>9</v>
      </c>
      <c r="S1545" s="236"/>
      <c r="T1545" s="364">
        <f t="shared" si="161"/>
        <v>719004</v>
      </c>
      <c r="U1545" s="365">
        <f>N1545</f>
        <v>-50738.810730000012</v>
      </c>
      <c r="V1545" s="365">
        <f>IF($Q1545="ekrk",IF($R1545="data",IFERROR(INDEX(data!$A:$ALL,MATCH($M1545,data!$A:$A,0),MATCH(V$2,data!$1:$1,0)),"#data"),IFERROR(U1545*INDEX(indexy_SDcast!$A:$ALI,MATCH($R1545,indexy_SDcast!$K:$K,0),MATCH(V$2,indexy_SDcast!$2:$2,0)),"#ekrk")),"#popis")</f>
        <v>-50738.810730000012</v>
      </c>
      <c r="W1545" s="365">
        <f>IF($Q1545="ekrk",IF($R1545="data",IFERROR(INDEX(data!$A:$ALL,MATCH($M1545,data!$A:$A,0),MATCH(W$2,data!$1:$1,0)),"#data"),IFERROR(V1545*INDEX(indexy_SDcast!$A:$ALI,MATCH($R1545,indexy_SDcast!$K:$K,0),MATCH(W$2,indexy_SDcast!$2:$2,0)),"#ekrk")),"#popis")</f>
        <v>-50738.810730000012</v>
      </c>
      <c r="X1545" s="365">
        <f>IF($Q1545="ekrk",IF($R1545="data",IFERROR(INDEX(data!$A:$ALL,MATCH($M1545,data!$A:$A,0),MATCH(X$2,data!$1:$1,0)),"#data"),IFERROR(W1545*INDEX(indexy_SDcast!$A:$ALI,MATCH($R1545,indexy_SDcast!$K:$K,0),MATCH(X$2,indexy_SDcast!$2:$2,0)),"#ekrk")),"#popis")</f>
        <v>-50738.810730000012</v>
      </c>
      <c r="Y1545" s="362">
        <f>IF($Q1545="ekrk",IF($R1545="data",IFERROR(INDEX(data!$A:$ALL,MATCH($M1545,data!$A:$A,0),MATCH(Y$2,data!$1:$1,0)),"#data"),IFERROR(X1545*INDEX(indexy_SDcast!$A:$ALI,MATCH($R1545,indexy_SDcast!$K:$K,0),MATCH(Y$2,indexy_SDcast!$2:$2,0)),"#ekrk")),"#popis")</f>
        <v>-50738.810730000012</v>
      </c>
    </row>
    <row r="1546" spans="1:44" s="18" customFormat="1" x14ac:dyDescent="0.25">
      <c r="A1546" s="333" t="s">
        <v>760</v>
      </c>
      <c r="B1546" s="334">
        <v>38472.282199999987</v>
      </c>
      <c r="C1546" s="164"/>
      <c r="D1546" s="333" t="s">
        <v>760</v>
      </c>
      <c r="E1546" s="334">
        <v>38472.282199999987</v>
      </c>
      <c r="F1546" s="164"/>
      <c r="G1546" s="333" t="s">
        <v>760</v>
      </c>
      <c r="H1546" s="334">
        <v>38472.282199999987</v>
      </c>
      <c r="I1546" s="164"/>
      <c r="J1546" s="333" t="s">
        <v>760</v>
      </c>
      <c r="K1546" s="334">
        <v>38472.282199999987</v>
      </c>
      <c r="L1546" s="164"/>
      <c r="M1546" s="358" t="str">
        <f t="shared" si="163"/>
        <v>P52D</v>
      </c>
      <c r="N1546" s="239">
        <f t="shared" si="164"/>
        <v>38472.282199999987</v>
      </c>
      <c r="O1546" s="243"/>
      <c r="P1546" s="243">
        <f>MATCH(Q1546,Q1547:Q$1550,0)</f>
        <v>2</v>
      </c>
      <c r="Q1546" s="243" t="s">
        <v>697</v>
      </c>
      <c r="R1546" s="359" t="str">
        <f>IF(Q1546="ekrk",INDEX(indexy_SDcast!$A:$C,MATCH($M1546,indexy_SDcast!$A:$A,0),2),"")</f>
        <v/>
      </c>
      <c r="S1546" s="240"/>
      <c r="T1546" s="363" t="str">
        <f t="shared" si="161"/>
        <v>P52D</v>
      </c>
      <c r="U1546" s="244">
        <f>SUM(U1547:U1547)</f>
        <v>38472.282199999987</v>
      </c>
      <c r="V1546" s="244">
        <f>SUM(V1547:V1547)</f>
        <v>38472.282199999987</v>
      </c>
      <c r="W1546" s="244">
        <f>SUM(W1547:W1547)</f>
        <v>38472.282199999987</v>
      </c>
      <c r="X1546" s="244">
        <f>SUM(X1547:X1547)</f>
        <v>38472.282199999987</v>
      </c>
      <c r="Y1546" s="359">
        <f>SUM(Y1547:Y1547)</f>
        <v>38472.282199999987</v>
      </c>
      <c r="Z1546" s="58"/>
      <c r="AA1546" s="58"/>
      <c r="AB1546" s="58"/>
      <c r="AC1546" s="58"/>
      <c r="AD1546" s="58"/>
      <c r="AE1546" s="58"/>
      <c r="AF1546" s="58"/>
      <c r="AG1546" s="58"/>
      <c r="AH1546" s="58"/>
      <c r="AI1546" s="58"/>
      <c r="AJ1546" s="58"/>
      <c r="AK1546" s="58"/>
      <c r="AL1546" s="58"/>
      <c r="AM1546" s="58"/>
      <c r="AN1546" s="58"/>
      <c r="AO1546" s="58"/>
      <c r="AP1546" s="58"/>
      <c r="AQ1546" s="58"/>
      <c r="AR1546" s="58"/>
    </row>
    <row r="1547" spans="1:44" x14ac:dyDescent="0.25">
      <c r="A1547" s="330">
        <v>232000</v>
      </c>
      <c r="B1547" s="329">
        <v>38472.282199999987</v>
      </c>
      <c r="C1547" s="157"/>
      <c r="D1547" s="330">
        <v>232000</v>
      </c>
      <c r="E1547" s="329">
        <v>38472.282199999987</v>
      </c>
      <c r="F1547" s="157"/>
      <c r="G1547" s="330">
        <v>232000</v>
      </c>
      <c r="H1547" s="329">
        <v>38472.282199999987</v>
      </c>
      <c r="I1547" s="157"/>
      <c r="J1547" s="330">
        <v>232000</v>
      </c>
      <c r="K1547" s="329">
        <v>38472.282199999987</v>
      </c>
      <c r="L1547" s="157"/>
      <c r="M1547" s="360">
        <f t="shared" si="163"/>
        <v>232000</v>
      </c>
      <c r="N1547" s="237">
        <f t="shared" si="164"/>
        <v>38472.282199999987</v>
      </c>
      <c r="O1547" s="361"/>
      <c r="P1547" s="361"/>
      <c r="Q1547" s="361" t="s">
        <v>698</v>
      </c>
      <c r="R1547" s="362">
        <f>IF(Q1547="ekrk",INDEX(indexy_SDcast!$A:$C,MATCH($M1547,indexy_SDcast!$A:$A,0),2),"")</f>
        <v>9</v>
      </c>
      <c r="S1547" s="236"/>
      <c r="T1547" s="364">
        <f t="shared" si="161"/>
        <v>232000</v>
      </c>
      <c r="U1547" s="365">
        <f>N1547</f>
        <v>38472.282199999987</v>
      </c>
      <c r="V1547" s="365">
        <f>IF($Q1547="ekrk",IF($R1547="data",IFERROR(INDEX(data!$A:$ALL,MATCH($M1547,data!$A:$A,0),MATCH(V$2,data!$1:$1,0)),"#data"),IFERROR(U1547*INDEX(indexy_SDcast!$A:$ALI,MATCH($R1547,indexy_SDcast!$K:$K,0),MATCH(V$2,indexy_SDcast!$2:$2,0)),"#ekrk")),"#popis")</f>
        <v>38472.282199999987</v>
      </c>
      <c r="W1547" s="365">
        <f>IF($Q1547="ekrk",IF($R1547="data",IFERROR(INDEX(data!$A:$ALL,MATCH($M1547,data!$A:$A,0),MATCH(W$2,data!$1:$1,0)),"#data"),IFERROR(V1547*INDEX(indexy_SDcast!$A:$ALI,MATCH($R1547,indexy_SDcast!$K:$K,0),MATCH(W$2,indexy_SDcast!$2:$2,0)),"#ekrk")),"#popis")</f>
        <v>38472.282199999987</v>
      </c>
      <c r="X1547" s="365">
        <f>IF($Q1547="ekrk",IF($R1547="data",IFERROR(INDEX(data!$A:$ALL,MATCH($M1547,data!$A:$A,0),MATCH(X$2,data!$1:$1,0)),"#data"),IFERROR(W1547*INDEX(indexy_SDcast!$A:$ALI,MATCH($R1547,indexy_SDcast!$K:$K,0),MATCH(X$2,indexy_SDcast!$2:$2,0)),"#ekrk")),"#popis")</f>
        <v>38472.282199999987</v>
      </c>
      <c r="Y1547" s="362">
        <f>IF($Q1547="ekrk",IF($R1547="data",IFERROR(INDEX(data!$A:$ALL,MATCH($M1547,data!$A:$A,0),MATCH(Y$2,data!$1:$1,0)),"#data"),IFERROR(X1547*INDEX(indexy_SDcast!$A:$ALI,MATCH($R1547,indexy_SDcast!$K:$K,0),MATCH(Y$2,indexy_SDcast!$2:$2,0)),"#ekrk")),"#popis")</f>
        <v>38472.282199999987</v>
      </c>
    </row>
    <row r="1548" spans="1:44" s="18" customFormat="1" x14ac:dyDescent="0.25">
      <c r="A1548" s="333" t="s">
        <v>761</v>
      </c>
      <c r="B1548" s="334">
        <v>-648.83242000000007</v>
      </c>
      <c r="C1548" s="164"/>
      <c r="D1548" s="333" t="s">
        <v>761</v>
      </c>
      <c r="E1548" s="334">
        <v>-648.83242000000007</v>
      </c>
      <c r="F1548" s="164"/>
      <c r="G1548" s="333" t="s">
        <v>761</v>
      </c>
      <c r="H1548" s="334">
        <v>-648.83242000000007</v>
      </c>
      <c r="I1548" s="164"/>
      <c r="J1548" s="333" t="s">
        <v>761</v>
      </c>
      <c r="K1548" s="334">
        <v>-648.83242000000007</v>
      </c>
      <c r="L1548" s="164"/>
      <c r="M1548" s="358" t="str">
        <f t="shared" si="163"/>
        <v>P53A</v>
      </c>
      <c r="N1548" s="239">
        <f t="shared" si="164"/>
        <v>-648.83242000000007</v>
      </c>
      <c r="O1548" s="243"/>
      <c r="P1548" s="243">
        <f>MATCH(Q1548,Q1549:Q$1550,0)</f>
        <v>2</v>
      </c>
      <c r="Q1548" s="243" t="s">
        <v>697</v>
      </c>
      <c r="R1548" s="359" t="str">
        <f>IF(Q1548="ekrk",INDEX(indexy_SDcast!$A:$C,MATCH($M1548,indexy_SDcast!$A:$A,0),2),"")</f>
        <v/>
      </c>
      <c r="S1548" s="240"/>
      <c r="T1548" s="363" t="str">
        <f t="shared" si="161"/>
        <v>P53A</v>
      </c>
      <c r="U1548" s="244">
        <f>SUM(U1549:U1549)</f>
        <v>-648.83242000000007</v>
      </c>
      <c r="V1548" s="244">
        <f>SUM(V1549:V1549)</f>
        <v>-669.89761155156634</v>
      </c>
      <c r="W1548" s="244">
        <f>SUM(W1549:W1549)</f>
        <v>-699.52566439124644</v>
      </c>
      <c r="X1548" s="244">
        <f>SUM(X1549:X1549)</f>
        <v>-734.80517936052968</v>
      </c>
      <c r="Y1548" s="359">
        <f>SUM(Y1549:Y1549)</f>
        <v>-775.27796933471541</v>
      </c>
      <c r="Z1548" s="58"/>
      <c r="AA1548" s="58"/>
      <c r="AB1548" s="58"/>
      <c r="AC1548" s="58"/>
      <c r="AD1548" s="58"/>
      <c r="AE1548" s="58"/>
      <c r="AF1548" s="58"/>
      <c r="AG1548" s="58"/>
      <c r="AH1548" s="58"/>
      <c r="AI1548" s="58"/>
      <c r="AJ1548" s="58"/>
      <c r="AK1548" s="58"/>
      <c r="AL1548" s="58"/>
      <c r="AM1548" s="58"/>
      <c r="AN1548" s="58"/>
      <c r="AO1548" s="58"/>
      <c r="AP1548" s="58"/>
      <c r="AQ1548" s="58"/>
      <c r="AR1548" s="58"/>
    </row>
    <row r="1549" spans="1:44" x14ac:dyDescent="0.25">
      <c r="A1549" s="369">
        <v>719002</v>
      </c>
      <c r="B1549" s="370">
        <v>-648.83242000000007</v>
      </c>
      <c r="C1549" s="157"/>
      <c r="D1549" s="369">
        <v>719002</v>
      </c>
      <c r="E1549" s="370">
        <v>-648.83242000000007</v>
      </c>
      <c r="F1549" s="157"/>
      <c r="G1549" s="369">
        <v>719002</v>
      </c>
      <c r="H1549" s="370">
        <v>-648.83242000000007</v>
      </c>
      <c r="I1549" s="157"/>
      <c r="J1549" s="369">
        <v>719002</v>
      </c>
      <c r="K1549" s="370">
        <v>-648.83242000000007</v>
      </c>
      <c r="L1549" s="157"/>
      <c r="M1549" s="371">
        <f t="shared" si="163"/>
        <v>719002</v>
      </c>
      <c r="N1549" s="372">
        <f t="shared" si="164"/>
        <v>-648.83242000000007</v>
      </c>
      <c r="O1549" s="373"/>
      <c r="P1549" s="373"/>
      <c r="Q1549" s="373" t="s">
        <v>698</v>
      </c>
      <c r="R1549" s="368">
        <f>IF(Q1549="ekrk",INDEX(indexy_SDcast!$A:$C,MATCH($M1549,indexy_SDcast!$A:$A,0),2),"")</f>
        <v>37</v>
      </c>
      <c r="S1549" s="236"/>
      <c r="T1549" s="366">
        <f t="shared" si="161"/>
        <v>719002</v>
      </c>
      <c r="U1549" s="367">
        <f>N1549</f>
        <v>-648.83242000000007</v>
      </c>
      <c r="V1549" s="367">
        <f>IF($Q1549="ekrk",IF($R1549="data",IFERROR(INDEX(data!$A:$ALL,MATCH($M1549,data!$A:$A,0),MATCH(V$2,data!$1:$1,0)),"#data"),IFERROR(U1549*INDEX(indexy_SDcast!$A:$ALI,MATCH($R1549,indexy_SDcast!$K:$K,0),MATCH(V$2,indexy_SDcast!$2:$2,0)),"#ekrk")),"#popis")</f>
        <v>-669.89761155156634</v>
      </c>
      <c r="W1549" s="367">
        <f>IF($Q1549="ekrk",IF($R1549="data",IFERROR(INDEX(data!$A:$ALL,MATCH($M1549,data!$A:$A,0),MATCH(W$2,data!$1:$1,0)),"#data"),IFERROR(V1549*INDEX(indexy_SDcast!$A:$ALI,MATCH($R1549,indexy_SDcast!$K:$K,0),MATCH(W$2,indexy_SDcast!$2:$2,0)),"#ekrk")),"#popis")</f>
        <v>-699.52566439124644</v>
      </c>
      <c r="X1549" s="367">
        <f>IF($Q1549="ekrk",IF($R1549="data",IFERROR(INDEX(data!$A:$ALL,MATCH($M1549,data!$A:$A,0),MATCH(X$2,data!$1:$1,0)),"#data"),IFERROR(W1549*INDEX(indexy_SDcast!$A:$ALI,MATCH($R1549,indexy_SDcast!$K:$K,0),MATCH(X$2,indexy_SDcast!$2:$2,0)),"#ekrk")),"#popis")</f>
        <v>-734.80517936052968</v>
      </c>
      <c r="Y1549" s="368">
        <f>IF($Q1549="ekrk",IF($R1549="data",IFERROR(INDEX(data!$A:$ALL,MATCH($M1549,data!$A:$A,0),MATCH(Y$2,data!$1:$1,0)),"#data"),IFERROR(X1549*INDEX(indexy_SDcast!$A:$ALI,MATCH($R1549,indexy_SDcast!$K:$K,0),MATCH(Y$2,indexy_SDcast!$2:$2,0)),"#ekrk")),"#popis")</f>
        <v>-775.27796933471541</v>
      </c>
    </row>
    <row r="1550" spans="1:44" s="337" customFormat="1" ht="12.75" x14ac:dyDescent="0.2">
      <c r="A1550" s="338" t="s">
        <v>1206</v>
      </c>
      <c r="B1550" s="339">
        <f>SUM(B4:B1549)/2</f>
        <v>-1994907.1111300038</v>
      </c>
      <c r="C1550" s="343"/>
      <c r="D1550" s="338" t="s">
        <v>1206</v>
      </c>
      <c r="E1550" s="339">
        <f>SUM(E4:E1549)/2</f>
        <v>-1994907.111130002</v>
      </c>
      <c r="F1550" s="343"/>
      <c r="G1550" s="338" t="s">
        <v>1206</v>
      </c>
      <c r="H1550" s="339">
        <f>SUM(H4:H1549)/2</f>
        <v>-1994907.1111300015</v>
      </c>
      <c r="I1550" s="343"/>
      <c r="J1550" s="338" t="s">
        <v>1206</v>
      </c>
      <c r="K1550" s="339">
        <f>SUM(K4:K1549)/2</f>
        <v>-2536056.7032700018</v>
      </c>
      <c r="L1550" s="343"/>
      <c r="M1550" s="338" t="s">
        <v>1003</v>
      </c>
      <c r="N1550" s="339">
        <f>SUM(N4:N1549)/2</f>
        <v>-2536056.7032700018</v>
      </c>
      <c r="O1550" s="342"/>
      <c r="P1550" s="342"/>
      <c r="Q1550" s="354" t="s">
        <v>697</v>
      </c>
      <c r="R1550" s="344"/>
      <c r="S1550" s="338"/>
      <c r="T1550" s="338" t="s">
        <v>1003</v>
      </c>
      <c r="U1550" s="339">
        <f>SUM(U4:U1549)/2</f>
        <v>-2536056.7032700023</v>
      </c>
      <c r="V1550" s="339">
        <f ca="1">SUM(V4:V1549)/2</f>
        <v>-2726163.112302531</v>
      </c>
      <c r="W1550" s="339">
        <f ca="1">SUM(W4:W1549)/2</f>
        <v>-3138647.4002134586</v>
      </c>
      <c r="X1550" s="339">
        <f ca="1">SUM(X4:X1549)/2</f>
        <v>-3224975.7369219535</v>
      </c>
      <c r="Y1550" s="339">
        <f ca="1">SUM(Y4:Y1549)/2</f>
        <v>-3428930.4736517398</v>
      </c>
      <c r="Z1550" s="338"/>
      <c r="AA1550" s="338"/>
      <c r="AB1550" s="338"/>
      <c r="AC1550" s="338"/>
      <c r="AD1550" s="338"/>
      <c r="AE1550" s="338"/>
      <c r="AF1550" s="338"/>
      <c r="AG1550" s="338"/>
      <c r="AH1550" s="338"/>
      <c r="AI1550" s="338"/>
      <c r="AJ1550" s="338"/>
      <c r="AK1550" s="338"/>
      <c r="AL1550" s="338"/>
      <c r="AM1550" s="338"/>
      <c r="AN1550" s="338"/>
      <c r="AO1550" s="338"/>
      <c r="AP1550" s="338"/>
      <c r="AQ1550" s="338"/>
      <c r="AR1550" s="338"/>
    </row>
    <row r="1551" spans="1:44" x14ac:dyDescent="0.25">
      <c r="M1551" s="29"/>
      <c r="N1551" s="29"/>
      <c r="T1551" s="5"/>
      <c r="U1551" s="5"/>
      <c r="V1551" s="5"/>
      <c r="W1551" s="5"/>
      <c r="X1551" s="5"/>
      <c r="Y1551" s="5"/>
    </row>
    <row r="1552" spans="1:44" x14ac:dyDescent="0.25">
      <c r="M1552" s="29"/>
      <c r="N1552" s="29"/>
    </row>
    <row r="1553" spans="13:14" x14ac:dyDescent="0.25">
      <c r="M1553" s="29"/>
      <c r="N1553" s="29"/>
    </row>
    <row r="1554" spans="13:14" x14ac:dyDescent="0.25">
      <c r="M1554" s="29"/>
      <c r="N1554" s="29"/>
    </row>
    <row r="1555" spans="13:14" x14ac:dyDescent="0.25">
      <c r="M1555" s="29"/>
      <c r="N1555" s="29"/>
    </row>
    <row r="1556" spans="13:14" x14ac:dyDescent="0.25">
      <c r="M1556" s="29"/>
      <c r="N1556" s="29"/>
    </row>
    <row r="1557" spans="13:14" x14ac:dyDescent="0.25">
      <c r="M1557" s="29"/>
      <c r="N1557" s="29"/>
    </row>
    <row r="1558" spans="13:14" x14ac:dyDescent="0.25">
      <c r="M1558" s="29"/>
      <c r="N1558" s="29"/>
    </row>
    <row r="1559" spans="13:14" x14ac:dyDescent="0.25">
      <c r="M1559" s="29"/>
      <c r="N1559" s="29"/>
    </row>
    <row r="1560" spans="13:14" x14ac:dyDescent="0.25">
      <c r="M1560" s="29"/>
      <c r="N1560" s="29"/>
    </row>
    <row r="1561" spans="13:14" x14ac:dyDescent="0.25">
      <c r="M1561" s="29"/>
      <c r="N1561" s="29"/>
    </row>
    <row r="1562" spans="13:14" x14ac:dyDescent="0.25">
      <c r="M1562" s="29"/>
      <c r="N1562" s="29"/>
    </row>
    <row r="1563" spans="13:14" x14ac:dyDescent="0.25">
      <c r="M1563" s="29"/>
      <c r="N1563" s="29"/>
    </row>
    <row r="1564" spans="13:14" x14ac:dyDescent="0.25">
      <c r="M1564" s="29"/>
      <c r="N1564" s="29"/>
    </row>
    <row r="1565" spans="13:14" x14ac:dyDescent="0.25">
      <c r="M1565" s="29"/>
      <c r="N1565" s="29"/>
    </row>
    <row r="1566" spans="13:14" x14ac:dyDescent="0.25">
      <c r="M1566" s="29"/>
      <c r="N1566" s="29"/>
    </row>
    <row r="1567" spans="13:14" x14ac:dyDescent="0.25">
      <c r="M1567" s="29"/>
      <c r="N1567" s="29"/>
    </row>
    <row r="1568" spans="13:14" x14ac:dyDescent="0.25">
      <c r="M1568" s="29"/>
      <c r="N1568" s="29"/>
    </row>
    <row r="1569" spans="13:14" x14ac:dyDescent="0.25">
      <c r="M1569" s="29"/>
      <c r="N1569" s="29"/>
    </row>
    <row r="1570" spans="13:14" x14ac:dyDescent="0.25">
      <c r="M1570" s="29"/>
      <c r="N1570" s="29"/>
    </row>
    <row r="1571" spans="13:14" x14ac:dyDescent="0.25">
      <c r="M1571" s="29"/>
      <c r="N1571" s="29"/>
    </row>
    <row r="1572" spans="13:14" x14ac:dyDescent="0.25">
      <c r="M1572" s="29"/>
      <c r="N1572" s="29"/>
    </row>
    <row r="1573" spans="13:14" x14ac:dyDescent="0.25">
      <c r="M1573" s="29"/>
      <c r="N1573" s="29"/>
    </row>
    <row r="1574" spans="13:14" x14ac:dyDescent="0.25">
      <c r="M1574" s="29"/>
      <c r="N1574" s="29"/>
    </row>
    <row r="1575" spans="13:14" x14ac:dyDescent="0.25">
      <c r="M1575" s="29"/>
      <c r="N1575" s="29"/>
    </row>
    <row r="1576" spans="13:14" x14ac:dyDescent="0.25">
      <c r="M1576" s="29"/>
      <c r="N1576" s="29"/>
    </row>
    <row r="1577" spans="13:14" x14ac:dyDescent="0.25">
      <c r="M1577" s="29"/>
      <c r="N1577" s="29"/>
    </row>
    <row r="1578" spans="13:14" x14ac:dyDescent="0.25">
      <c r="M1578" s="29"/>
      <c r="N1578" s="29"/>
    </row>
    <row r="1579" spans="13:14" x14ac:dyDescent="0.25">
      <c r="M1579" s="29"/>
      <c r="N1579" s="29"/>
    </row>
    <row r="1580" spans="13:14" x14ac:dyDescent="0.25">
      <c r="M1580" s="29"/>
      <c r="N1580" s="29"/>
    </row>
    <row r="1581" spans="13:14" x14ac:dyDescent="0.25">
      <c r="M1581" s="29"/>
      <c r="N1581" s="29"/>
    </row>
    <row r="1582" spans="13:14" x14ac:dyDescent="0.25">
      <c r="M1582" s="29"/>
      <c r="N1582" s="29"/>
    </row>
    <row r="1583" spans="13:14" x14ac:dyDescent="0.25">
      <c r="M1583" s="29"/>
      <c r="N1583" s="29"/>
    </row>
    <row r="1584" spans="13:14" x14ac:dyDescent="0.25">
      <c r="M1584" s="29"/>
      <c r="N1584" s="29"/>
    </row>
    <row r="1585" spans="13:14" x14ac:dyDescent="0.25">
      <c r="M1585" s="29"/>
      <c r="N1585" s="29"/>
    </row>
    <row r="1586" spans="13:14" x14ac:dyDescent="0.25">
      <c r="M1586" s="29"/>
      <c r="N1586" s="29"/>
    </row>
    <row r="1587" spans="13:14" x14ac:dyDescent="0.25">
      <c r="M1587" s="29"/>
      <c r="N1587" s="29"/>
    </row>
    <row r="1588" spans="13:14" x14ac:dyDescent="0.25">
      <c r="M1588" s="29"/>
      <c r="N1588" s="29"/>
    </row>
    <row r="1589" spans="13:14" x14ac:dyDescent="0.25">
      <c r="M1589" s="29"/>
      <c r="N1589" s="29"/>
    </row>
    <row r="1590" spans="13:14" x14ac:dyDescent="0.25">
      <c r="M1590" s="29"/>
      <c r="N1590" s="29"/>
    </row>
    <row r="1591" spans="13:14" x14ac:dyDescent="0.25">
      <c r="M1591" s="29"/>
      <c r="N1591" s="29"/>
    </row>
    <row r="1592" spans="13:14" x14ac:dyDescent="0.25">
      <c r="M1592" s="29"/>
      <c r="N1592" s="29"/>
    </row>
    <row r="1593" spans="13:14" x14ac:dyDescent="0.25">
      <c r="M1593" s="29"/>
      <c r="N1593" s="29"/>
    </row>
    <row r="1594" spans="13:14" x14ac:dyDescent="0.25">
      <c r="M1594" s="29"/>
      <c r="N1594" s="29"/>
    </row>
    <row r="1595" spans="13:14" x14ac:dyDescent="0.25">
      <c r="M1595" s="29"/>
      <c r="N1595" s="29"/>
    </row>
    <row r="1596" spans="13:14" x14ac:dyDescent="0.25">
      <c r="M1596" s="29"/>
      <c r="N1596" s="29"/>
    </row>
    <row r="1597" spans="13:14" x14ac:dyDescent="0.25">
      <c r="M1597" s="29"/>
      <c r="N1597" s="29"/>
    </row>
    <row r="1598" spans="13:14" x14ac:dyDescent="0.25">
      <c r="M1598" s="29"/>
      <c r="N1598" s="29"/>
    </row>
    <row r="1599" spans="13:14" x14ac:dyDescent="0.25">
      <c r="M1599" s="29"/>
      <c r="N1599" s="29"/>
    </row>
    <row r="1600" spans="13:14" x14ac:dyDescent="0.25">
      <c r="M1600" s="29"/>
      <c r="N1600" s="29"/>
    </row>
    <row r="1601" spans="13:14" x14ac:dyDescent="0.25">
      <c r="M1601" s="29"/>
      <c r="N1601" s="29"/>
    </row>
    <row r="1602" spans="13:14" x14ac:dyDescent="0.25">
      <c r="M1602" s="29"/>
      <c r="N1602" s="29"/>
    </row>
    <row r="1603" spans="13:14" x14ac:dyDescent="0.25">
      <c r="M1603" s="29"/>
      <c r="N1603" s="29"/>
    </row>
    <row r="1604" spans="13:14" x14ac:dyDescent="0.25">
      <c r="M1604" s="29"/>
      <c r="N1604" s="29"/>
    </row>
    <row r="1605" spans="13:14" x14ac:dyDescent="0.25">
      <c r="M1605" s="29"/>
      <c r="N1605" s="29"/>
    </row>
    <row r="1606" spans="13:14" x14ac:dyDescent="0.25">
      <c r="M1606" s="29"/>
      <c r="N1606" s="29"/>
    </row>
    <row r="1607" spans="13:14" x14ac:dyDescent="0.25">
      <c r="M1607" s="29"/>
      <c r="N1607" s="29"/>
    </row>
    <row r="1608" spans="13:14" x14ac:dyDescent="0.25">
      <c r="M1608" s="29"/>
      <c r="N1608" s="29"/>
    </row>
    <row r="1609" spans="13:14" x14ac:dyDescent="0.25">
      <c r="M1609" s="29"/>
      <c r="N1609" s="29"/>
    </row>
    <row r="1610" spans="13:14" x14ac:dyDescent="0.25">
      <c r="M1610" s="29"/>
      <c r="N1610" s="29"/>
    </row>
    <row r="1611" spans="13:14" x14ac:dyDescent="0.25">
      <c r="M1611" s="29"/>
      <c r="N1611" s="29"/>
    </row>
    <row r="1612" spans="13:14" x14ac:dyDescent="0.25">
      <c r="M1612" s="29"/>
      <c r="N1612" s="29"/>
    </row>
    <row r="1613" spans="13:14" x14ac:dyDescent="0.25">
      <c r="M1613" s="29"/>
      <c r="N1613" s="29"/>
    </row>
    <row r="1614" spans="13:14" x14ac:dyDescent="0.25">
      <c r="M1614" s="29"/>
      <c r="N1614" s="29"/>
    </row>
    <row r="1615" spans="13:14" x14ac:dyDescent="0.25">
      <c r="M1615" s="29"/>
      <c r="N1615" s="29"/>
    </row>
    <row r="1616" spans="13:14" x14ac:dyDescent="0.25">
      <c r="M1616" s="29"/>
      <c r="N1616" s="29"/>
    </row>
    <row r="1617" spans="13:14" x14ac:dyDescent="0.25">
      <c r="M1617" s="29"/>
      <c r="N1617" s="29"/>
    </row>
    <row r="1618" spans="13:14" x14ac:dyDescent="0.25">
      <c r="M1618" s="29"/>
      <c r="N1618" s="29"/>
    </row>
    <row r="1619" spans="13:14" x14ac:dyDescent="0.25">
      <c r="M1619" s="29"/>
      <c r="N1619" s="29"/>
    </row>
    <row r="1620" spans="13:14" x14ac:dyDescent="0.25">
      <c r="M1620" s="29"/>
      <c r="N1620" s="29"/>
    </row>
    <row r="1621" spans="13:14" x14ac:dyDescent="0.25">
      <c r="M1621" s="29"/>
      <c r="N1621" s="29"/>
    </row>
    <row r="1622" spans="13:14" x14ac:dyDescent="0.25">
      <c r="M1622" s="29"/>
      <c r="N1622" s="29"/>
    </row>
    <row r="1623" spans="13:14" x14ac:dyDescent="0.25">
      <c r="M1623" s="29"/>
      <c r="N1623" s="29"/>
    </row>
    <row r="1624" spans="13:14" x14ac:dyDescent="0.25">
      <c r="M1624" s="29"/>
      <c r="N1624" s="29"/>
    </row>
    <row r="1625" spans="13:14" x14ac:dyDescent="0.25">
      <c r="M1625" s="29"/>
      <c r="N1625" s="29"/>
    </row>
    <row r="1626" spans="13:14" x14ac:dyDescent="0.25">
      <c r="M1626" s="29"/>
      <c r="N1626" s="29"/>
    </row>
    <row r="1627" spans="13:14" x14ac:dyDescent="0.25">
      <c r="M1627" s="29"/>
      <c r="N1627" s="29"/>
    </row>
    <row r="1628" spans="13:14" x14ac:dyDescent="0.25">
      <c r="M1628" s="29"/>
      <c r="N1628" s="29"/>
    </row>
    <row r="1629" spans="13:14" x14ac:dyDescent="0.25">
      <c r="M1629" s="29"/>
      <c r="N1629" s="29"/>
    </row>
    <row r="1630" spans="13:14" x14ac:dyDescent="0.25">
      <c r="M1630" s="29"/>
      <c r="N1630" s="29"/>
    </row>
    <row r="1631" spans="13:14" x14ac:dyDescent="0.25">
      <c r="M1631" s="29"/>
      <c r="N1631" s="29"/>
    </row>
    <row r="1632" spans="13:14" x14ac:dyDescent="0.25">
      <c r="M1632" s="29"/>
      <c r="N1632" s="29"/>
    </row>
    <row r="1633" spans="13:14" x14ac:dyDescent="0.25">
      <c r="M1633" s="29"/>
      <c r="N1633" s="29"/>
    </row>
    <row r="1634" spans="13:14" x14ac:dyDescent="0.25">
      <c r="M1634" s="29"/>
      <c r="N1634" s="29"/>
    </row>
    <row r="1635" spans="13:14" x14ac:dyDescent="0.25">
      <c r="M1635" s="29"/>
      <c r="N1635" s="29"/>
    </row>
    <row r="1636" spans="13:14" x14ac:dyDescent="0.25">
      <c r="M1636" s="29"/>
      <c r="N1636" s="29"/>
    </row>
    <row r="1637" spans="13:14" x14ac:dyDescent="0.25">
      <c r="M1637" s="29"/>
      <c r="N1637" s="29"/>
    </row>
    <row r="1638" spans="13:14" x14ac:dyDescent="0.25">
      <c r="M1638" s="29"/>
      <c r="N1638" s="29"/>
    </row>
    <row r="1639" spans="13:14" x14ac:dyDescent="0.25">
      <c r="M1639" s="29"/>
      <c r="N1639" s="29"/>
    </row>
    <row r="1640" spans="13:14" x14ac:dyDescent="0.25">
      <c r="M1640" s="29"/>
      <c r="N1640" s="29"/>
    </row>
    <row r="1641" spans="13:14" x14ac:dyDescent="0.25">
      <c r="M1641" s="29"/>
      <c r="N1641" s="29"/>
    </row>
    <row r="1642" spans="13:14" x14ac:dyDescent="0.25">
      <c r="M1642" s="29"/>
      <c r="N1642" s="29"/>
    </row>
    <row r="1643" spans="13:14" x14ac:dyDescent="0.25">
      <c r="M1643" s="29"/>
      <c r="N1643" s="29"/>
    </row>
    <row r="1644" spans="13:14" x14ac:dyDescent="0.25">
      <c r="M1644" s="29"/>
      <c r="N1644" s="29"/>
    </row>
    <row r="1645" spans="13:14" x14ac:dyDescent="0.25">
      <c r="M1645" s="29"/>
      <c r="N1645" s="29"/>
    </row>
    <row r="1646" spans="13:14" x14ac:dyDescent="0.25">
      <c r="M1646" s="29"/>
      <c r="N1646" s="29"/>
    </row>
    <row r="1647" spans="13:14" x14ac:dyDescent="0.25">
      <c r="M1647" s="29"/>
      <c r="N1647" s="29"/>
    </row>
    <row r="1648" spans="13:14" x14ac:dyDescent="0.25">
      <c r="M1648" s="29"/>
      <c r="N1648" s="29"/>
    </row>
    <row r="1649" spans="13:14" x14ac:dyDescent="0.25">
      <c r="M1649" s="29"/>
      <c r="N1649" s="29"/>
    </row>
    <row r="1650" spans="13:14" x14ac:dyDescent="0.25">
      <c r="M1650" s="29"/>
      <c r="N1650" s="29"/>
    </row>
    <row r="1651" spans="13:14" x14ac:dyDescent="0.25">
      <c r="M1651" s="29"/>
      <c r="N1651" s="29"/>
    </row>
    <row r="1652" spans="13:14" x14ac:dyDescent="0.25">
      <c r="M1652" s="29"/>
      <c r="N1652" s="29"/>
    </row>
    <row r="1653" spans="13:14" x14ac:dyDescent="0.25">
      <c r="M1653" s="29"/>
      <c r="N1653" s="29"/>
    </row>
    <row r="1654" spans="13:14" x14ac:dyDescent="0.25">
      <c r="M1654" s="29"/>
      <c r="N1654" s="29"/>
    </row>
    <row r="1655" spans="13:14" x14ac:dyDescent="0.25">
      <c r="M1655" s="29"/>
      <c r="N1655" s="29"/>
    </row>
    <row r="1656" spans="13:14" x14ac:dyDescent="0.25">
      <c r="M1656" s="29"/>
      <c r="N1656" s="29"/>
    </row>
    <row r="1657" spans="13:14" x14ac:dyDescent="0.25">
      <c r="M1657" s="29"/>
      <c r="N1657" s="29"/>
    </row>
    <row r="1658" spans="13:14" x14ac:dyDescent="0.25">
      <c r="M1658" s="29"/>
      <c r="N1658" s="29"/>
    </row>
    <row r="1659" spans="13:14" x14ac:dyDescent="0.25">
      <c r="M1659" s="29"/>
      <c r="N1659" s="29"/>
    </row>
    <row r="1660" spans="13:14" x14ac:dyDescent="0.25">
      <c r="M1660" s="29"/>
      <c r="N1660" s="29"/>
    </row>
    <row r="1661" spans="13:14" x14ac:dyDescent="0.25">
      <c r="M1661" s="29"/>
      <c r="N1661" s="29"/>
    </row>
    <row r="1662" spans="13:14" x14ac:dyDescent="0.25">
      <c r="M1662" s="29"/>
      <c r="N1662" s="29"/>
    </row>
    <row r="1663" spans="13:14" x14ac:dyDescent="0.25">
      <c r="M1663" s="29"/>
      <c r="N1663" s="29"/>
    </row>
    <row r="1664" spans="13:14" x14ac:dyDescent="0.25">
      <c r="M1664" s="29"/>
      <c r="N1664" s="29"/>
    </row>
    <row r="1665" spans="13:14" x14ac:dyDescent="0.25">
      <c r="M1665" s="29"/>
      <c r="N1665" s="29"/>
    </row>
    <row r="1666" spans="13:14" x14ac:dyDescent="0.25">
      <c r="M1666" s="29"/>
      <c r="N1666" s="29"/>
    </row>
    <row r="1667" spans="13:14" x14ac:dyDescent="0.25">
      <c r="M1667" s="29"/>
      <c r="N1667" s="29"/>
    </row>
    <row r="1668" spans="13:14" x14ac:dyDescent="0.25">
      <c r="M1668" s="29"/>
      <c r="N1668" s="29"/>
    </row>
    <row r="1669" spans="13:14" x14ac:dyDescent="0.25">
      <c r="M1669" s="29"/>
      <c r="N1669" s="29"/>
    </row>
    <row r="1670" spans="13:14" x14ac:dyDescent="0.25">
      <c r="M1670" s="29"/>
      <c r="N1670" s="29"/>
    </row>
    <row r="1671" spans="13:14" x14ac:dyDescent="0.25">
      <c r="M1671" s="29"/>
      <c r="N1671" s="29"/>
    </row>
    <row r="1672" spans="13:14" x14ac:dyDescent="0.25">
      <c r="M1672" s="29"/>
      <c r="N1672" s="29"/>
    </row>
    <row r="1673" spans="13:14" x14ac:dyDescent="0.25">
      <c r="M1673" s="29"/>
      <c r="N1673" s="29"/>
    </row>
    <row r="1674" spans="13:14" x14ac:dyDescent="0.25">
      <c r="M1674" s="29"/>
      <c r="N1674" s="29"/>
    </row>
    <row r="1675" spans="13:14" x14ac:dyDescent="0.25">
      <c r="M1675" s="29"/>
      <c r="N1675" s="29"/>
    </row>
    <row r="1676" spans="13:14" x14ac:dyDescent="0.25">
      <c r="M1676" s="29"/>
      <c r="N1676" s="29"/>
    </row>
    <row r="1677" spans="13:14" x14ac:dyDescent="0.25">
      <c r="M1677" s="29"/>
      <c r="N1677" s="29"/>
    </row>
    <row r="1678" spans="13:14" x14ac:dyDescent="0.25">
      <c r="M1678" s="29"/>
      <c r="N1678" s="29"/>
    </row>
    <row r="1679" spans="13:14" x14ac:dyDescent="0.25">
      <c r="M1679" s="29"/>
      <c r="N1679" s="29"/>
    </row>
    <row r="1680" spans="13:14" x14ac:dyDescent="0.25">
      <c r="M1680" s="29"/>
      <c r="N1680" s="29"/>
    </row>
    <row r="1681" spans="13:14" x14ac:dyDescent="0.25">
      <c r="M1681" s="29"/>
      <c r="N1681" s="29"/>
    </row>
    <row r="1682" spans="13:14" x14ac:dyDescent="0.25">
      <c r="M1682" s="29"/>
      <c r="N1682" s="29"/>
    </row>
    <row r="1683" spans="13:14" x14ac:dyDescent="0.25">
      <c r="M1683" s="29"/>
      <c r="N1683" s="29"/>
    </row>
    <row r="1684" spans="13:14" x14ac:dyDescent="0.25">
      <c r="M1684" s="29"/>
      <c r="N1684" s="29"/>
    </row>
    <row r="1685" spans="13:14" x14ac:dyDescent="0.25">
      <c r="M1685" s="29"/>
      <c r="N1685" s="29"/>
    </row>
    <row r="1686" spans="13:14" x14ac:dyDescent="0.25">
      <c r="M1686" s="29"/>
      <c r="N1686" s="29"/>
    </row>
    <row r="1687" spans="13:14" x14ac:dyDescent="0.25">
      <c r="M1687" s="29"/>
      <c r="N1687" s="29"/>
    </row>
    <row r="1688" spans="13:14" x14ac:dyDescent="0.25">
      <c r="M1688" s="29"/>
      <c r="N1688" s="29"/>
    </row>
    <row r="1689" spans="13:14" x14ac:dyDescent="0.25">
      <c r="M1689" s="29"/>
      <c r="N1689" s="29"/>
    </row>
    <row r="1690" spans="13:14" x14ac:dyDescent="0.25">
      <c r="M1690" s="29"/>
      <c r="N1690" s="29"/>
    </row>
    <row r="1691" spans="13:14" x14ac:dyDescent="0.25">
      <c r="M1691" s="29"/>
      <c r="N1691" s="29"/>
    </row>
    <row r="1692" spans="13:14" x14ac:dyDescent="0.25">
      <c r="M1692" s="29"/>
      <c r="N1692" s="29"/>
    </row>
    <row r="1693" spans="13:14" x14ac:dyDescent="0.25">
      <c r="M1693" s="29"/>
      <c r="N1693" s="29"/>
    </row>
    <row r="1694" spans="13:14" x14ac:dyDescent="0.25">
      <c r="M1694" s="29"/>
      <c r="N1694" s="29"/>
    </row>
    <row r="1695" spans="13:14" x14ac:dyDescent="0.25">
      <c r="M1695" s="29"/>
      <c r="N1695" s="29"/>
    </row>
    <row r="1696" spans="13:14" x14ac:dyDescent="0.25">
      <c r="M1696" s="29"/>
      <c r="N1696" s="29"/>
    </row>
    <row r="1697" spans="13:14" x14ac:dyDescent="0.25">
      <c r="M1697" s="29"/>
      <c r="N1697" s="29"/>
    </row>
    <row r="1698" spans="13:14" x14ac:dyDescent="0.25">
      <c r="M1698" s="29"/>
      <c r="N1698" s="29"/>
    </row>
    <row r="1699" spans="13:14" x14ac:dyDescent="0.25">
      <c r="M1699" s="29"/>
      <c r="N1699" s="29"/>
    </row>
    <row r="1700" spans="13:14" x14ac:dyDescent="0.25">
      <c r="M1700" s="29"/>
      <c r="N1700" s="29"/>
    </row>
    <row r="1701" spans="13:14" x14ac:dyDescent="0.25">
      <c r="M1701" s="29"/>
      <c r="N1701" s="29"/>
    </row>
    <row r="1702" spans="13:14" x14ac:dyDescent="0.25">
      <c r="M1702" s="29"/>
      <c r="N1702" s="29"/>
    </row>
    <row r="1703" spans="13:14" x14ac:dyDescent="0.25">
      <c r="M1703" s="29"/>
      <c r="N1703" s="29"/>
    </row>
    <row r="1704" spans="13:14" x14ac:dyDescent="0.25">
      <c r="M1704" s="29"/>
      <c r="N1704" s="29"/>
    </row>
    <row r="1705" spans="13:14" x14ac:dyDescent="0.25">
      <c r="M1705" s="29"/>
      <c r="N1705" s="29"/>
    </row>
    <row r="1706" spans="13:14" x14ac:dyDescent="0.25">
      <c r="M1706" s="29"/>
      <c r="N1706" s="29"/>
    </row>
    <row r="1707" spans="13:14" x14ac:dyDescent="0.25">
      <c r="M1707" s="29"/>
      <c r="N1707" s="29"/>
    </row>
    <row r="1708" spans="13:14" x14ac:dyDescent="0.25">
      <c r="M1708" s="29"/>
      <c r="N1708" s="29"/>
    </row>
    <row r="1709" spans="13:14" x14ac:dyDescent="0.25">
      <c r="M1709" s="29"/>
      <c r="N1709" s="29"/>
    </row>
    <row r="1710" spans="13:14" x14ac:dyDescent="0.25">
      <c r="M1710" s="29"/>
      <c r="N1710" s="29"/>
    </row>
    <row r="1711" spans="13:14" x14ac:dyDescent="0.25">
      <c r="M1711" s="29"/>
      <c r="N1711" s="29"/>
    </row>
    <row r="1712" spans="13:14" x14ac:dyDescent="0.25">
      <c r="M1712" s="29"/>
      <c r="N1712" s="29"/>
    </row>
    <row r="1713" spans="13:14" x14ac:dyDescent="0.25">
      <c r="M1713" s="29"/>
      <c r="N1713" s="29"/>
    </row>
    <row r="1714" spans="13:14" x14ac:dyDescent="0.25">
      <c r="M1714" s="29"/>
      <c r="N1714" s="29"/>
    </row>
    <row r="1715" spans="13:14" x14ac:dyDescent="0.25">
      <c r="M1715" s="29"/>
      <c r="N1715" s="29"/>
    </row>
    <row r="1716" spans="13:14" x14ac:dyDescent="0.25">
      <c r="M1716" s="29"/>
      <c r="N1716" s="29"/>
    </row>
    <row r="1717" spans="13:14" x14ac:dyDescent="0.25">
      <c r="M1717" s="29"/>
      <c r="N1717" s="29"/>
    </row>
    <row r="1718" spans="13:14" x14ac:dyDescent="0.25">
      <c r="M1718" s="29"/>
      <c r="N1718" s="29"/>
    </row>
    <row r="1719" spans="13:14" x14ac:dyDescent="0.25">
      <c r="M1719" s="29"/>
      <c r="N1719" s="29"/>
    </row>
    <row r="1720" spans="13:14" x14ac:dyDescent="0.25">
      <c r="M1720" s="29"/>
      <c r="N1720" s="29"/>
    </row>
    <row r="1721" spans="13:14" x14ac:dyDescent="0.25">
      <c r="M1721" s="29"/>
      <c r="N1721" s="29"/>
    </row>
    <row r="1722" spans="13:14" x14ac:dyDescent="0.25">
      <c r="M1722" s="29"/>
      <c r="N1722" s="29"/>
    </row>
    <row r="1723" spans="13:14" x14ac:dyDescent="0.25">
      <c r="M1723" s="29"/>
      <c r="N1723" s="29"/>
    </row>
    <row r="1724" spans="13:14" x14ac:dyDescent="0.25">
      <c r="M1724" s="29"/>
      <c r="N1724" s="29"/>
    </row>
    <row r="1725" spans="13:14" x14ac:dyDescent="0.25">
      <c r="M1725" s="29"/>
      <c r="N1725" s="29"/>
    </row>
    <row r="1726" spans="13:14" x14ac:dyDescent="0.25">
      <c r="M1726" s="29"/>
      <c r="N1726" s="29"/>
    </row>
    <row r="1727" spans="13:14" x14ac:dyDescent="0.25">
      <c r="M1727" s="29"/>
      <c r="N1727" s="29"/>
    </row>
    <row r="1728" spans="13:14" x14ac:dyDescent="0.25">
      <c r="M1728" s="29"/>
      <c r="N1728" s="29"/>
    </row>
    <row r="1729" spans="13:14" x14ac:dyDescent="0.25">
      <c r="M1729" s="29"/>
      <c r="N1729" s="29"/>
    </row>
    <row r="1730" spans="13:14" x14ac:dyDescent="0.25">
      <c r="M1730" s="29"/>
      <c r="N1730" s="29"/>
    </row>
    <row r="1731" spans="13:14" x14ac:dyDescent="0.25">
      <c r="M1731" s="29"/>
      <c r="N1731" s="29"/>
    </row>
  </sheetData>
  <mergeCells count="24">
    <mergeCell ref="U479:Y479"/>
    <mergeCell ref="U473:Y473"/>
    <mergeCell ref="U249:Y249"/>
    <mergeCell ref="U124:Y124"/>
    <mergeCell ref="U3:Y3"/>
    <mergeCell ref="N702:R702"/>
    <mergeCell ref="N942:R942"/>
    <mergeCell ref="N973:R973"/>
    <mergeCell ref="U973:Y973"/>
    <mergeCell ref="U942:Y942"/>
    <mergeCell ref="U702:Y702"/>
    <mergeCell ref="N3:R3"/>
    <mergeCell ref="N124:R124"/>
    <mergeCell ref="N249:R249"/>
    <mergeCell ref="N473:R473"/>
    <mergeCell ref="N479:R479"/>
    <mergeCell ref="T1:Y1"/>
    <mergeCell ref="A1:K1"/>
    <mergeCell ref="M1:R1"/>
    <mergeCell ref="D2:E2"/>
    <mergeCell ref="G2:H2"/>
    <mergeCell ref="J2:K2"/>
    <mergeCell ref="A2:B2"/>
    <mergeCell ref="O2:P2"/>
  </mergeCells>
  <conditionalFormatting sqref="C2:D2 F2 S1:T1 Z1:XFD1 L124 S124 L473 S473 L479 S479 L702 S702 L942 S942 L2:N3 S3 L249 S249 L973 S973 Z973:XFD973 Z942:XFD942 Z702:XFD702 Z479:XFD479 Z473:XFD473 Z249:XFD249 Z124:XFD124 Z3:XFD3 Q2:XFD2 O2 G4:H123 J4:XFD123 G125:H248 J125:XFD248 G250:H472 J250:XFD472 G474:H478 J474:XFD478 G480:H701 J480:XFD701 G703:H941 J703:XFD941 G943:H972 J943:XFD972 I2:I973 A3:F973 A1552:XFD1048576 A1551:S1551 Z1551:XFD1551 A974:XFD1550">
    <cfRule type="containsText" dxfId="42" priority="68" operator="containsText" text="#">
      <formula>NOT(ISERROR(SEARCH("#",A1)))</formula>
    </cfRule>
  </conditionalFormatting>
  <conditionalFormatting sqref="G2">
    <cfRule type="containsText" dxfId="41" priority="67" operator="containsText" text="#">
      <formula>NOT(ISERROR(SEARCH("#",G2)))</formula>
    </cfRule>
  </conditionalFormatting>
  <conditionalFormatting sqref="J2">
    <cfRule type="containsText" dxfId="40" priority="66" operator="containsText" text="#">
      <formula>NOT(ISERROR(SEARCH("#",J2)))</formula>
    </cfRule>
  </conditionalFormatting>
  <conditionalFormatting sqref="A2">
    <cfRule type="containsText" dxfId="39" priority="65" operator="containsText" text="#">
      <formula>NOT(ISERROR(SEARCH("#",A2)))</formula>
    </cfRule>
  </conditionalFormatting>
  <conditionalFormatting sqref="G3:H3">
    <cfRule type="containsText" dxfId="38" priority="46" operator="containsText" text="#">
      <formula>NOT(ISERROR(SEARCH("#",G3)))</formula>
    </cfRule>
  </conditionalFormatting>
  <conditionalFormatting sqref="J3:K3">
    <cfRule type="containsText" dxfId="37" priority="45" operator="containsText" text="#">
      <formula>NOT(ISERROR(SEARCH("#",J3)))</formula>
    </cfRule>
  </conditionalFormatting>
  <conditionalFormatting sqref="G124:H124">
    <cfRule type="containsText" dxfId="36" priority="42" operator="containsText" text="#">
      <formula>NOT(ISERROR(SEARCH("#",G124)))</formula>
    </cfRule>
  </conditionalFormatting>
  <conditionalFormatting sqref="J124:K124">
    <cfRule type="containsText" dxfId="35" priority="41" operator="containsText" text="#">
      <formula>NOT(ISERROR(SEARCH("#",J124)))</formula>
    </cfRule>
  </conditionalFormatting>
  <conditionalFormatting sqref="M473:N473">
    <cfRule type="containsText" dxfId="34" priority="19" operator="containsText" text="#">
      <formula>NOT(ISERROR(SEARCH("#",M473)))</formula>
    </cfRule>
  </conditionalFormatting>
  <conditionalFormatting sqref="G249">
    <cfRule type="containsText" dxfId="33" priority="39" operator="containsText" text="#">
      <formula>NOT(ISERROR(SEARCH("#",G249)))</formula>
    </cfRule>
  </conditionalFormatting>
  <conditionalFormatting sqref="J249">
    <cfRule type="containsText" dxfId="32" priority="38" operator="containsText" text="#">
      <formula>NOT(ISERROR(SEARCH("#",J249)))</formula>
    </cfRule>
  </conditionalFormatting>
  <conditionalFormatting sqref="H249">
    <cfRule type="containsText" dxfId="31" priority="37" operator="containsText" text="#">
      <formula>NOT(ISERROR(SEARCH("#",H249)))</formula>
    </cfRule>
  </conditionalFormatting>
  <conditionalFormatting sqref="K249">
    <cfRule type="containsText" dxfId="30" priority="36" operator="containsText" text="#">
      <formula>NOT(ISERROR(SEARCH("#",K249)))</formula>
    </cfRule>
  </conditionalFormatting>
  <conditionalFormatting sqref="G473:H473">
    <cfRule type="containsText" dxfId="29" priority="35" operator="containsText" text="#">
      <formula>NOT(ISERROR(SEARCH("#",G473)))</formula>
    </cfRule>
  </conditionalFormatting>
  <conditionalFormatting sqref="J473:K473">
    <cfRule type="containsText" dxfId="28" priority="34" operator="containsText" text="#">
      <formula>NOT(ISERROR(SEARCH("#",J473)))</formula>
    </cfRule>
  </conditionalFormatting>
  <conditionalFormatting sqref="T973">
    <cfRule type="containsText" dxfId="27" priority="14" operator="containsText" text="#">
      <formula>NOT(ISERROR(SEARCH("#",T973)))</formula>
    </cfRule>
  </conditionalFormatting>
  <conditionalFormatting sqref="G479:H479">
    <cfRule type="containsText" dxfId="26" priority="32" operator="containsText" text="#">
      <formula>NOT(ISERROR(SEARCH("#",G479)))</formula>
    </cfRule>
  </conditionalFormatting>
  <conditionalFormatting sqref="J479:K479">
    <cfRule type="containsText" dxfId="25" priority="31" operator="containsText" text="#">
      <formula>NOT(ISERROR(SEARCH("#",J479)))</formula>
    </cfRule>
  </conditionalFormatting>
  <conditionalFormatting sqref="T702">
    <cfRule type="containsText" dxfId="24" priority="12" operator="containsText" text="#">
      <formula>NOT(ISERROR(SEARCH("#",T702)))</formula>
    </cfRule>
  </conditionalFormatting>
  <conditionalFormatting sqref="G702:H702">
    <cfRule type="containsText" dxfId="23" priority="29" operator="containsText" text="#">
      <formula>NOT(ISERROR(SEARCH("#",G702)))</formula>
    </cfRule>
  </conditionalFormatting>
  <conditionalFormatting sqref="J702:K702">
    <cfRule type="containsText" dxfId="22" priority="28" operator="containsText" text="#">
      <formula>NOT(ISERROR(SEARCH("#",J702)))</formula>
    </cfRule>
  </conditionalFormatting>
  <conditionalFormatting sqref="T473">
    <cfRule type="containsText" dxfId="21" priority="10" operator="containsText" text="#">
      <formula>NOT(ISERROR(SEARCH("#",T473)))</formula>
    </cfRule>
  </conditionalFormatting>
  <conditionalFormatting sqref="G942:H942">
    <cfRule type="containsText" dxfId="20" priority="26" operator="containsText" text="#">
      <formula>NOT(ISERROR(SEARCH("#",G942)))</formula>
    </cfRule>
  </conditionalFormatting>
  <conditionalFormatting sqref="J942:K942">
    <cfRule type="containsText" dxfId="19" priority="25" operator="containsText" text="#">
      <formula>NOT(ISERROR(SEARCH("#",J942)))</formula>
    </cfRule>
  </conditionalFormatting>
  <conditionalFormatting sqref="T124:U124">
    <cfRule type="containsText" dxfId="18" priority="8" operator="containsText" text="#">
      <formula>NOT(ISERROR(SEARCH("#",T124)))</formula>
    </cfRule>
  </conditionalFormatting>
  <conditionalFormatting sqref="G973:H973">
    <cfRule type="containsText" dxfId="17" priority="23" operator="containsText" text="#">
      <formula>NOT(ISERROR(SEARCH("#",G973)))</formula>
    </cfRule>
  </conditionalFormatting>
  <conditionalFormatting sqref="J973:K973">
    <cfRule type="containsText" dxfId="16" priority="22" operator="containsText" text="#">
      <formula>NOT(ISERROR(SEARCH("#",J973)))</formula>
    </cfRule>
  </conditionalFormatting>
  <conditionalFormatting sqref="M124:N124">
    <cfRule type="containsText" dxfId="15" priority="21" operator="containsText" text="#">
      <formula>NOT(ISERROR(SEARCH("#",M124)))</formula>
    </cfRule>
  </conditionalFormatting>
  <conditionalFormatting sqref="M249:N249">
    <cfRule type="containsText" dxfId="14" priority="20" operator="containsText" text="#">
      <formula>NOT(ISERROR(SEARCH("#",M249)))</formula>
    </cfRule>
  </conditionalFormatting>
  <conditionalFormatting sqref="M479:N479">
    <cfRule type="containsText" dxfId="13" priority="18" operator="containsText" text="#">
      <formula>NOT(ISERROR(SEARCH("#",M479)))</formula>
    </cfRule>
  </conditionalFormatting>
  <conditionalFormatting sqref="M702:N702">
    <cfRule type="containsText" dxfId="12" priority="17" operator="containsText" text="#">
      <formula>NOT(ISERROR(SEARCH("#",M702)))</formula>
    </cfRule>
  </conditionalFormatting>
  <conditionalFormatting sqref="M942:N942">
    <cfRule type="containsText" dxfId="11" priority="16" operator="containsText" text="#">
      <formula>NOT(ISERROR(SEARCH("#",M942)))</formula>
    </cfRule>
  </conditionalFormatting>
  <conditionalFormatting sqref="M973:N973">
    <cfRule type="containsText" dxfId="10" priority="15" operator="containsText" text="#">
      <formula>NOT(ISERROR(SEARCH("#",M973)))</formula>
    </cfRule>
  </conditionalFormatting>
  <conditionalFormatting sqref="T942">
    <cfRule type="containsText" dxfId="9" priority="13" operator="containsText" text="#">
      <formula>NOT(ISERROR(SEARCH("#",T942)))</formula>
    </cfRule>
  </conditionalFormatting>
  <conditionalFormatting sqref="T479">
    <cfRule type="containsText" dxfId="8" priority="11" operator="containsText" text="#">
      <formula>NOT(ISERROR(SEARCH("#",T479)))</formula>
    </cfRule>
  </conditionalFormatting>
  <conditionalFormatting sqref="T249">
    <cfRule type="containsText" dxfId="7" priority="9" operator="containsText" text="#">
      <formula>NOT(ISERROR(SEARCH("#",T249)))</formula>
    </cfRule>
  </conditionalFormatting>
  <conditionalFormatting sqref="T3:U3">
    <cfRule type="containsText" dxfId="6" priority="7" operator="containsText" text="#">
      <formula>NOT(ISERROR(SEARCH("#",T3)))</formula>
    </cfRule>
  </conditionalFormatting>
  <conditionalFormatting sqref="U249">
    <cfRule type="containsText" dxfId="5" priority="6" operator="containsText" text="#">
      <formula>NOT(ISERROR(SEARCH("#",U249)))</formula>
    </cfRule>
  </conditionalFormatting>
  <conditionalFormatting sqref="U473">
    <cfRule type="containsText" dxfId="4" priority="5" operator="containsText" text="#">
      <formula>NOT(ISERROR(SEARCH("#",U473)))</formula>
    </cfRule>
  </conditionalFormatting>
  <conditionalFormatting sqref="U479">
    <cfRule type="containsText" dxfId="3" priority="4" operator="containsText" text="#">
      <formula>NOT(ISERROR(SEARCH("#",U479)))</formula>
    </cfRule>
  </conditionalFormatting>
  <conditionalFormatting sqref="U702">
    <cfRule type="containsText" dxfId="2" priority="3" operator="containsText" text="#">
      <formula>NOT(ISERROR(SEARCH("#",U702)))</formula>
    </cfRule>
  </conditionalFormatting>
  <conditionalFormatting sqref="U942">
    <cfRule type="containsText" dxfId="1" priority="2" operator="containsText" text="#">
      <formula>NOT(ISERROR(SEARCH("#",U942)))</formula>
    </cfRule>
  </conditionalFormatting>
  <conditionalFormatting sqref="U973">
    <cfRule type="containsText" dxfId="0" priority="1" operator="containsText" text="#">
      <formula>NOT(ISERROR(SEARCH("#",U973)))</formula>
    </cfRule>
  </conditionalFormatting>
  <pageMargins left="0.7" right="0.7" top="0.75" bottom="0.75" header="0.3" footer="0.3"/>
  <pageSetup paperSize="9" orientation="portrait" horizontalDpi="300" verticalDpi="30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C180"/>
  <sheetViews>
    <sheetView showGridLines="0" workbookViewId="0">
      <selection sqref="A1:F1"/>
    </sheetView>
  </sheetViews>
  <sheetFormatPr defaultRowHeight="15" x14ac:dyDescent="0.25"/>
  <cols>
    <col min="1" max="1" width="10.140625" customWidth="1"/>
    <col min="2" max="3" width="10.5703125" bestFit="1" customWidth="1"/>
    <col min="4" max="4" width="10.28515625" bestFit="1" customWidth="1"/>
    <col min="5" max="5" width="10.5703125" bestFit="1" customWidth="1"/>
    <col min="6" max="6" width="10.7109375" bestFit="1" customWidth="1"/>
    <col min="8" max="8" width="11.42578125" customWidth="1"/>
    <col min="9" max="9" width="11.42578125" style="39" customWidth="1"/>
    <col min="10" max="10" width="10.85546875" bestFit="1" customWidth="1"/>
    <col min="11" max="11" width="10.42578125" bestFit="1" customWidth="1"/>
    <col min="12" max="12" width="10.28515625" bestFit="1" customWidth="1"/>
    <col min="13" max="13" width="10.7109375" bestFit="1" customWidth="1"/>
    <col min="14" max="14" width="10.85546875" bestFit="1" customWidth="1"/>
    <col min="16" max="16" width="12.140625" customWidth="1"/>
    <col min="17" max="18" width="10.85546875" bestFit="1" customWidth="1"/>
    <col min="19" max="22" width="10.7109375" bestFit="1" customWidth="1"/>
  </cols>
  <sheetData>
    <row r="1" spans="1:29" s="39" customFormat="1" ht="30" customHeight="1" x14ac:dyDescent="0.25">
      <c r="A1" s="447" t="s">
        <v>1209</v>
      </c>
      <c r="B1" s="447"/>
      <c r="C1" s="447"/>
      <c r="D1" s="447"/>
      <c r="E1" s="447"/>
      <c r="F1" s="447"/>
      <c r="G1" s="69"/>
      <c r="H1" s="447" t="s">
        <v>1210</v>
      </c>
      <c r="I1" s="447"/>
      <c r="J1" s="447"/>
      <c r="K1" s="447"/>
      <c r="L1" s="447"/>
      <c r="M1" s="447"/>
      <c r="N1" s="447"/>
      <c r="O1" s="69"/>
      <c r="P1" s="461" t="s">
        <v>1211</v>
      </c>
      <c r="Q1" s="461"/>
      <c r="R1" s="461"/>
      <c r="S1" s="461"/>
      <c r="T1" s="461"/>
      <c r="U1" s="461"/>
      <c r="V1" s="461"/>
    </row>
    <row r="2" spans="1:29" s="39" customFormat="1" x14ac:dyDescent="0.25">
      <c r="A2" s="378"/>
      <c r="B2" s="379" t="s">
        <v>1004</v>
      </c>
      <c r="C2" s="380">
        <v>2014</v>
      </c>
      <c r="D2" s="380">
        <v>2015</v>
      </c>
      <c r="E2" s="380">
        <v>2016</v>
      </c>
      <c r="F2" s="332">
        <v>2017</v>
      </c>
      <c r="G2" s="69"/>
      <c r="H2" s="378"/>
      <c r="I2" s="380">
        <v>2013</v>
      </c>
      <c r="J2" s="379" t="s">
        <v>1004</v>
      </c>
      <c r="K2" s="380">
        <v>2014</v>
      </c>
      <c r="L2" s="380">
        <v>2015</v>
      </c>
      <c r="M2" s="380">
        <v>2016</v>
      </c>
      <c r="N2" s="332">
        <v>2017</v>
      </c>
      <c r="O2" s="69"/>
      <c r="P2" s="378"/>
      <c r="Q2" s="380">
        <v>2013</v>
      </c>
      <c r="R2" s="379" t="s">
        <v>1004</v>
      </c>
      <c r="S2" s="380">
        <v>2014</v>
      </c>
      <c r="T2" s="380">
        <v>2015</v>
      </c>
      <c r="U2" s="380">
        <v>2016</v>
      </c>
      <c r="V2" s="332">
        <v>2017</v>
      </c>
    </row>
    <row r="3" spans="1:29" x14ac:dyDescent="0.25">
      <c r="A3" s="381" t="s">
        <v>696</v>
      </c>
      <c r="B3" s="227">
        <v>-5130.0868100000007</v>
      </c>
      <c r="C3" s="227">
        <v>-6567.7020321204409</v>
      </c>
      <c r="D3" s="227">
        <v>-6641.5315782672787</v>
      </c>
      <c r="E3" s="227">
        <v>-4266.0283432783244</v>
      </c>
      <c r="F3" s="382">
        <v>-5770.672880930535</v>
      </c>
      <c r="G3" s="69"/>
      <c r="H3" s="328" t="s">
        <v>696</v>
      </c>
      <c r="I3" s="74">
        <v>-4017584.7106700451</v>
      </c>
      <c r="J3" s="227">
        <f>SUM(B3:B9)</f>
        <v>-4017584.7106700046</v>
      </c>
      <c r="K3" s="227">
        <f>SUM(C3:C9)</f>
        <v>-4157169.3302883706</v>
      </c>
      <c r="L3" s="227">
        <f>SUM(D3:D9)</f>
        <v>-4308710.6906660553</v>
      </c>
      <c r="M3" s="227">
        <f>SUM(E3:E9)</f>
        <v>-4444346.4911785442</v>
      </c>
      <c r="N3" s="382">
        <f>SUM(F3:F9)</f>
        <v>-4670231.2323598787</v>
      </c>
      <c r="O3" s="69"/>
      <c r="P3" s="328" t="s">
        <v>696</v>
      </c>
      <c r="Q3" s="74">
        <f>I3</f>
        <v>-4017584.7106700451</v>
      </c>
      <c r="R3" s="74">
        <f t="shared" ref="R3:V3" si="0">J3</f>
        <v>-4017584.7106700046</v>
      </c>
      <c r="S3" s="74">
        <f t="shared" si="0"/>
        <v>-4157169.3302883706</v>
      </c>
      <c r="T3" s="74">
        <f t="shared" si="0"/>
        <v>-4308710.6906660553</v>
      </c>
      <c r="U3" s="74">
        <f t="shared" si="0"/>
        <v>-4444346.4911785442</v>
      </c>
      <c r="V3" s="421">
        <f t="shared" si="0"/>
        <v>-4670231.2323598787</v>
      </c>
      <c r="X3" s="40"/>
      <c r="Y3" s="40"/>
      <c r="Z3" s="40"/>
      <c r="AA3" s="40"/>
      <c r="AB3" s="40"/>
      <c r="AC3" s="40"/>
    </row>
    <row r="4" spans="1:29" x14ac:dyDescent="0.25">
      <c r="A4" s="381" t="s">
        <v>696</v>
      </c>
      <c r="B4" s="227">
        <v>-31816.66190000001</v>
      </c>
      <c r="C4" s="227">
        <v>-40732.713257130832</v>
      </c>
      <c r="D4" s="227">
        <v>-41190.602137959417</v>
      </c>
      <c r="E4" s="227">
        <v>-26457.794279294787</v>
      </c>
      <c r="F4" s="382">
        <v>-35789.559667912479</v>
      </c>
      <c r="G4" s="69"/>
      <c r="H4" s="328" t="s">
        <v>700</v>
      </c>
      <c r="I4" s="74">
        <v>-1339535.3664500185</v>
      </c>
      <c r="J4" s="227">
        <f>SUM(B10:B16)</f>
        <v>-1339535.3664500001</v>
      </c>
      <c r="K4" s="227">
        <f>SUM(C10:C16)</f>
        <v>-1386901.74539809</v>
      </c>
      <c r="L4" s="227">
        <f>SUM(D10:D16)</f>
        <v>-1438372.6118239211</v>
      </c>
      <c r="M4" s="227">
        <f>SUM(E10:E16)</f>
        <v>-1485689.4000363559</v>
      </c>
      <c r="N4" s="382">
        <f>SUM(F10:F16)</f>
        <v>-1562148.7580114079</v>
      </c>
      <c r="O4" s="69"/>
      <c r="P4" s="328" t="s">
        <v>700</v>
      </c>
      <c r="Q4" s="74">
        <f t="shared" ref="Q4:Q59" si="1">I4</f>
        <v>-1339535.3664500185</v>
      </c>
      <c r="R4" s="74">
        <f t="shared" ref="R4:R59" si="2">J4</f>
        <v>-1339535.3664500001</v>
      </c>
      <c r="S4" s="74">
        <f t="shared" ref="S4:S59" si="3">K4</f>
        <v>-1386901.74539809</v>
      </c>
      <c r="T4" s="74">
        <f t="shared" ref="T4:T59" si="4">L4</f>
        <v>-1438372.6118239211</v>
      </c>
      <c r="U4" s="74">
        <f t="shared" ref="U4:U59" si="5">M4</f>
        <v>-1485689.4000363559</v>
      </c>
      <c r="V4" s="421">
        <f t="shared" ref="V4:V59" si="6">N4</f>
        <v>-1562148.7580114079</v>
      </c>
      <c r="X4" s="40"/>
      <c r="Y4" s="40"/>
      <c r="Z4" s="40"/>
      <c r="AA4" s="40"/>
      <c r="AB4" s="40"/>
      <c r="AC4" s="40"/>
    </row>
    <row r="5" spans="1:29" x14ac:dyDescent="0.25">
      <c r="A5" s="381" t="s">
        <v>696</v>
      </c>
      <c r="B5" s="227">
        <v>-1372097.6766300013</v>
      </c>
      <c r="C5" s="227">
        <v>-1410897.275211934</v>
      </c>
      <c r="D5" s="227">
        <v>-1462326.3949422</v>
      </c>
      <c r="E5" s="227">
        <v>-1523884.0133211063</v>
      </c>
      <c r="F5" s="382">
        <v>-1593050.957762721</v>
      </c>
      <c r="G5" s="69"/>
      <c r="H5" s="328" t="s">
        <v>701</v>
      </c>
      <c r="I5" s="74">
        <v>-130965.55764999977</v>
      </c>
      <c r="J5" s="227">
        <f>SUM(B17:B22)</f>
        <v>-130965.55765</v>
      </c>
      <c r="K5" s="227">
        <f>SUM(C17:C22)</f>
        <v>-130092.17162372562</v>
      </c>
      <c r="L5" s="227">
        <f>SUM(D17:D22)</f>
        <v>-134235.55473607406</v>
      </c>
      <c r="M5" s="227">
        <f>SUM(E17:E22)</f>
        <v>-139225.33917883225</v>
      </c>
      <c r="N5" s="382">
        <f>SUM(F17:F22)</f>
        <v>-144928.77175564758</v>
      </c>
      <c r="O5" s="69"/>
      <c r="P5" s="328" t="s">
        <v>701</v>
      </c>
      <c r="Q5" s="74">
        <f t="shared" si="1"/>
        <v>-130965.55764999977</v>
      </c>
      <c r="R5" s="74">
        <f t="shared" si="2"/>
        <v>-130965.55765</v>
      </c>
      <c r="S5" s="74">
        <f t="shared" si="3"/>
        <v>-130092.17162372562</v>
      </c>
      <c r="T5" s="74">
        <f t="shared" si="4"/>
        <v>-134235.55473607406</v>
      </c>
      <c r="U5" s="74">
        <f t="shared" si="5"/>
        <v>-139225.33917883225</v>
      </c>
      <c r="V5" s="421">
        <f t="shared" si="6"/>
        <v>-144928.77175564758</v>
      </c>
      <c r="X5" s="40"/>
      <c r="Y5" s="40"/>
      <c r="Z5" s="40"/>
      <c r="AA5" s="40"/>
      <c r="AB5" s="40"/>
      <c r="AC5" s="40"/>
    </row>
    <row r="6" spans="1:29" x14ac:dyDescent="0.25">
      <c r="A6" s="381" t="s">
        <v>696</v>
      </c>
      <c r="B6" s="227">
        <v>-9141.937579999998</v>
      </c>
      <c r="C6" s="227">
        <v>-11703.802342027857</v>
      </c>
      <c r="D6" s="227">
        <v>-11835.368361752599</v>
      </c>
      <c r="E6" s="227">
        <v>-7602.1646949013784</v>
      </c>
      <c r="F6" s="382">
        <v>-10283.47730280722</v>
      </c>
      <c r="G6" s="69"/>
      <c r="H6" s="328" t="s">
        <v>702</v>
      </c>
      <c r="I6" s="74">
        <v>4596544.0318400003</v>
      </c>
      <c r="J6" s="227">
        <f>SUM(B23)</f>
        <v>4596544.0318400003</v>
      </c>
      <c r="K6" s="227">
        <f t="shared" ref="K6:N6" si="7">SUM(C23)</f>
        <v>4682221.8300548121</v>
      </c>
      <c r="L6" s="227">
        <f t="shared" si="7"/>
        <v>4612473.67957938</v>
      </c>
      <c r="M6" s="227">
        <f t="shared" si="7"/>
        <v>4798248.1847080551</v>
      </c>
      <c r="N6" s="382">
        <f t="shared" si="7"/>
        <v>5070047.2881470332</v>
      </c>
      <c r="O6" s="69"/>
      <c r="P6" s="328" t="s">
        <v>702</v>
      </c>
      <c r="Q6" s="74">
        <f t="shared" si="1"/>
        <v>4596544.0318400003</v>
      </c>
      <c r="R6" s="74">
        <f t="shared" si="2"/>
        <v>4596544.0318400003</v>
      </c>
      <c r="S6" s="74">
        <f t="shared" si="3"/>
        <v>4682221.8300548121</v>
      </c>
      <c r="T6" s="74">
        <f t="shared" si="4"/>
        <v>4612473.67957938</v>
      </c>
      <c r="U6" s="74">
        <f t="shared" si="5"/>
        <v>4798248.1847080551</v>
      </c>
      <c r="V6" s="421">
        <f t="shared" si="6"/>
        <v>5070047.2881470332</v>
      </c>
      <c r="X6" s="40"/>
      <c r="Y6" s="40"/>
      <c r="Z6" s="40"/>
      <c r="AA6" s="40"/>
      <c r="AB6" s="40"/>
      <c r="AC6" s="40"/>
    </row>
    <row r="7" spans="1:29" x14ac:dyDescent="0.25">
      <c r="A7" s="381" t="s">
        <v>696</v>
      </c>
      <c r="B7" s="227">
        <v>-45045.195679999983</v>
      </c>
      <c r="C7" s="227">
        <v>-57668.307411117428</v>
      </c>
      <c r="D7" s="227">
        <v>-58316.574482674048</v>
      </c>
      <c r="E7" s="227">
        <v>-37458.25141298111</v>
      </c>
      <c r="F7" s="382">
        <v>-50669.920169788536</v>
      </c>
      <c r="G7" s="69"/>
      <c r="H7" s="328" t="s">
        <v>703</v>
      </c>
      <c r="I7" s="74">
        <v>58.267750000000007</v>
      </c>
      <c r="J7" s="227">
        <f>SUM(B24)</f>
        <v>58.267750000000007</v>
      </c>
      <c r="K7" s="227">
        <f t="shared" ref="K7:N7" si="8">SUM(C24)</f>
        <v>43.700812500000005</v>
      </c>
      <c r="L7" s="227">
        <f t="shared" si="8"/>
        <v>29.133875000000003</v>
      </c>
      <c r="M7" s="227">
        <f t="shared" si="8"/>
        <v>14.566937500000002</v>
      </c>
      <c r="N7" s="382">
        <f t="shared" si="8"/>
        <v>0</v>
      </c>
      <c r="O7" s="69"/>
      <c r="P7" s="328" t="s">
        <v>703</v>
      </c>
      <c r="Q7" s="74">
        <f t="shared" si="1"/>
        <v>58.267750000000007</v>
      </c>
      <c r="R7" s="74">
        <f t="shared" si="2"/>
        <v>58.267750000000007</v>
      </c>
      <c r="S7" s="74">
        <f t="shared" si="3"/>
        <v>43.700812500000005</v>
      </c>
      <c r="T7" s="74">
        <f t="shared" si="4"/>
        <v>29.133875000000003</v>
      </c>
      <c r="U7" s="74">
        <f t="shared" si="5"/>
        <v>14.566937500000002</v>
      </c>
      <c r="V7" s="421">
        <f t="shared" si="6"/>
        <v>0</v>
      </c>
      <c r="X7" s="40"/>
      <c r="Y7" s="40"/>
      <c r="Z7" s="40"/>
      <c r="AA7" s="40"/>
      <c r="AB7" s="40"/>
      <c r="AC7" s="40"/>
    </row>
    <row r="8" spans="1:29" x14ac:dyDescent="0.25">
      <c r="A8" s="381" t="s">
        <v>696</v>
      </c>
      <c r="B8" s="227">
        <v>-98106.556519317804</v>
      </c>
      <c r="C8" s="227">
        <v>-105284.91488604539</v>
      </c>
      <c r="D8" s="227">
        <v>-112914.21254021327</v>
      </c>
      <c r="E8" s="227">
        <v>-120212.62551393318</v>
      </c>
      <c r="F8" s="382">
        <v>-127889.36734941931</v>
      </c>
      <c r="G8" s="69"/>
      <c r="H8" s="328" t="s">
        <v>704</v>
      </c>
      <c r="I8" s="74">
        <v>33.585679999999996</v>
      </c>
      <c r="J8" s="227">
        <f>B25</f>
        <v>33.585679999999996</v>
      </c>
      <c r="K8" s="227">
        <f t="shared" ref="K8:N8" si="9">C25</f>
        <v>32.170425000000002</v>
      </c>
      <c r="L8" s="227">
        <f t="shared" si="9"/>
        <v>30.75517</v>
      </c>
      <c r="M8" s="227">
        <f t="shared" si="9"/>
        <v>29.339914999999998</v>
      </c>
      <c r="N8" s="382">
        <f t="shared" si="9"/>
        <v>27.924659999999999</v>
      </c>
      <c r="O8" s="69"/>
      <c r="P8" s="328" t="s">
        <v>704</v>
      </c>
      <c r="Q8" s="74">
        <f t="shared" si="1"/>
        <v>33.585679999999996</v>
      </c>
      <c r="R8" s="74">
        <f t="shared" si="2"/>
        <v>33.585679999999996</v>
      </c>
      <c r="S8" s="74">
        <f t="shared" si="3"/>
        <v>32.170425000000002</v>
      </c>
      <c r="T8" s="74">
        <f t="shared" si="4"/>
        <v>30.75517</v>
      </c>
      <c r="U8" s="74">
        <f t="shared" si="5"/>
        <v>29.339914999999998</v>
      </c>
      <c r="V8" s="421">
        <f t="shared" si="6"/>
        <v>27.924659999999999</v>
      </c>
      <c r="X8" s="40"/>
      <c r="Y8" s="40"/>
      <c r="Z8" s="40"/>
      <c r="AA8" s="40"/>
      <c r="AB8" s="40"/>
      <c r="AC8" s="40"/>
    </row>
    <row r="9" spans="1:29" x14ac:dyDescent="0.25">
      <c r="A9" s="381" t="s">
        <v>696</v>
      </c>
      <c r="B9" s="227">
        <v>-2456246.5955506857</v>
      </c>
      <c r="C9" s="227">
        <v>-2524314.6151479944</v>
      </c>
      <c r="D9" s="227">
        <v>-2615486.0066229883</v>
      </c>
      <c r="E9" s="227">
        <v>-2724465.6136130495</v>
      </c>
      <c r="F9" s="382">
        <v>-2846777.2772262995</v>
      </c>
      <c r="G9" s="69"/>
      <c r="H9" s="328" t="s">
        <v>705</v>
      </c>
      <c r="I9" s="74">
        <v>2151977.2958500013</v>
      </c>
      <c r="J9" s="227">
        <f>B26</f>
        <v>2151977.2958499999</v>
      </c>
      <c r="K9" s="227">
        <f t="shared" ref="K9:N9" si="10">C26</f>
        <v>2158819.5035218298</v>
      </c>
      <c r="L9" s="227">
        <f t="shared" si="10"/>
        <v>2173447.2539423509</v>
      </c>
      <c r="M9" s="227">
        <f t="shared" si="10"/>
        <v>2190161.0203872058</v>
      </c>
      <c r="N9" s="382">
        <f t="shared" si="10"/>
        <v>2211847.5472376561</v>
      </c>
      <c r="O9" s="69"/>
      <c r="P9" s="328" t="s">
        <v>705</v>
      </c>
      <c r="Q9" s="74">
        <f t="shared" si="1"/>
        <v>2151977.2958500013</v>
      </c>
      <c r="R9" s="74">
        <f t="shared" si="2"/>
        <v>2151977.2958499999</v>
      </c>
      <c r="S9" s="74">
        <f t="shared" si="3"/>
        <v>2158819.5035218298</v>
      </c>
      <c r="T9" s="74">
        <f t="shared" si="4"/>
        <v>2173447.2539423509</v>
      </c>
      <c r="U9" s="74">
        <f t="shared" si="5"/>
        <v>2190161.0203872058</v>
      </c>
      <c r="V9" s="421">
        <f t="shared" si="6"/>
        <v>2211847.5472376561</v>
      </c>
      <c r="X9" s="40"/>
      <c r="Y9" s="40"/>
      <c r="Z9" s="40"/>
      <c r="AA9" s="40"/>
      <c r="AB9" s="40"/>
      <c r="AC9" s="40"/>
    </row>
    <row r="10" spans="1:29" x14ac:dyDescent="0.25">
      <c r="A10" s="381" t="s">
        <v>700</v>
      </c>
      <c r="B10" s="227">
        <v>-1538.5893800000008</v>
      </c>
      <c r="C10" s="227">
        <v>-1969.7515796277394</v>
      </c>
      <c r="D10" s="227">
        <v>-1991.8941592445829</v>
      </c>
      <c r="E10" s="227">
        <v>-1279.4453869576964</v>
      </c>
      <c r="F10" s="382">
        <v>-1730.7106758401474</v>
      </c>
      <c r="G10" s="69"/>
      <c r="H10" s="328" t="s">
        <v>706</v>
      </c>
      <c r="I10" s="74">
        <v>-71734.807720000157</v>
      </c>
      <c r="J10" s="227">
        <f>SUM(B27:B32)</f>
        <v>-71734.807719999968</v>
      </c>
      <c r="K10" s="227">
        <f>SUM(C27:C32)</f>
        <v>-72424.605896018053</v>
      </c>
      <c r="L10" s="227">
        <f>SUM(D27:D32)</f>
        <v>-73909.021694964104</v>
      </c>
      <c r="M10" s="227">
        <f>SUM(E27:E32)</f>
        <v>-75302.020688040051</v>
      </c>
      <c r="N10" s="382">
        <f>SUM(F27:F32)</f>
        <v>-77215.676058796671</v>
      </c>
      <c r="O10" s="69"/>
      <c r="P10" s="328" t="s">
        <v>706</v>
      </c>
      <c r="Q10" s="74">
        <f t="shared" si="1"/>
        <v>-71734.807720000157</v>
      </c>
      <c r="R10" s="74">
        <f t="shared" si="2"/>
        <v>-71734.807719999968</v>
      </c>
      <c r="S10" s="74">
        <f t="shared" si="3"/>
        <v>-72424.605896018053</v>
      </c>
      <c r="T10" s="74">
        <f t="shared" si="4"/>
        <v>-73909.021694964104</v>
      </c>
      <c r="U10" s="74">
        <f t="shared" si="5"/>
        <v>-75302.020688040051</v>
      </c>
      <c r="V10" s="421">
        <f t="shared" si="6"/>
        <v>-77215.676058796671</v>
      </c>
      <c r="X10" s="40"/>
      <c r="Y10" s="40"/>
      <c r="Z10" s="40"/>
      <c r="AA10" s="40"/>
      <c r="AB10" s="40"/>
      <c r="AC10" s="40"/>
    </row>
    <row r="11" spans="1:29" x14ac:dyDescent="0.25">
      <c r="A11" s="381" t="s">
        <v>700</v>
      </c>
      <c r="B11" s="227">
        <v>-9467.4785300000003</v>
      </c>
      <c r="C11" s="227">
        <v>-12120.570330180753</v>
      </c>
      <c r="D11" s="227">
        <v>-12256.821366257243</v>
      </c>
      <c r="E11" s="227">
        <v>-7872.8749130775423</v>
      </c>
      <c r="F11" s="382">
        <v>-10649.66805188684</v>
      </c>
      <c r="G11" s="69"/>
      <c r="H11" s="328" t="s">
        <v>707</v>
      </c>
      <c r="I11" s="74">
        <v>769758.03702000005</v>
      </c>
      <c r="J11" s="227">
        <f>B33</f>
        <v>565786.07783000008</v>
      </c>
      <c r="K11" s="227">
        <f t="shared" ref="K11:N11" si="11">C33</f>
        <v>569441.23643493757</v>
      </c>
      <c r="L11" s="227">
        <f t="shared" si="11"/>
        <v>574204.52545512014</v>
      </c>
      <c r="M11" s="227">
        <f t="shared" si="11"/>
        <v>579567.12989533274</v>
      </c>
      <c r="N11" s="382">
        <f t="shared" si="11"/>
        <v>585563.30595366366</v>
      </c>
      <c r="O11" s="69"/>
      <c r="P11" s="328" t="s">
        <v>707</v>
      </c>
      <c r="Q11" s="74">
        <f t="shared" si="1"/>
        <v>769758.03702000005</v>
      </c>
      <c r="R11" s="74">
        <f t="shared" si="2"/>
        <v>565786.07783000008</v>
      </c>
      <c r="S11" s="422">
        <f>K11+SD_prognozy!G102</f>
        <v>731620.23643493757</v>
      </c>
      <c r="T11" s="422">
        <f>L11+SD_prognozy!H102</f>
        <v>688810.52545512014</v>
      </c>
      <c r="U11" s="422">
        <f>M11+SD_prognozy!I102</f>
        <v>701050.12989533274</v>
      </c>
      <c r="V11" s="423">
        <f>N11+SD_prognozy!J102</f>
        <v>649949.30595366366</v>
      </c>
      <c r="X11" s="40"/>
      <c r="Y11" s="40"/>
      <c r="Z11" s="40"/>
      <c r="AA11" s="40"/>
      <c r="AB11" s="40"/>
      <c r="AC11" s="40"/>
    </row>
    <row r="12" spans="1:29" x14ac:dyDescent="0.25">
      <c r="A12" s="381" t="s">
        <v>700</v>
      </c>
      <c r="B12" s="227">
        <v>-469263.65769000025</v>
      </c>
      <c r="C12" s="227">
        <v>-482865.9220321544</v>
      </c>
      <c r="D12" s="227">
        <v>-500720.88374694064</v>
      </c>
      <c r="E12" s="227">
        <v>-522118.35100754962</v>
      </c>
      <c r="F12" s="382">
        <v>-546185.08913326007</v>
      </c>
      <c r="G12" s="69"/>
      <c r="H12" s="328" t="s">
        <v>708</v>
      </c>
      <c r="I12" s="74">
        <v>-484801.45745999983</v>
      </c>
      <c r="J12" s="227">
        <f>SUM(B34:B39)</f>
        <v>-484801.45745999995</v>
      </c>
      <c r="K12" s="227">
        <f>SUM(C34:C39)</f>
        <v>-772386.44353264314</v>
      </c>
      <c r="L12" s="227">
        <f>SUM(D34:D39)</f>
        <v>-798819.81162539416</v>
      </c>
      <c r="M12" s="227">
        <f>SUM(E34:E39)</f>
        <v>-802137.12413463625</v>
      </c>
      <c r="N12" s="382">
        <f>SUM(F34:F39)</f>
        <v>-833124.63853513973</v>
      </c>
      <c r="O12" s="69"/>
      <c r="P12" s="328" t="s">
        <v>708</v>
      </c>
      <c r="Q12" s="74">
        <f t="shared" si="1"/>
        <v>-484801.45745999983</v>
      </c>
      <c r="R12" s="74">
        <f t="shared" si="2"/>
        <v>-484801.45745999995</v>
      </c>
      <c r="S12" s="74">
        <f t="shared" si="3"/>
        <v>-772386.44353264314</v>
      </c>
      <c r="T12" s="74">
        <f t="shared" si="4"/>
        <v>-798819.81162539416</v>
      </c>
      <c r="U12" s="74">
        <f t="shared" si="5"/>
        <v>-802137.12413463625</v>
      </c>
      <c r="V12" s="421">
        <f t="shared" si="6"/>
        <v>-833124.63853513973</v>
      </c>
      <c r="X12" s="40"/>
      <c r="Y12" s="40"/>
      <c r="Z12" s="40"/>
      <c r="AA12" s="40"/>
      <c r="AB12" s="40"/>
      <c r="AC12" s="40"/>
    </row>
    <row r="13" spans="1:29" x14ac:dyDescent="0.25">
      <c r="A13" s="381" t="s">
        <v>700</v>
      </c>
      <c r="B13" s="227">
        <v>-3122.7696500000006</v>
      </c>
      <c r="C13" s="227">
        <v>-3997.8700820754798</v>
      </c>
      <c r="D13" s="227">
        <v>-4042.8113617300869</v>
      </c>
      <c r="E13" s="227">
        <v>-2596.802808572616</v>
      </c>
      <c r="F13" s="382">
        <v>-3512.705106182781</v>
      </c>
      <c r="G13" s="69"/>
      <c r="H13" s="328" t="s">
        <v>709</v>
      </c>
      <c r="I13" s="74">
        <v>-327202.94931</v>
      </c>
      <c r="J13" s="227">
        <f>SUM(B40:B45)</f>
        <v>-327202.94930999982</v>
      </c>
      <c r="K13" s="227">
        <f>SUM(C40:C45)</f>
        <v>-65590.146112905815</v>
      </c>
      <c r="L13" s="227">
        <f>SUM(D40:D45)</f>
        <v>-66406.694398021282</v>
      </c>
      <c r="M13" s="227">
        <f>SUM(E40:E45)</f>
        <v>-46267.534548906326</v>
      </c>
      <c r="N13" s="382">
        <f>SUM(F40:F45)</f>
        <v>-59372.576564615476</v>
      </c>
      <c r="O13" s="69"/>
      <c r="P13" s="328" t="s">
        <v>709</v>
      </c>
      <c r="Q13" s="74">
        <f t="shared" si="1"/>
        <v>-327202.94931</v>
      </c>
      <c r="R13" s="74">
        <f t="shared" si="2"/>
        <v>-327202.94930999982</v>
      </c>
      <c r="S13" s="74">
        <f t="shared" si="3"/>
        <v>-65590.146112905815</v>
      </c>
      <c r="T13" s="74">
        <f t="shared" si="4"/>
        <v>-66406.694398021282</v>
      </c>
      <c r="U13" s="74">
        <f t="shared" si="5"/>
        <v>-46267.534548906326</v>
      </c>
      <c r="V13" s="421">
        <f t="shared" si="6"/>
        <v>-59372.576564615476</v>
      </c>
      <c r="X13" s="40"/>
      <c r="Y13" s="40"/>
      <c r="Z13" s="40"/>
      <c r="AA13" s="40"/>
      <c r="AB13" s="40"/>
      <c r="AC13" s="40"/>
    </row>
    <row r="14" spans="1:29" x14ac:dyDescent="0.25">
      <c r="A14" s="381" t="s">
        <v>700</v>
      </c>
      <c r="B14" s="227">
        <v>-14615.852330000003</v>
      </c>
      <c r="C14" s="227">
        <v>-18711.683954703542</v>
      </c>
      <c r="D14" s="227">
        <v>-18922.027713793479</v>
      </c>
      <c r="E14" s="227">
        <v>-12154.11017595442</v>
      </c>
      <c r="F14" s="382">
        <v>-16440.911391208287</v>
      </c>
      <c r="G14" s="69"/>
      <c r="H14" s="328" t="s">
        <v>711</v>
      </c>
      <c r="I14" s="74">
        <v>0</v>
      </c>
      <c r="J14" s="227">
        <f>B46</f>
        <v>0</v>
      </c>
      <c r="K14" s="227">
        <f t="shared" ref="K14:N14" si="12">C46</f>
        <v>0</v>
      </c>
      <c r="L14" s="227">
        <f t="shared" si="12"/>
        <v>0</v>
      </c>
      <c r="M14" s="227">
        <f t="shared" si="12"/>
        <v>0</v>
      </c>
      <c r="N14" s="382">
        <f t="shared" si="12"/>
        <v>0</v>
      </c>
      <c r="O14" s="69"/>
      <c r="P14" s="328" t="s">
        <v>711</v>
      </c>
      <c r="Q14" s="74">
        <f t="shared" si="1"/>
        <v>0</v>
      </c>
      <c r="R14" s="74">
        <f t="shared" si="2"/>
        <v>0</v>
      </c>
      <c r="S14" s="74">
        <f t="shared" si="3"/>
        <v>0</v>
      </c>
      <c r="T14" s="74">
        <f t="shared" si="4"/>
        <v>0</v>
      </c>
      <c r="U14" s="74">
        <f t="shared" si="5"/>
        <v>0</v>
      </c>
      <c r="V14" s="421">
        <f t="shared" si="6"/>
        <v>0</v>
      </c>
      <c r="X14" s="40"/>
      <c r="Y14" s="40"/>
      <c r="Z14" s="40"/>
      <c r="AA14" s="40"/>
      <c r="AB14" s="40"/>
      <c r="AC14" s="40"/>
    </row>
    <row r="15" spans="1:29" x14ac:dyDescent="0.25">
      <c r="A15" s="381" t="s">
        <v>700</v>
      </c>
      <c r="B15" s="227">
        <v>-29787.504805134453</v>
      </c>
      <c r="C15" s="227">
        <v>-31967.026663082564</v>
      </c>
      <c r="D15" s="227">
        <v>-34283.46450980872</v>
      </c>
      <c r="E15" s="227">
        <v>-36499.437827369096</v>
      </c>
      <c r="F15" s="382">
        <v>-38830.280866053195</v>
      </c>
      <c r="G15" s="69"/>
      <c r="H15" s="328" t="s">
        <v>713</v>
      </c>
      <c r="I15" s="74">
        <v>-1413356.5721599993</v>
      </c>
      <c r="J15" s="227">
        <f>SUM(B47:B51)</f>
        <v>-1413356.57216</v>
      </c>
      <c r="K15" s="227">
        <f t="shared" ref="K15:N15" si="13">SUM(C47:C51)</f>
        <v>-1438960.9101305346</v>
      </c>
      <c r="L15" s="227">
        <f t="shared" si="13"/>
        <v>-1495719.0849443206</v>
      </c>
      <c r="M15" s="227">
        <f t="shared" si="13"/>
        <v>-1598562.4384136319</v>
      </c>
      <c r="N15" s="382">
        <f t="shared" si="13"/>
        <v>-1739324.0871311806</v>
      </c>
      <c r="O15" s="69"/>
      <c r="P15" s="328" t="s">
        <v>713</v>
      </c>
      <c r="Q15" s="74">
        <f t="shared" si="1"/>
        <v>-1413356.5721599993</v>
      </c>
      <c r="R15" s="74">
        <f t="shared" si="2"/>
        <v>-1413356.57216</v>
      </c>
      <c r="S15" s="74">
        <f t="shared" si="3"/>
        <v>-1438960.9101305346</v>
      </c>
      <c r="T15" s="74">
        <f t="shared" si="4"/>
        <v>-1495719.0849443206</v>
      </c>
      <c r="U15" s="74">
        <f t="shared" si="5"/>
        <v>-1598562.4384136319</v>
      </c>
      <c r="V15" s="421">
        <f t="shared" si="6"/>
        <v>-1739324.0871311806</v>
      </c>
      <c r="X15" s="40"/>
      <c r="Y15" s="40"/>
      <c r="Z15" s="40"/>
      <c r="AA15" s="40"/>
      <c r="AB15" s="40"/>
      <c r="AC15" s="40"/>
    </row>
    <row r="16" spans="1:29" x14ac:dyDescent="0.25">
      <c r="A16" s="381" t="s">
        <v>700</v>
      </c>
      <c r="B16" s="227">
        <v>-811739.5140648653</v>
      </c>
      <c r="C16" s="227">
        <v>-835268.92075626552</v>
      </c>
      <c r="D16" s="227">
        <v>-866154.70896614646</v>
      </c>
      <c r="E16" s="227">
        <v>-903168.37791687495</v>
      </c>
      <c r="F16" s="382">
        <v>-944799.39278697653</v>
      </c>
      <c r="G16" s="69"/>
      <c r="H16" s="328" t="s">
        <v>714</v>
      </c>
      <c r="I16" s="74">
        <v>149277.75451999984</v>
      </c>
      <c r="J16" s="227">
        <f>SUM(B52:B54)</f>
        <v>149277.75451999996</v>
      </c>
      <c r="K16" s="227">
        <f>SUM(C52:C54)</f>
        <v>138225.70838618092</v>
      </c>
      <c r="L16" s="227">
        <f>SUM(D52:D54)</f>
        <v>137688.78432610075</v>
      </c>
      <c r="M16" s="227">
        <f>SUM(E52:E54)</f>
        <v>151648.80277287593</v>
      </c>
      <c r="N16" s="382">
        <f>SUM(F52:F54)</f>
        <v>177421.23644290303</v>
      </c>
      <c r="O16" s="69"/>
      <c r="P16" s="328" t="s">
        <v>714</v>
      </c>
      <c r="Q16" s="74">
        <f t="shared" si="1"/>
        <v>149277.75451999984</v>
      </c>
      <c r="R16" s="74">
        <f t="shared" si="2"/>
        <v>149277.75451999996</v>
      </c>
      <c r="S16" s="74">
        <f t="shared" si="3"/>
        <v>138225.70838618092</v>
      </c>
      <c r="T16" s="74">
        <f t="shared" si="4"/>
        <v>137688.78432610075</v>
      </c>
      <c r="U16" s="74">
        <f t="shared" si="5"/>
        <v>151648.80277287593</v>
      </c>
      <c r="V16" s="421">
        <f t="shared" si="6"/>
        <v>177421.23644290303</v>
      </c>
      <c r="X16" s="40"/>
      <c r="Y16" s="40"/>
      <c r="Z16" s="40"/>
      <c r="AA16" s="40"/>
      <c r="AB16" s="40"/>
      <c r="AC16" s="40"/>
    </row>
    <row r="17" spans="1:29" x14ac:dyDescent="0.25">
      <c r="A17" s="381" t="s">
        <v>701</v>
      </c>
      <c r="B17" s="227">
        <v>-4.4101699999999999</v>
      </c>
      <c r="C17" s="227">
        <v>-5.6460413914509573</v>
      </c>
      <c r="D17" s="227">
        <v>-5.7095102686044026</v>
      </c>
      <c r="E17" s="227">
        <v>-3.6673668332477525</v>
      </c>
      <c r="F17" s="382">
        <v>-4.9608611631453874</v>
      </c>
      <c r="G17" s="69"/>
      <c r="H17" s="328" t="s">
        <v>715</v>
      </c>
      <c r="I17" s="74">
        <v>461015.21921999997</v>
      </c>
      <c r="J17" s="227">
        <f>B55</f>
        <v>448719.21921999997</v>
      </c>
      <c r="K17" s="227">
        <f t="shared" ref="K17:N17" si="14">C55</f>
        <v>464555.25579752738</v>
      </c>
      <c r="L17" s="227">
        <f t="shared" si="14"/>
        <v>485990.25187769777</v>
      </c>
      <c r="M17" s="227">
        <f t="shared" si="14"/>
        <v>511145.52553721459</v>
      </c>
      <c r="N17" s="382">
        <f t="shared" si="14"/>
        <v>539502.05976666429</v>
      </c>
      <c r="O17" s="69"/>
      <c r="P17" s="328" t="s">
        <v>715</v>
      </c>
      <c r="Q17" s="74">
        <f t="shared" si="1"/>
        <v>461015.21921999997</v>
      </c>
      <c r="R17" s="74">
        <f t="shared" si="2"/>
        <v>448719.21921999997</v>
      </c>
      <c r="S17" s="74">
        <f t="shared" si="3"/>
        <v>464555.25579752738</v>
      </c>
      <c r="T17" s="74">
        <f t="shared" si="4"/>
        <v>485990.25187769777</v>
      </c>
      <c r="U17" s="74">
        <f t="shared" si="5"/>
        <v>511145.52553721459</v>
      </c>
      <c r="V17" s="421">
        <f t="shared" si="6"/>
        <v>539502.05976666429</v>
      </c>
      <c r="X17" s="40"/>
      <c r="Y17" s="40"/>
      <c r="Z17" s="40"/>
      <c r="AA17" s="40"/>
      <c r="AB17" s="40"/>
      <c r="AC17" s="40"/>
    </row>
    <row r="18" spans="1:29" x14ac:dyDescent="0.25">
      <c r="A18" s="381" t="s">
        <v>701</v>
      </c>
      <c r="B18" s="227">
        <v>-16.712300000000003</v>
      </c>
      <c r="C18" s="227">
        <v>-21.395623648599905</v>
      </c>
      <c r="D18" s="227">
        <v>-21.636138394210963</v>
      </c>
      <c r="E18" s="227">
        <v>-13.897454004559101</v>
      </c>
      <c r="F18" s="382">
        <v>-18.799139266022546</v>
      </c>
      <c r="G18" s="69"/>
      <c r="H18" s="328" t="s">
        <v>716</v>
      </c>
      <c r="I18" s="74">
        <v>52023.027439999983</v>
      </c>
      <c r="J18" s="227">
        <f>B56</f>
        <v>52023.027440000005</v>
      </c>
      <c r="K18" s="227">
        <f t="shared" ref="K18:N26" si="15">C56</f>
        <v>52023.027440000005</v>
      </c>
      <c r="L18" s="227">
        <f t="shared" si="15"/>
        <v>52023.027440000005</v>
      </c>
      <c r="M18" s="227">
        <f t="shared" si="15"/>
        <v>52023.027440000005</v>
      </c>
      <c r="N18" s="382">
        <f t="shared" si="15"/>
        <v>52023.027440000005</v>
      </c>
      <c r="O18" s="69"/>
      <c r="P18" s="328" t="s">
        <v>716</v>
      </c>
      <c r="Q18" s="74">
        <f t="shared" si="1"/>
        <v>52023.027439999983</v>
      </c>
      <c r="R18" s="74">
        <f t="shared" si="2"/>
        <v>52023.027440000005</v>
      </c>
      <c r="S18" s="74">
        <f t="shared" si="3"/>
        <v>52023.027440000005</v>
      </c>
      <c r="T18" s="74">
        <f t="shared" si="4"/>
        <v>52023.027440000005</v>
      </c>
      <c r="U18" s="74">
        <f t="shared" si="5"/>
        <v>52023.027440000005</v>
      </c>
      <c r="V18" s="421">
        <f t="shared" si="6"/>
        <v>52023.027440000005</v>
      </c>
      <c r="X18" s="40"/>
      <c r="Y18" s="40"/>
      <c r="Z18" s="40"/>
      <c r="AA18" s="40"/>
      <c r="AB18" s="40"/>
      <c r="AC18" s="40"/>
    </row>
    <row r="19" spans="1:29" x14ac:dyDescent="0.25">
      <c r="A19" s="381" t="s">
        <v>701</v>
      </c>
      <c r="B19" s="227">
        <v>-24969.174779999994</v>
      </c>
      <c r="C19" s="227">
        <v>-21637.727411330798</v>
      </c>
      <c r="D19" s="227">
        <v>-22369.558358952378</v>
      </c>
      <c r="E19" s="227">
        <v>-23274.656090316599</v>
      </c>
      <c r="F19" s="382">
        <v>-24316.410771471914</v>
      </c>
      <c r="G19" s="69"/>
      <c r="H19" s="328" t="s">
        <v>717</v>
      </c>
      <c r="I19" s="74">
        <v>-19967</v>
      </c>
      <c r="J19" s="227">
        <f t="shared" ref="J19:J26" si="16">B57</f>
        <v>-19967</v>
      </c>
      <c r="K19" s="227">
        <f t="shared" si="15"/>
        <v>-20117.700822728948</v>
      </c>
      <c r="L19" s="227">
        <f t="shared" si="15"/>
        <v>-20535.135679181119</v>
      </c>
      <c r="M19" s="227">
        <f t="shared" si="15"/>
        <v>-21002.260963594868</v>
      </c>
      <c r="N19" s="382">
        <f t="shared" si="15"/>
        <v>-21496.934609731965</v>
      </c>
      <c r="O19" s="69"/>
      <c r="P19" s="328" t="s">
        <v>717</v>
      </c>
      <c r="Q19" s="74">
        <f t="shared" si="1"/>
        <v>-19967</v>
      </c>
      <c r="R19" s="74">
        <f t="shared" si="2"/>
        <v>-19967</v>
      </c>
      <c r="S19" s="74">
        <f t="shared" si="3"/>
        <v>-20117.700822728948</v>
      </c>
      <c r="T19" s="74">
        <f t="shared" si="4"/>
        <v>-20535.135679181119</v>
      </c>
      <c r="U19" s="74">
        <f t="shared" si="5"/>
        <v>-21002.260963594868</v>
      </c>
      <c r="V19" s="421">
        <f t="shared" si="6"/>
        <v>-21496.934609731965</v>
      </c>
      <c r="X19" s="40"/>
      <c r="Y19" s="40"/>
      <c r="Z19" s="40"/>
      <c r="AA19" s="40"/>
      <c r="AB19" s="40"/>
      <c r="AC19" s="40"/>
    </row>
    <row r="20" spans="1:29" x14ac:dyDescent="0.25">
      <c r="A20" s="381" t="s">
        <v>701</v>
      </c>
      <c r="B20" s="227">
        <v>-8.0974500000000003</v>
      </c>
      <c r="C20" s="227">
        <v>-10.366615768826271</v>
      </c>
      <c r="D20" s="227">
        <v>-10.483150065532786</v>
      </c>
      <c r="E20" s="227">
        <v>-6.7335997396658218</v>
      </c>
      <c r="F20" s="382">
        <v>-9.1085661608309021</v>
      </c>
      <c r="G20" s="69"/>
      <c r="H20" s="328" t="s">
        <v>719</v>
      </c>
      <c r="I20" s="74">
        <v>3976972.0306599983</v>
      </c>
      <c r="J20" s="227">
        <f t="shared" si="16"/>
        <v>3940935.3977099997</v>
      </c>
      <c r="K20" s="227">
        <f t="shared" si="15"/>
        <v>3996509</v>
      </c>
      <c r="L20" s="227">
        <f t="shared" si="15"/>
        <v>4175945</v>
      </c>
      <c r="M20" s="227">
        <f t="shared" si="15"/>
        <v>4418890</v>
      </c>
      <c r="N20" s="382">
        <f t="shared" si="15"/>
        <v>4749507</v>
      </c>
      <c r="O20" s="69"/>
      <c r="P20" s="328" t="s">
        <v>719</v>
      </c>
      <c r="Q20" s="74">
        <f t="shared" si="1"/>
        <v>3976972.0306599983</v>
      </c>
      <c r="R20" s="74">
        <f t="shared" si="2"/>
        <v>3940935.3977099997</v>
      </c>
      <c r="S20" s="422">
        <f>K20+SD_prognozy!G98</f>
        <v>4097282.2175310496</v>
      </c>
      <c r="T20" s="422">
        <f>L20+SD_prognozy!H98</f>
        <v>4281367.9841536572</v>
      </c>
      <c r="U20" s="422">
        <f>M20+SD_prognozy!I98</f>
        <v>4529769.76853594</v>
      </c>
      <c r="V20" s="421">
        <f>N20+SD_prognozy!J98</f>
        <v>4749507</v>
      </c>
      <c r="X20" s="40"/>
      <c r="Y20" s="40"/>
      <c r="Z20" s="40"/>
      <c r="AA20" s="40"/>
      <c r="AB20" s="40"/>
      <c r="AC20" s="40"/>
    </row>
    <row r="21" spans="1:29" x14ac:dyDescent="0.25">
      <c r="A21" s="381" t="s">
        <v>701</v>
      </c>
      <c r="B21" s="227">
        <v>-33.876919999999998</v>
      </c>
      <c r="C21" s="227">
        <v>-43.370321900260706</v>
      </c>
      <c r="D21" s="227">
        <v>-43.857860946106349</v>
      </c>
      <c r="E21" s="227">
        <v>-28.171043932680021</v>
      </c>
      <c r="F21" s="382">
        <v>-38.107079036631973</v>
      </c>
      <c r="G21" s="69"/>
      <c r="H21" s="328" t="s">
        <v>720</v>
      </c>
      <c r="I21" s="74">
        <v>243874.80741999997</v>
      </c>
      <c r="J21" s="227">
        <f t="shared" si="16"/>
        <v>243874.80742</v>
      </c>
      <c r="K21" s="227">
        <f t="shared" si="15"/>
        <v>254577.75518149245</v>
      </c>
      <c r="L21" s="227">
        <f t="shared" si="15"/>
        <v>254623.71781338955</v>
      </c>
      <c r="M21" s="227">
        <f t="shared" si="15"/>
        <v>254642.36101722135</v>
      </c>
      <c r="N21" s="382">
        <f t="shared" si="15"/>
        <v>254618.58427222777</v>
      </c>
      <c r="O21" s="69"/>
      <c r="P21" s="328" t="s">
        <v>720</v>
      </c>
      <c r="Q21" s="74">
        <f t="shared" si="1"/>
        <v>243874.80741999997</v>
      </c>
      <c r="R21" s="74">
        <f t="shared" si="2"/>
        <v>243874.80742</v>
      </c>
      <c r="S21" s="74">
        <f t="shared" si="3"/>
        <v>254577.75518149245</v>
      </c>
      <c r="T21" s="74">
        <f t="shared" si="4"/>
        <v>254623.71781338955</v>
      </c>
      <c r="U21" s="74">
        <f t="shared" si="5"/>
        <v>254642.36101722135</v>
      </c>
      <c r="V21" s="421">
        <f t="shared" si="6"/>
        <v>254618.58427222777</v>
      </c>
      <c r="X21" s="40"/>
      <c r="Y21" s="40"/>
      <c r="Z21" s="40"/>
      <c r="AA21" s="40"/>
      <c r="AB21" s="40"/>
      <c r="AC21" s="40"/>
    </row>
    <row r="22" spans="1:29" x14ac:dyDescent="0.25">
      <c r="A22" s="381" t="s">
        <v>701</v>
      </c>
      <c r="B22" s="227">
        <v>-105933.28603000002</v>
      </c>
      <c r="C22" s="227">
        <v>-108373.66560968568</v>
      </c>
      <c r="D22" s="227">
        <v>-111784.30971744724</v>
      </c>
      <c r="E22" s="227">
        <v>-115898.2136240055</v>
      </c>
      <c r="F22" s="382">
        <v>-120541.38533854904</v>
      </c>
      <c r="G22" s="69"/>
      <c r="H22" s="328" t="s">
        <v>721</v>
      </c>
      <c r="I22" s="74">
        <v>5419691.6361099984</v>
      </c>
      <c r="J22" s="227">
        <f t="shared" si="16"/>
        <v>5419691.6361099994</v>
      </c>
      <c r="K22" s="227">
        <f t="shared" si="15"/>
        <v>292091.49861407874</v>
      </c>
      <c r="L22" s="227">
        <f t="shared" si="15"/>
        <v>298874.06258865498</v>
      </c>
      <c r="M22" s="227">
        <f t="shared" si="15"/>
        <v>307230.79070436943</v>
      </c>
      <c r="N22" s="382">
        <f t="shared" si="15"/>
        <v>317101.30485660792</v>
      </c>
      <c r="O22" s="69"/>
      <c r="P22" s="328" t="s">
        <v>721</v>
      </c>
      <c r="Q22" s="74">
        <f t="shared" si="1"/>
        <v>5419691.6361099984</v>
      </c>
      <c r="R22" s="74">
        <f t="shared" si="2"/>
        <v>5419691.6361099994</v>
      </c>
      <c r="S22" s="74">
        <f t="shared" si="3"/>
        <v>292091.49861407874</v>
      </c>
      <c r="T22" s="74">
        <f t="shared" si="4"/>
        <v>298874.06258865498</v>
      </c>
      <c r="U22" s="74">
        <f t="shared" si="5"/>
        <v>307230.79070436943</v>
      </c>
      <c r="V22" s="421">
        <f t="shared" si="6"/>
        <v>317101.30485660792</v>
      </c>
      <c r="X22" s="40"/>
      <c r="Y22" s="40"/>
      <c r="Z22" s="40"/>
      <c r="AA22" s="40"/>
      <c r="AB22" s="40"/>
      <c r="AC22" s="40"/>
    </row>
    <row r="23" spans="1:29" x14ac:dyDescent="0.25">
      <c r="A23" s="381" t="s">
        <v>702</v>
      </c>
      <c r="B23" s="227">
        <v>4596544.0318400003</v>
      </c>
      <c r="C23" s="227">
        <v>4682221.8300548121</v>
      </c>
      <c r="D23" s="227">
        <v>4612473.67957938</v>
      </c>
      <c r="E23" s="227">
        <v>4798248.1847080551</v>
      </c>
      <c r="F23" s="382">
        <v>5070047.2881470332</v>
      </c>
      <c r="G23" s="69"/>
      <c r="H23" s="328" t="s">
        <v>722</v>
      </c>
      <c r="I23" s="74">
        <v>2295380.7969</v>
      </c>
      <c r="J23" s="227">
        <f t="shared" si="16"/>
        <v>2295380.7969</v>
      </c>
      <c r="K23" s="227">
        <f t="shared" si="15"/>
        <v>8061488.5013859216</v>
      </c>
      <c r="L23" s="227">
        <f t="shared" si="15"/>
        <v>8385848.9374113455</v>
      </c>
      <c r="M23" s="227">
        <f t="shared" si="15"/>
        <v>8771732.2092956305</v>
      </c>
      <c r="N23" s="382">
        <f t="shared" si="15"/>
        <v>9234445.6951433923</v>
      </c>
      <c r="O23" s="69"/>
      <c r="P23" s="328" t="s">
        <v>722</v>
      </c>
      <c r="Q23" s="74">
        <f t="shared" si="1"/>
        <v>2295380.7969</v>
      </c>
      <c r="R23" s="74">
        <f t="shared" si="2"/>
        <v>2295380.7969</v>
      </c>
      <c r="S23" s="74">
        <f t="shared" si="3"/>
        <v>8061488.5013859216</v>
      </c>
      <c r="T23" s="74">
        <f t="shared" si="4"/>
        <v>8385848.9374113455</v>
      </c>
      <c r="U23" s="74">
        <f t="shared" si="5"/>
        <v>8771732.2092956305</v>
      </c>
      <c r="V23" s="421">
        <f t="shared" si="6"/>
        <v>9234445.6951433923</v>
      </c>
      <c r="X23" s="40"/>
      <c r="Y23" s="40"/>
      <c r="Z23" s="40"/>
      <c r="AA23" s="40"/>
      <c r="AB23" s="40"/>
      <c r="AC23" s="40"/>
    </row>
    <row r="24" spans="1:29" x14ac:dyDescent="0.25">
      <c r="A24" s="381" t="s">
        <v>703</v>
      </c>
      <c r="B24" s="227">
        <v>58.267750000000007</v>
      </c>
      <c r="C24" s="227">
        <v>43.700812500000005</v>
      </c>
      <c r="D24" s="227">
        <v>29.133875000000003</v>
      </c>
      <c r="E24" s="227">
        <v>14.566937500000002</v>
      </c>
      <c r="F24" s="382">
        <v>0</v>
      </c>
      <c r="G24" s="69"/>
      <c r="H24" s="328" t="s">
        <v>723</v>
      </c>
      <c r="I24" s="74">
        <v>1509124.7510299997</v>
      </c>
      <c r="J24" s="227">
        <f t="shared" si="16"/>
        <v>1509124.7510300002</v>
      </c>
      <c r="K24" s="227">
        <f t="shared" si="15"/>
        <v>1468417.7008391696</v>
      </c>
      <c r="L24" s="227">
        <f t="shared" si="15"/>
        <v>1507801.2851351898</v>
      </c>
      <c r="M24" s="227">
        <f t="shared" si="15"/>
        <v>1553844.8693034176</v>
      </c>
      <c r="N24" s="382">
        <f t="shared" si="15"/>
        <v>1613183.7899812835</v>
      </c>
      <c r="O24" s="69"/>
      <c r="P24" s="328" t="s">
        <v>723</v>
      </c>
      <c r="Q24" s="74">
        <f t="shared" si="1"/>
        <v>1509124.7510299997</v>
      </c>
      <c r="R24" s="74">
        <f t="shared" si="2"/>
        <v>1509124.7510300002</v>
      </c>
      <c r="S24" s="74">
        <f t="shared" si="3"/>
        <v>1468417.7008391696</v>
      </c>
      <c r="T24" s="74">
        <f t="shared" si="4"/>
        <v>1507801.2851351898</v>
      </c>
      <c r="U24" s="74">
        <f t="shared" si="5"/>
        <v>1553844.8693034176</v>
      </c>
      <c r="V24" s="421">
        <f t="shared" si="6"/>
        <v>1613183.7899812835</v>
      </c>
      <c r="X24" s="40"/>
      <c r="Y24" s="40"/>
      <c r="Z24" s="40"/>
      <c r="AA24" s="40"/>
      <c r="AB24" s="40"/>
      <c r="AC24" s="40"/>
    </row>
    <row r="25" spans="1:29" x14ac:dyDescent="0.25">
      <c r="A25" s="381" t="s">
        <v>704</v>
      </c>
      <c r="B25" s="227">
        <v>33.585679999999996</v>
      </c>
      <c r="C25" s="227">
        <v>32.170425000000002</v>
      </c>
      <c r="D25" s="227">
        <v>30.75517</v>
      </c>
      <c r="E25" s="227">
        <v>29.339914999999998</v>
      </c>
      <c r="F25" s="382">
        <v>27.924659999999999</v>
      </c>
      <c r="G25" s="69"/>
      <c r="H25" s="328" t="s">
        <v>724</v>
      </c>
      <c r="I25" s="74">
        <v>559164.46112000011</v>
      </c>
      <c r="J25" s="227">
        <f t="shared" si="16"/>
        <v>559164.46111999999</v>
      </c>
      <c r="K25" s="227">
        <f t="shared" si="15"/>
        <v>196517.17798757978</v>
      </c>
      <c r="L25" s="227">
        <f t="shared" si="15"/>
        <v>206060.87109704275</v>
      </c>
      <c r="M25" s="227">
        <f t="shared" si="15"/>
        <v>216820.37943233794</v>
      </c>
      <c r="N25" s="382">
        <f t="shared" si="15"/>
        <v>229021.17463312083</v>
      </c>
      <c r="O25" s="69"/>
      <c r="P25" s="328" t="s">
        <v>724</v>
      </c>
      <c r="Q25" s="74">
        <f t="shared" si="1"/>
        <v>559164.46112000011</v>
      </c>
      <c r="R25" s="74">
        <f t="shared" si="2"/>
        <v>559164.46111999999</v>
      </c>
      <c r="S25" s="74">
        <f t="shared" si="3"/>
        <v>196517.17798757978</v>
      </c>
      <c r="T25" s="74">
        <f t="shared" si="4"/>
        <v>206060.87109704275</v>
      </c>
      <c r="U25" s="74">
        <f t="shared" si="5"/>
        <v>216820.37943233794</v>
      </c>
      <c r="V25" s="421">
        <f t="shared" si="6"/>
        <v>229021.17463312083</v>
      </c>
      <c r="X25" s="40"/>
      <c r="Y25" s="40"/>
      <c r="Z25" s="40"/>
      <c r="AA25" s="40"/>
      <c r="AB25" s="40"/>
      <c r="AC25" s="40"/>
    </row>
    <row r="26" spans="1:29" x14ac:dyDescent="0.25">
      <c r="A26" s="381" t="s">
        <v>705</v>
      </c>
      <c r="B26" s="227">
        <v>2151977.2958499999</v>
      </c>
      <c r="C26" s="227">
        <v>2158819.5035218298</v>
      </c>
      <c r="D26" s="227">
        <v>2173447.2539423509</v>
      </c>
      <c r="E26" s="227">
        <v>2190161.0203872058</v>
      </c>
      <c r="F26" s="382">
        <v>2211847.5472376561</v>
      </c>
      <c r="G26" s="69"/>
      <c r="H26" s="328" t="s">
        <v>725</v>
      </c>
      <c r="I26" s="74">
        <v>17215.931279999997</v>
      </c>
      <c r="J26" s="227">
        <f t="shared" si="16"/>
        <v>17215.931280000001</v>
      </c>
      <c r="K26" s="227">
        <f t="shared" si="15"/>
        <v>0</v>
      </c>
      <c r="L26" s="227">
        <f t="shared" si="15"/>
        <v>0</v>
      </c>
      <c r="M26" s="227">
        <f t="shared" si="15"/>
        <v>0</v>
      </c>
      <c r="N26" s="382">
        <f t="shared" si="15"/>
        <v>0</v>
      </c>
      <c r="O26" s="69"/>
      <c r="P26" s="328" t="s">
        <v>725</v>
      </c>
      <c r="Q26" s="74">
        <f t="shared" si="1"/>
        <v>17215.931279999997</v>
      </c>
      <c r="R26" s="74">
        <f t="shared" si="2"/>
        <v>17215.931280000001</v>
      </c>
      <c r="S26" s="74">
        <f t="shared" si="3"/>
        <v>0</v>
      </c>
      <c r="T26" s="74">
        <f t="shared" si="4"/>
        <v>0</v>
      </c>
      <c r="U26" s="74">
        <f t="shared" si="5"/>
        <v>0</v>
      </c>
      <c r="V26" s="421">
        <f t="shared" si="6"/>
        <v>0</v>
      </c>
      <c r="X26" s="40"/>
      <c r="Y26" s="40"/>
      <c r="Z26" s="40"/>
      <c r="AA26" s="40"/>
      <c r="AB26" s="40"/>
      <c r="AC26" s="40"/>
    </row>
    <row r="27" spans="1:29" x14ac:dyDescent="0.25">
      <c r="A27" s="381" t="s">
        <v>706</v>
      </c>
      <c r="B27" s="227">
        <v>-1.74797</v>
      </c>
      <c r="C27" s="227">
        <v>-2.2378073795374167</v>
      </c>
      <c r="D27" s="227">
        <v>-2.2629632563398774</v>
      </c>
      <c r="E27" s="227">
        <v>-1.4535601129915794</v>
      </c>
      <c r="F27" s="382">
        <v>-1.9662363326908583</v>
      </c>
      <c r="G27" s="69"/>
      <c r="H27" s="328" t="s">
        <v>726</v>
      </c>
      <c r="I27" s="74">
        <v>130965.55764999999</v>
      </c>
      <c r="J27" s="227">
        <f>SUM(B65:B67)</f>
        <v>130965.55764999986</v>
      </c>
      <c r="K27" s="227">
        <f>SUM(C65:C67)</f>
        <v>134218.30618855782</v>
      </c>
      <c r="L27" s="227">
        <f>SUM(D65:D67)</f>
        <v>138595.28925373525</v>
      </c>
      <c r="M27" s="227">
        <f>SUM(E65:E67)</f>
        <v>143874.37758185726</v>
      </c>
      <c r="N27" s="382">
        <f>SUM(F65:F67)</f>
        <v>149912.5396787936</v>
      </c>
      <c r="O27" s="69"/>
      <c r="P27" s="328" t="s">
        <v>726</v>
      </c>
      <c r="Q27" s="74">
        <f t="shared" si="1"/>
        <v>130965.55764999999</v>
      </c>
      <c r="R27" s="74">
        <f t="shared" si="2"/>
        <v>130965.55764999986</v>
      </c>
      <c r="S27" s="74">
        <f t="shared" si="3"/>
        <v>134218.30618855782</v>
      </c>
      <c r="T27" s="74">
        <f t="shared" si="4"/>
        <v>138595.28925373525</v>
      </c>
      <c r="U27" s="74">
        <f t="shared" si="5"/>
        <v>143874.37758185726</v>
      </c>
      <c r="V27" s="421">
        <f t="shared" si="6"/>
        <v>149912.5396787936</v>
      </c>
      <c r="X27" s="40"/>
      <c r="Y27" s="40"/>
      <c r="Z27" s="40"/>
      <c r="AA27" s="40"/>
      <c r="AB27" s="40"/>
      <c r="AC27" s="40"/>
    </row>
    <row r="28" spans="1:29" x14ac:dyDescent="0.25">
      <c r="A28" s="381" t="s">
        <v>706</v>
      </c>
      <c r="B28" s="227">
        <v>-14.818079999999998</v>
      </c>
      <c r="C28" s="227">
        <v>-18.970582318103745</v>
      </c>
      <c r="D28" s="227">
        <v>-19.183836432836266</v>
      </c>
      <c r="E28" s="227">
        <v>-12.322276720491921</v>
      </c>
      <c r="F28" s="382">
        <v>-16.668390920164391</v>
      </c>
      <c r="G28" s="69"/>
      <c r="H28" s="328" t="s">
        <v>727</v>
      </c>
      <c r="I28" s="74">
        <v>-6668888.2998300018</v>
      </c>
      <c r="J28" s="227">
        <f>SUM(B68:B69)</f>
        <v>-6668888.2998300018</v>
      </c>
      <c r="K28" s="227">
        <f>SUM(C68:C69)</f>
        <v>-6774287.999128215</v>
      </c>
      <c r="L28" s="227">
        <f>SUM(D68:D69)</f>
        <v>-7035858.9757399252</v>
      </c>
      <c r="M28" s="227">
        <f>SUM(E68:E69)</f>
        <v>-7357509.2071155468</v>
      </c>
      <c r="N28" s="382">
        <f>SUM(F68:F69)</f>
        <v>-7715016.4803613154</v>
      </c>
      <c r="O28" s="69"/>
      <c r="P28" s="328" t="s">
        <v>727</v>
      </c>
      <c r="Q28" s="74">
        <f t="shared" si="1"/>
        <v>-6668888.2998300018</v>
      </c>
      <c r="R28" s="74">
        <f t="shared" si="2"/>
        <v>-6668888.2998300018</v>
      </c>
      <c r="S28" s="74">
        <f t="shared" si="3"/>
        <v>-6774287.999128215</v>
      </c>
      <c r="T28" s="74">
        <f t="shared" si="4"/>
        <v>-7035858.9757399252</v>
      </c>
      <c r="U28" s="74">
        <f t="shared" si="5"/>
        <v>-7357509.2071155468</v>
      </c>
      <c r="V28" s="421">
        <f t="shared" si="6"/>
        <v>-7715016.4803613154</v>
      </c>
      <c r="X28" s="40"/>
      <c r="Y28" s="40"/>
      <c r="Z28" s="40"/>
      <c r="AA28" s="40"/>
      <c r="AB28" s="40"/>
      <c r="AC28" s="40"/>
    </row>
    <row r="29" spans="1:29" x14ac:dyDescent="0.25">
      <c r="A29" s="381" t="s">
        <v>706</v>
      </c>
      <c r="B29" s="227">
        <v>-9177.0530999999974</v>
      </c>
      <c r="C29" s="227">
        <v>-9246.0461974218124</v>
      </c>
      <c r="D29" s="227">
        <v>-9437.1541369601819</v>
      </c>
      <c r="E29" s="227">
        <v>-9651.0110998628825</v>
      </c>
      <c r="F29" s="382">
        <v>-9877.4801160362476</v>
      </c>
      <c r="G29" s="69"/>
      <c r="H29" s="328" t="s">
        <v>728</v>
      </c>
      <c r="I29" s="74">
        <v>-3196483.9501600014</v>
      </c>
      <c r="J29" s="227">
        <f>SUM(B70:B76)</f>
        <v>-3196483.9501599995</v>
      </c>
      <c r="K29" s="227">
        <f>SUM(C70:C76)</f>
        <v>-3150464.6536679878</v>
      </c>
      <c r="L29" s="227">
        <f>SUM(D70:D76)</f>
        <v>-3191929.05383906</v>
      </c>
      <c r="M29" s="227">
        <f>SUM(E70:E76)</f>
        <v>-3248214.1819748264</v>
      </c>
      <c r="N29" s="382">
        <f>SUM(F70:F76)</f>
        <v>-3333802.7550957403</v>
      </c>
      <c r="O29" s="69"/>
      <c r="P29" s="328" t="s">
        <v>728</v>
      </c>
      <c r="Q29" s="74">
        <f t="shared" si="1"/>
        <v>-3196483.9501600014</v>
      </c>
      <c r="R29" s="74">
        <f t="shared" si="2"/>
        <v>-3196483.9501599995</v>
      </c>
      <c r="S29" s="74">
        <f t="shared" si="3"/>
        <v>-3150464.6536679878</v>
      </c>
      <c r="T29" s="74">
        <f t="shared" si="4"/>
        <v>-3191929.05383906</v>
      </c>
      <c r="U29" s="74">
        <f t="shared" si="5"/>
        <v>-3248214.1819748264</v>
      </c>
      <c r="V29" s="421">
        <f t="shared" si="6"/>
        <v>-3333802.7550957403</v>
      </c>
      <c r="X29" s="40"/>
      <c r="Y29" s="40"/>
      <c r="Z29" s="40"/>
      <c r="AA29" s="40"/>
      <c r="AB29" s="40"/>
      <c r="AC29" s="40"/>
    </row>
    <row r="30" spans="1:29" x14ac:dyDescent="0.25">
      <c r="A30" s="381" t="s">
        <v>706</v>
      </c>
      <c r="B30" s="227">
        <v>-55.062370000000001</v>
      </c>
      <c r="C30" s="227">
        <v>-70.492615960697066</v>
      </c>
      <c r="D30" s="227">
        <v>-71.285045004771916</v>
      </c>
      <c r="E30" s="227">
        <v>-45.788237074311432</v>
      </c>
      <c r="F30" s="382">
        <v>-61.937923681794956</v>
      </c>
      <c r="G30" s="69"/>
      <c r="H30" s="328" t="s">
        <v>729</v>
      </c>
      <c r="I30" s="74">
        <v>-3664452.9737399993</v>
      </c>
      <c r="J30" s="227">
        <f>B77</f>
        <v>-3664452.9737399998</v>
      </c>
      <c r="K30" s="227">
        <f t="shared" ref="K30:N30" si="17">C77</f>
        <v>-3802025.7384712952</v>
      </c>
      <c r="L30" s="227">
        <f t="shared" si="17"/>
        <v>-4004916.6728890534</v>
      </c>
      <c r="M30" s="227">
        <f t="shared" si="17"/>
        <v>-4245945.6246929131</v>
      </c>
      <c r="N30" s="382">
        <f t="shared" si="17"/>
        <v>-4520163.7535000034</v>
      </c>
      <c r="O30" s="69"/>
      <c r="P30" s="328" t="s">
        <v>729</v>
      </c>
      <c r="Q30" s="74">
        <f t="shared" si="1"/>
        <v>-3664452.9737399993</v>
      </c>
      <c r="R30" s="74">
        <f t="shared" si="2"/>
        <v>-3664452.9737399998</v>
      </c>
      <c r="S30" s="74">
        <f t="shared" si="3"/>
        <v>-3802025.7384712952</v>
      </c>
      <c r="T30" s="74">
        <f t="shared" si="4"/>
        <v>-4004916.6728890534</v>
      </c>
      <c r="U30" s="74">
        <f t="shared" si="5"/>
        <v>-4245945.6246929131</v>
      </c>
      <c r="V30" s="421">
        <f t="shared" si="6"/>
        <v>-4520163.7535000034</v>
      </c>
      <c r="X30" s="40"/>
      <c r="Y30" s="40"/>
      <c r="Z30" s="40"/>
      <c r="AA30" s="40"/>
      <c r="AB30" s="40"/>
      <c r="AC30" s="40"/>
    </row>
    <row r="31" spans="1:29" x14ac:dyDescent="0.25">
      <c r="A31" s="381" t="s">
        <v>706</v>
      </c>
      <c r="B31" s="227">
        <v>-487.93259999999998</v>
      </c>
      <c r="C31" s="227">
        <v>-624.66699828765854</v>
      </c>
      <c r="D31" s="227">
        <v>-631.68907096253531</v>
      </c>
      <c r="E31" s="227">
        <v>-405.75030760726736</v>
      </c>
      <c r="F31" s="382">
        <v>-548.85999532275457</v>
      </c>
      <c r="G31" s="69"/>
      <c r="H31" s="328" t="s">
        <v>730</v>
      </c>
      <c r="I31" s="74">
        <v>-130965.55764999999</v>
      </c>
      <c r="J31" s="227">
        <f>SUM(B78:B83)</f>
        <v>-130965.55765000003</v>
      </c>
      <c r="K31" s="227">
        <f>SUM(C78:C83)</f>
        <v>-134274.41740750606</v>
      </c>
      <c r="L31" s="227">
        <f>SUM(D78:D83)</f>
        <v>-138795.1541018672</v>
      </c>
      <c r="M31" s="227">
        <f>SUM(E78:E83)</f>
        <v>-144243.51334396517</v>
      </c>
      <c r="N31" s="382">
        <f>SUM(F78:F83)</f>
        <v>-150501.97718838026</v>
      </c>
      <c r="O31" s="69"/>
      <c r="P31" s="328" t="s">
        <v>730</v>
      </c>
      <c r="Q31" s="74">
        <f t="shared" si="1"/>
        <v>-130965.55764999999</v>
      </c>
      <c r="R31" s="74">
        <f t="shared" si="2"/>
        <v>-130965.55765000003</v>
      </c>
      <c r="S31" s="74">
        <f t="shared" si="3"/>
        <v>-134274.41740750606</v>
      </c>
      <c r="T31" s="74">
        <f t="shared" si="4"/>
        <v>-138795.1541018672</v>
      </c>
      <c r="U31" s="74">
        <f t="shared" si="5"/>
        <v>-144243.51334396517</v>
      </c>
      <c r="V31" s="421">
        <f t="shared" si="6"/>
        <v>-150501.97718838026</v>
      </c>
      <c r="X31" s="40"/>
      <c r="Y31" s="40"/>
      <c r="Z31" s="40"/>
      <c r="AA31" s="40"/>
      <c r="AB31" s="40"/>
      <c r="AC31" s="40"/>
    </row>
    <row r="32" spans="1:29" x14ac:dyDescent="0.25">
      <c r="A32" s="381" t="s">
        <v>706</v>
      </c>
      <c r="B32" s="227">
        <v>-61998.19359999997</v>
      </c>
      <c r="C32" s="227">
        <v>-62462.191694650246</v>
      </c>
      <c r="D32" s="227">
        <v>-63747.446642347444</v>
      </c>
      <c r="E32" s="227">
        <v>-65185.695206662102</v>
      </c>
      <c r="F32" s="382">
        <v>-66708.763396503025</v>
      </c>
      <c r="G32" s="69"/>
      <c r="H32" s="328" t="s">
        <v>731</v>
      </c>
      <c r="I32" s="74">
        <v>-25703.313050000019</v>
      </c>
      <c r="J32" s="227">
        <f>SUM(B84:B89)</f>
        <v>-25703.313050000004</v>
      </c>
      <c r="K32" s="227">
        <f>SUM(C84:C89)</f>
        <v>-25970.185256077752</v>
      </c>
      <c r="L32" s="227">
        <f>SUM(D84:D89)</f>
        <v>-26505.80373148463</v>
      </c>
      <c r="M32" s="227">
        <f>SUM(E84:E89)</f>
        <v>-26977.123148204049</v>
      </c>
      <c r="N32" s="382">
        <f>SUM(F84:F89)</f>
        <v>-27685.675929886624</v>
      </c>
      <c r="O32" s="69"/>
      <c r="P32" s="328" t="s">
        <v>731</v>
      </c>
      <c r="Q32" s="74">
        <f t="shared" si="1"/>
        <v>-25703.313050000019</v>
      </c>
      <c r="R32" s="74">
        <f t="shared" si="2"/>
        <v>-25703.313050000004</v>
      </c>
      <c r="S32" s="74">
        <f t="shared" si="3"/>
        <v>-25970.185256077752</v>
      </c>
      <c r="T32" s="74">
        <f t="shared" si="4"/>
        <v>-26505.80373148463</v>
      </c>
      <c r="U32" s="74">
        <f t="shared" si="5"/>
        <v>-26977.123148204049</v>
      </c>
      <c r="V32" s="421">
        <f t="shared" si="6"/>
        <v>-27685.675929886624</v>
      </c>
      <c r="X32" s="40"/>
      <c r="Y32" s="40"/>
      <c r="Z32" s="40"/>
      <c r="AA32" s="40"/>
      <c r="AB32" s="40"/>
      <c r="AC32" s="40"/>
    </row>
    <row r="33" spans="1:29" x14ac:dyDescent="0.25">
      <c r="A33" s="381" t="s">
        <v>707</v>
      </c>
      <c r="B33" s="227">
        <v>565786.07783000008</v>
      </c>
      <c r="C33" s="227">
        <v>569441.23643493757</v>
      </c>
      <c r="D33" s="227">
        <v>574204.52545512014</v>
      </c>
      <c r="E33" s="227">
        <v>579567.12989533274</v>
      </c>
      <c r="F33" s="382">
        <v>585563.30595366366</v>
      </c>
      <c r="G33" s="69"/>
      <c r="H33" s="328" t="s">
        <v>732</v>
      </c>
      <c r="I33" s="74">
        <v>3578.7685099999999</v>
      </c>
      <c r="J33" s="227">
        <f>SUM(B90)</f>
        <v>3578.7685099999999</v>
      </c>
      <c r="K33" s="227">
        <f t="shared" ref="K33:N33" si="18">SUM(C90)</f>
        <v>3578.7685099999999</v>
      </c>
      <c r="L33" s="227">
        <f t="shared" si="18"/>
        <v>3578.7685099999999</v>
      </c>
      <c r="M33" s="227">
        <f t="shared" si="18"/>
        <v>3578.7685099999999</v>
      </c>
      <c r="N33" s="382">
        <f t="shared" si="18"/>
        <v>3578.7685099999999</v>
      </c>
      <c r="O33" s="69"/>
      <c r="P33" s="328" t="s">
        <v>732</v>
      </c>
      <c r="Q33" s="74">
        <f t="shared" si="1"/>
        <v>3578.7685099999999</v>
      </c>
      <c r="R33" s="74">
        <f t="shared" si="2"/>
        <v>3578.7685099999999</v>
      </c>
      <c r="S33" s="74">
        <f t="shared" si="3"/>
        <v>3578.7685099999999</v>
      </c>
      <c r="T33" s="74">
        <f t="shared" si="4"/>
        <v>3578.7685099999999</v>
      </c>
      <c r="U33" s="74">
        <f t="shared" si="5"/>
        <v>3578.7685099999999</v>
      </c>
      <c r="V33" s="421">
        <f t="shared" si="6"/>
        <v>3578.7685099999999</v>
      </c>
      <c r="X33" s="40"/>
      <c r="Y33" s="40"/>
      <c r="Z33" s="40"/>
      <c r="AA33" s="40"/>
      <c r="AB33" s="40"/>
      <c r="AC33" s="40"/>
    </row>
    <row r="34" spans="1:29" x14ac:dyDescent="0.25">
      <c r="A34" s="381" t="s">
        <v>708</v>
      </c>
      <c r="B34" s="227">
        <v>-131.02567999999999</v>
      </c>
      <c r="C34" s="227">
        <v>-167.74328713473807</v>
      </c>
      <c r="D34" s="227">
        <v>-169.62894070089689</v>
      </c>
      <c r="E34" s="227">
        <v>-108.9570771956032</v>
      </c>
      <c r="F34" s="382">
        <v>-147.38665568146246</v>
      </c>
      <c r="G34" s="69"/>
      <c r="H34" s="328" t="s">
        <v>733</v>
      </c>
      <c r="I34" s="74">
        <v>-283062</v>
      </c>
      <c r="J34" s="227">
        <f>SUM(B91)</f>
        <v>-283062</v>
      </c>
      <c r="K34" s="227">
        <f t="shared" ref="K34:N34" si="19">SUM(C91)</f>
        <v>-272534.85735407344</v>
      </c>
      <c r="L34" s="227">
        <f t="shared" si="19"/>
        <v>-281745.41864612256</v>
      </c>
      <c r="M34" s="227">
        <f t="shared" si="19"/>
        <v>-291106.66974670591</v>
      </c>
      <c r="N34" s="382">
        <f t="shared" si="19"/>
        <v>-301023.53229908587</v>
      </c>
      <c r="O34" s="69"/>
      <c r="P34" s="328" t="s">
        <v>733</v>
      </c>
      <c r="Q34" s="74">
        <f t="shared" si="1"/>
        <v>-283062</v>
      </c>
      <c r="R34" s="74">
        <f t="shared" si="2"/>
        <v>-283062</v>
      </c>
      <c r="S34" s="74">
        <f t="shared" si="3"/>
        <v>-272534.85735407344</v>
      </c>
      <c r="T34" s="74">
        <f t="shared" si="4"/>
        <v>-281745.41864612256</v>
      </c>
      <c r="U34" s="74">
        <f t="shared" si="5"/>
        <v>-291106.66974670591</v>
      </c>
      <c r="V34" s="421">
        <f t="shared" si="6"/>
        <v>-301023.53229908587</v>
      </c>
      <c r="X34" s="40"/>
      <c r="Y34" s="40"/>
      <c r="Z34" s="40"/>
      <c r="AA34" s="40"/>
      <c r="AB34" s="40"/>
      <c r="AC34" s="40"/>
    </row>
    <row r="35" spans="1:29" x14ac:dyDescent="0.25">
      <c r="A35" s="381" t="s">
        <v>708</v>
      </c>
      <c r="B35" s="227">
        <v>-1.4210854715202004E-14</v>
      </c>
      <c r="C35" s="227">
        <v>-1.8193192990276228E-14</v>
      </c>
      <c r="D35" s="227">
        <v>-1.839770823394362E-14</v>
      </c>
      <c r="E35" s="227">
        <v>-1.1817326147208444E-14</v>
      </c>
      <c r="F35" s="382">
        <v>-1.5985342345475827E-14</v>
      </c>
      <c r="G35" s="69"/>
      <c r="H35" s="328" t="s">
        <v>734</v>
      </c>
      <c r="I35" s="74">
        <v>-62025.472870000012</v>
      </c>
      <c r="J35" s="227">
        <f>SUM(B92:B95)</f>
        <v>-62025.47287000002</v>
      </c>
      <c r="K35" s="227">
        <f>SUM(C92:C95)</f>
        <v>-62500.005824805929</v>
      </c>
      <c r="L35" s="227">
        <f>SUM(D92:D95)</f>
        <v>-63796.572320944251</v>
      </c>
      <c r="M35" s="227">
        <f>SUM(E92:E95)</f>
        <v>-65236.239897807034</v>
      </c>
      <c r="N35" s="382">
        <f>SUM(F92:F95)</f>
        <v>-66779.192153828306</v>
      </c>
      <c r="O35" s="69"/>
      <c r="P35" s="328" t="s">
        <v>734</v>
      </c>
      <c r="Q35" s="74">
        <f t="shared" si="1"/>
        <v>-62025.472870000012</v>
      </c>
      <c r="R35" s="74">
        <f t="shared" si="2"/>
        <v>-62025.47287000002</v>
      </c>
      <c r="S35" s="74">
        <f t="shared" si="3"/>
        <v>-62500.005824805929</v>
      </c>
      <c r="T35" s="74">
        <f t="shared" si="4"/>
        <v>-63796.572320944251</v>
      </c>
      <c r="U35" s="74">
        <f t="shared" si="5"/>
        <v>-65236.239897807034</v>
      </c>
      <c r="V35" s="421">
        <f t="shared" si="6"/>
        <v>-66779.192153828306</v>
      </c>
      <c r="X35" s="40"/>
      <c r="Y35" s="40"/>
      <c r="Z35" s="40"/>
      <c r="AA35" s="40"/>
      <c r="AB35" s="40"/>
      <c r="AC35" s="40"/>
    </row>
    <row r="36" spans="1:29" x14ac:dyDescent="0.25">
      <c r="A36" s="381" t="s">
        <v>708</v>
      </c>
      <c r="B36" s="227">
        <v>-308.43982</v>
      </c>
      <c r="C36" s="227">
        <v>-310.76776784576396</v>
      </c>
      <c r="D36" s="227">
        <v>-317.21608416698564</v>
      </c>
      <c r="E36" s="227">
        <v>-324.43199234758492</v>
      </c>
      <c r="F36" s="382">
        <v>-332.07345327678161</v>
      </c>
      <c r="G36" s="69"/>
      <c r="H36" s="328" t="s">
        <v>735</v>
      </c>
      <c r="I36" s="74">
        <v>896195.18243999919</v>
      </c>
      <c r="J36" s="227">
        <f>SUM(B96:B98)</f>
        <v>896195.18243999965</v>
      </c>
      <c r="K36" s="227">
        <f>SUM(C96:C98)</f>
        <v>1133567.0122880265</v>
      </c>
      <c r="L36" s="227">
        <f>SUM(D96:D98)</f>
        <v>1146867.7856303656</v>
      </c>
      <c r="M36" s="227">
        <f>SUM(E96:E98)</f>
        <v>750693.57497952064</v>
      </c>
      <c r="N36" s="382">
        <f>SUM(F96:F98)</f>
        <v>1003557.2246875988</v>
      </c>
      <c r="O36" s="69"/>
      <c r="P36" s="328" t="s">
        <v>735</v>
      </c>
      <c r="Q36" s="74">
        <f t="shared" si="1"/>
        <v>896195.18243999919</v>
      </c>
      <c r="R36" s="74">
        <f t="shared" si="2"/>
        <v>896195.18243999965</v>
      </c>
      <c r="S36" s="74">
        <f t="shared" si="3"/>
        <v>1133567.0122880265</v>
      </c>
      <c r="T36" s="74">
        <f t="shared" si="4"/>
        <v>1146867.7856303656</v>
      </c>
      <c r="U36" s="74">
        <f t="shared" si="5"/>
        <v>750693.57497952064</v>
      </c>
      <c r="V36" s="421">
        <f t="shared" si="6"/>
        <v>1003557.2246875988</v>
      </c>
      <c r="X36" s="40"/>
      <c r="Y36" s="40"/>
      <c r="Z36" s="40"/>
      <c r="AA36" s="40"/>
      <c r="AB36" s="40"/>
      <c r="AC36" s="40"/>
    </row>
    <row r="37" spans="1:29" x14ac:dyDescent="0.25">
      <c r="A37" s="381" t="s">
        <v>708</v>
      </c>
      <c r="B37" s="227">
        <v>-36406.795460000016</v>
      </c>
      <c r="C37" s="227">
        <v>-46609.149782717875</v>
      </c>
      <c r="D37" s="227">
        <v>-47133.097482829515</v>
      </c>
      <c r="E37" s="227">
        <v>-30274.813482210189</v>
      </c>
      <c r="F37" s="382">
        <v>-40952.856164749188</v>
      </c>
      <c r="G37" s="69"/>
      <c r="H37" s="328" t="s">
        <v>736</v>
      </c>
      <c r="I37" s="74">
        <v>-846022.21777000069</v>
      </c>
      <c r="J37" s="227">
        <f>SUM(B99:B105)</f>
        <v>-846022.21776999999</v>
      </c>
      <c r="K37" s="227">
        <f>SUM(C99:C105)</f>
        <v>-863119.23317081342</v>
      </c>
      <c r="L37" s="227">
        <f>SUM(D99:D105)</f>
        <v>-898307.82410919748</v>
      </c>
      <c r="M37" s="227">
        <f>SUM(E99:E105)</f>
        <v>-958206.79726970848</v>
      </c>
      <c r="N37" s="382">
        <f>SUM(F99:F105)</f>
        <v>-990513.6735150069</v>
      </c>
      <c r="O37" s="69"/>
      <c r="P37" s="328" t="s">
        <v>736</v>
      </c>
      <c r="Q37" s="74">
        <f t="shared" si="1"/>
        <v>-846022.21777000069</v>
      </c>
      <c r="R37" s="74">
        <f t="shared" si="2"/>
        <v>-846022.21776999999</v>
      </c>
      <c r="S37" s="74">
        <f t="shared" si="3"/>
        <v>-863119.23317081342</v>
      </c>
      <c r="T37" s="74">
        <f t="shared" si="4"/>
        <v>-898307.82410919748</v>
      </c>
      <c r="U37" s="74">
        <f t="shared" si="5"/>
        <v>-958206.79726970848</v>
      </c>
      <c r="V37" s="421">
        <f t="shared" si="6"/>
        <v>-990513.6735150069</v>
      </c>
      <c r="X37" s="40"/>
      <c r="Y37" s="40"/>
      <c r="Z37" s="40"/>
      <c r="AA37" s="40"/>
      <c r="AB37" s="40"/>
      <c r="AC37" s="40"/>
    </row>
    <row r="38" spans="1:29" x14ac:dyDescent="0.25">
      <c r="A38" s="381" t="s">
        <v>708</v>
      </c>
      <c r="B38" s="227">
        <v>-890.26104999997904</v>
      </c>
      <c r="C38" s="227">
        <v>-1139.7408121447634</v>
      </c>
      <c r="D38" s="227">
        <v>-1152.5529870080784</v>
      </c>
      <c r="E38" s="227">
        <v>-740.314737913106</v>
      </c>
      <c r="F38" s="382">
        <v>-1001.4265817430917</v>
      </c>
      <c r="G38" s="69"/>
      <c r="H38" s="328" t="s">
        <v>737</v>
      </c>
      <c r="I38" s="74">
        <v>813383.2642600066</v>
      </c>
      <c r="J38" s="227">
        <f>SUM(B106:B108)</f>
        <v>783383.26426000602</v>
      </c>
      <c r="K38" s="227">
        <f>SUM(C106:C108)</f>
        <v>876556.85577693477</v>
      </c>
      <c r="L38" s="227">
        <f>SUM(D106:D108)</f>
        <v>899601.10389487958</v>
      </c>
      <c r="M38" s="227">
        <f>SUM(E106:E108)</f>
        <v>688225.15419886389</v>
      </c>
      <c r="N38" s="382">
        <f>SUM(F106:F108)</f>
        <v>835259.74850995792</v>
      </c>
      <c r="O38" s="69"/>
      <c r="P38" s="328" t="s">
        <v>737</v>
      </c>
      <c r="Q38" s="74">
        <f t="shared" si="1"/>
        <v>813383.2642600066</v>
      </c>
      <c r="R38" s="74">
        <f t="shared" si="2"/>
        <v>783383.26426000602</v>
      </c>
      <c r="S38" s="74">
        <f t="shared" si="3"/>
        <v>876556.85577693477</v>
      </c>
      <c r="T38" s="74">
        <f t="shared" si="4"/>
        <v>899601.10389487958</v>
      </c>
      <c r="U38" s="74">
        <f t="shared" si="5"/>
        <v>688225.15419886389</v>
      </c>
      <c r="V38" s="421">
        <f t="shared" si="6"/>
        <v>835259.74850995792</v>
      </c>
      <c r="X38" s="40"/>
      <c r="Y38" s="40"/>
      <c r="Z38" s="40"/>
      <c r="AA38" s="40"/>
      <c r="AB38" s="40"/>
      <c r="AC38" s="40"/>
    </row>
    <row r="39" spans="1:29" x14ac:dyDescent="0.25">
      <c r="A39" s="381" t="s">
        <v>708</v>
      </c>
      <c r="B39" s="227">
        <v>-447064.93544999993</v>
      </c>
      <c r="C39" s="227">
        <v>-724159.04188279994</v>
      </c>
      <c r="D39" s="227">
        <v>-750047.31613068865</v>
      </c>
      <c r="E39" s="227">
        <v>-770688.60684496979</v>
      </c>
      <c r="F39" s="382">
        <v>-790690.89567968925</v>
      </c>
      <c r="G39" s="69"/>
      <c r="H39" s="328" t="s">
        <v>740</v>
      </c>
      <c r="I39" s="74">
        <v>7.5987599999999986</v>
      </c>
      <c r="J39" s="227">
        <f>B109</f>
        <v>7.5987599999999995</v>
      </c>
      <c r="K39" s="227">
        <f t="shared" ref="K39:N39" si="20">C109</f>
        <v>5.6990699999999999</v>
      </c>
      <c r="L39" s="227">
        <f t="shared" si="20"/>
        <v>3.7993799999999998</v>
      </c>
      <c r="M39" s="227">
        <f t="shared" si="20"/>
        <v>1.8996899999999999</v>
      </c>
      <c r="N39" s="382">
        <f t="shared" si="20"/>
        <v>0</v>
      </c>
      <c r="O39" s="69"/>
      <c r="P39" s="328" t="s">
        <v>740</v>
      </c>
      <c r="Q39" s="74">
        <f t="shared" si="1"/>
        <v>7.5987599999999986</v>
      </c>
      <c r="R39" s="74">
        <f t="shared" si="2"/>
        <v>7.5987599999999995</v>
      </c>
      <c r="S39" s="74">
        <f t="shared" si="3"/>
        <v>5.6990699999999999</v>
      </c>
      <c r="T39" s="74">
        <f t="shared" si="4"/>
        <v>3.7993799999999998</v>
      </c>
      <c r="U39" s="74">
        <f t="shared" si="5"/>
        <v>1.8996899999999999</v>
      </c>
      <c r="V39" s="421">
        <f t="shared" si="6"/>
        <v>0</v>
      </c>
      <c r="X39" s="40"/>
      <c r="Y39" s="40"/>
      <c r="Z39" s="40"/>
      <c r="AA39" s="40"/>
      <c r="AB39" s="40"/>
      <c r="AC39" s="40"/>
    </row>
    <row r="40" spans="1:29" x14ac:dyDescent="0.25">
      <c r="A40" s="381" t="s">
        <v>709</v>
      </c>
      <c r="B40" s="227">
        <v>-153.81276999999997</v>
      </c>
      <c r="C40" s="227">
        <v>-196.91605220518161</v>
      </c>
      <c r="D40" s="227">
        <v>-199.12964574097757</v>
      </c>
      <c r="E40" s="227">
        <v>-127.90614675351853</v>
      </c>
      <c r="F40" s="382">
        <v>-173.0191346566717</v>
      </c>
      <c r="G40" s="69"/>
      <c r="H40" s="328" t="s">
        <v>741</v>
      </c>
      <c r="I40" s="74">
        <v>-293373.30384000001</v>
      </c>
      <c r="J40" s="227">
        <f>SUM(B110:B115)</f>
        <v>-293373.30384000001</v>
      </c>
      <c r="K40" s="227">
        <f>SUM(C110:C115)</f>
        <v>-347156.75244352815</v>
      </c>
      <c r="L40" s="227">
        <f>SUM(D110:D115)</f>
        <v>-355666.32931891485</v>
      </c>
      <c r="M40" s="227">
        <f>SUM(E110:E115)</f>
        <v>-286138.7152248777</v>
      </c>
      <c r="N40" s="382">
        <f>SUM(F110:F115)</f>
        <v>-343346.95649598993</v>
      </c>
      <c r="O40" s="69"/>
      <c r="P40" s="328" t="s">
        <v>741</v>
      </c>
      <c r="Q40" s="74">
        <f t="shared" si="1"/>
        <v>-293373.30384000001</v>
      </c>
      <c r="R40" s="74">
        <f t="shared" si="2"/>
        <v>-293373.30384000001</v>
      </c>
      <c r="S40" s="74">
        <f t="shared" si="3"/>
        <v>-347156.75244352815</v>
      </c>
      <c r="T40" s="74">
        <f t="shared" si="4"/>
        <v>-355666.32931891485</v>
      </c>
      <c r="U40" s="74">
        <f t="shared" si="5"/>
        <v>-286138.7152248777</v>
      </c>
      <c r="V40" s="421">
        <f t="shared" si="6"/>
        <v>-343346.95649598993</v>
      </c>
      <c r="X40" s="40"/>
      <c r="Y40" s="40"/>
      <c r="Z40" s="40"/>
      <c r="AA40" s="40"/>
      <c r="AB40" s="40"/>
      <c r="AC40" s="40"/>
    </row>
    <row r="41" spans="1:29" x14ac:dyDescent="0.25">
      <c r="A41" s="381" t="s">
        <v>709</v>
      </c>
      <c r="B41" s="227">
        <v>0</v>
      </c>
      <c r="C41" s="227">
        <v>0</v>
      </c>
      <c r="D41" s="227">
        <v>0</v>
      </c>
      <c r="E41" s="227">
        <v>0</v>
      </c>
      <c r="F41" s="382">
        <v>0</v>
      </c>
      <c r="G41" s="69"/>
      <c r="H41" s="328" t="s">
        <v>742</v>
      </c>
      <c r="I41" s="74">
        <v>271317.15842999984</v>
      </c>
      <c r="J41" s="227">
        <f>SUM(B116:B118)</f>
        <v>221477.15842999984</v>
      </c>
      <c r="K41" s="227">
        <f>SUM(C116:C118)</f>
        <v>77385.480934096384</v>
      </c>
      <c r="L41" s="227">
        <f>SUM(D116:D118)</f>
        <v>69985.57100731635</v>
      </c>
      <c r="M41" s="227">
        <f>SUM(E116:E118)</f>
        <v>308081.4403051078</v>
      </c>
      <c r="N41" s="382">
        <f>SUM(F116:F118)</f>
        <v>157271.43764975807</v>
      </c>
      <c r="O41" s="69"/>
      <c r="P41" s="328" t="s">
        <v>742</v>
      </c>
      <c r="Q41" s="74">
        <f t="shared" si="1"/>
        <v>271317.15842999984</v>
      </c>
      <c r="R41" s="74">
        <f t="shared" si="2"/>
        <v>221477.15842999984</v>
      </c>
      <c r="S41" s="74">
        <f t="shared" si="3"/>
        <v>77385.480934096384</v>
      </c>
      <c r="T41" s="74">
        <f t="shared" si="4"/>
        <v>69985.57100731635</v>
      </c>
      <c r="U41" s="74">
        <f t="shared" si="5"/>
        <v>308081.4403051078</v>
      </c>
      <c r="V41" s="421">
        <f t="shared" si="6"/>
        <v>157271.43764975807</v>
      </c>
      <c r="X41" s="40"/>
      <c r="Y41" s="40"/>
      <c r="Z41" s="40"/>
      <c r="AA41" s="40"/>
      <c r="AB41" s="40"/>
      <c r="AC41" s="40"/>
    </row>
    <row r="42" spans="1:29" x14ac:dyDescent="0.25">
      <c r="A42" s="381" t="s">
        <v>709</v>
      </c>
      <c r="B42" s="227">
        <v>-362.08155999999991</v>
      </c>
      <c r="C42" s="227">
        <v>-364.81436858351179</v>
      </c>
      <c r="D42" s="227">
        <v>-372.38413189410318</v>
      </c>
      <c r="E42" s="227">
        <v>-380.85498138055453</v>
      </c>
      <c r="F42" s="382">
        <v>-389.82539283366259</v>
      </c>
      <c r="G42" s="69"/>
      <c r="H42" s="328" t="s">
        <v>743</v>
      </c>
      <c r="I42" s="74">
        <v>-163668.5914</v>
      </c>
      <c r="J42" s="227">
        <f>SUM(B119:B122)</f>
        <v>-132934.5914</v>
      </c>
      <c r="K42" s="227">
        <f>SUM(C119:C122)</f>
        <v>-134689.20837542566</v>
      </c>
      <c r="L42" s="227">
        <f>SUM(D119:D122)</f>
        <v>-141707.25224902708</v>
      </c>
      <c r="M42" s="227">
        <f>SUM(E119:E122)</f>
        <v>-150010.56047843225</v>
      </c>
      <c r="N42" s="382">
        <f>SUM(F119:F122)</f>
        <v>-159528.04432654302</v>
      </c>
      <c r="O42" s="69"/>
      <c r="P42" s="328" t="s">
        <v>743</v>
      </c>
      <c r="Q42" s="74">
        <f t="shared" si="1"/>
        <v>-163668.5914</v>
      </c>
      <c r="R42" s="74">
        <f t="shared" si="2"/>
        <v>-132934.5914</v>
      </c>
      <c r="S42" s="422">
        <f>K42+SD_prognozy!G106</f>
        <v>-203089.20837542566</v>
      </c>
      <c r="T42" s="422">
        <f>L42+SD_prognozy!H106</f>
        <v>-205807.25224902708</v>
      </c>
      <c r="U42" s="74">
        <f t="shared" si="5"/>
        <v>-150010.56047843225</v>
      </c>
      <c r="V42" s="421">
        <f t="shared" si="6"/>
        <v>-159528.04432654302</v>
      </c>
      <c r="X42" s="40"/>
      <c r="Y42" s="40"/>
      <c r="Z42" s="40"/>
      <c r="AA42" s="40"/>
      <c r="AB42" s="40"/>
      <c r="AC42" s="40"/>
    </row>
    <row r="43" spans="1:29" x14ac:dyDescent="0.25">
      <c r="A43" s="381" t="s">
        <v>709</v>
      </c>
      <c r="B43" s="227">
        <v>-42738.412060000017</v>
      </c>
      <c r="C43" s="227">
        <v>-54715.08887313796</v>
      </c>
      <c r="D43" s="227">
        <v>-55330.157912374423</v>
      </c>
      <c r="E43" s="227">
        <v>-35539.998434191839</v>
      </c>
      <c r="F43" s="382">
        <v>-48075.092017531868</v>
      </c>
      <c r="G43" s="69"/>
      <c r="H43" s="328" t="s">
        <v>744</v>
      </c>
      <c r="I43" s="74">
        <v>256214.78145999985</v>
      </c>
      <c r="J43" s="227">
        <f>SUM(B123:B125)</f>
        <v>16475.781460000009</v>
      </c>
      <c r="K43" s="227">
        <f>SUM(C123:C125)</f>
        <v>18478.301336605313</v>
      </c>
      <c r="L43" s="227">
        <f>SUM(D123:D125)</f>
        <v>19045.408537940526</v>
      </c>
      <c r="M43" s="227">
        <f>SUM(E123:E125)</f>
        <v>16876.341091014143</v>
      </c>
      <c r="N43" s="382">
        <f>SUM(F123:F125)</f>
        <v>19271.894256815816</v>
      </c>
      <c r="O43" s="69"/>
      <c r="P43" s="328" t="s">
        <v>744</v>
      </c>
      <c r="Q43" s="74">
        <f t="shared" si="1"/>
        <v>256214.78145999985</v>
      </c>
      <c r="R43" s="74">
        <f t="shared" si="2"/>
        <v>16475.781460000009</v>
      </c>
      <c r="S43" s="422">
        <f>K43+SD_prognozy!G107+SD_prognozy!G108+SD_prognozy!G109</f>
        <v>190285.80133660531</v>
      </c>
      <c r="T43" s="422">
        <f>L43+SD_prognozy!H107+SD_prognozy!H108+SD_prognozy!H109</f>
        <v>38545.40853794053</v>
      </c>
      <c r="U43" s="422">
        <f>M43+SD_prognozy!I107+SD_prognozy!I108+SD_prognozy!I109</f>
        <v>36376.341091014139</v>
      </c>
      <c r="V43" s="421">
        <f>N43+SD_prognozy!J107+SD_prognozy!J108+SD_prognozy!J109</f>
        <v>19271.894256815816</v>
      </c>
      <c r="X43" s="40"/>
      <c r="Y43" s="40"/>
      <c r="Z43" s="40"/>
      <c r="AA43" s="40"/>
      <c r="AB43" s="40"/>
      <c r="AC43" s="40"/>
    </row>
    <row r="44" spans="1:29" x14ac:dyDescent="0.25">
      <c r="A44" s="381" t="s">
        <v>709</v>
      </c>
      <c r="B44" s="227">
        <v>-1045.089089999999</v>
      </c>
      <c r="C44" s="227">
        <v>-1337.9566456381067</v>
      </c>
      <c r="D44" s="227">
        <v>-1352.9970252759929</v>
      </c>
      <c r="E44" s="227">
        <v>-869.06515314717399</v>
      </c>
      <c r="F44" s="382">
        <v>-1175.5877616073644</v>
      </c>
      <c r="G44" s="69"/>
      <c r="H44" s="328" t="s">
        <v>745</v>
      </c>
      <c r="I44" s="74">
        <v>-14347.744299999998</v>
      </c>
      <c r="J44" s="227">
        <f>SUM(B126:B129)</f>
        <v>-14347.744300000002</v>
      </c>
      <c r="K44" s="227">
        <f>SUM(C126:C129)</f>
        <v>-15810.964370225862</v>
      </c>
      <c r="L44" s="227">
        <f>SUM(D126:D129)</f>
        <v>-16340.245988615157</v>
      </c>
      <c r="M44" s="227">
        <f>SUM(E126:E129)</f>
        <v>-15037.442685080045</v>
      </c>
      <c r="N44" s="382">
        <f>SUM(F126:F129)</f>
        <v>-16862.012801588317</v>
      </c>
      <c r="O44" s="69"/>
      <c r="P44" s="328" t="s">
        <v>745</v>
      </c>
      <c r="Q44" s="74">
        <f t="shared" si="1"/>
        <v>-14347.744299999998</v>
      </c>
      <c r="R44" s="74">
        <f t="shared" si="2"/>
        <v>-14347.744300000002</v>
      </c>
      <c r="S44" s="74">
        <f t="shared" si="3"/>
        <v>-15810.964370225862</v>
      </c>
      <c r="T44" s="74">
        <f t="shared" si="4"/>
        <v>-16340.245988615157</v>
      </c>
      <c r="U44" s="74">
        <f t="shared" si="5"/>
        <v>-15037.442685080045</v>
      </c>
      <c r="V44" s="421">
        <f t="shared" si="6"/>
        <v>-16862.012801588317</v>
      </c>
      <c r="X44" s="40"/>
      <c r="Y44" s="40"/>
      <c r="Z44" s="40"/>
      <c r="AA44" s="40"/>
      <c r="AB44" s="40"/>
      <c r="AC44" s="40"/>
    </row>
    <row r="45" spans="1:29" x14ac:dyDescent="0.25">
      <c r="A45" s="381" t="s">
        <v>709</v>
      </c>
      <c r="B45" s="227">
        <v>-282903.55382999982</v>
      </c>
      <c r="C45" s="227">
        <v>-8975.3701733410599</v>
      </c>
      <c r="D45" s="227">
        <v>-9152.0256827357807</v>
      </c>
      <c r="E45" s="227">
        <v>-9349.7098334332422</v>
      </c>
      <c r="F45" s="382">
        <v>-9559.0522579859098</v>
      </c>
      <c r="G45" s="69"/>
      <c r="H45" s="328" t="s">
        <v>746</v>
      </c>
      <c r="I45" s="74">
        <v>70190.88188999999</v>
      </c>
      <c r="J45" s="227">
        <f>SUM(B130:B132)</f>
        <v>70190.881889999975</v>
      </c>
      <c r="K45" s="227">
        <f>SUM(C130:C132)</f>
        <v>70197.015978256808</v>
      </c>
      <c r="L45" s="227">
        <f>SUM(D130:D132)</f>
        <v>70197.330997842757</v>
      </c>
      <c r="M45" s="227">
        <f>SUM(E130:E132)</f>
        <v>70187.19508228371</v>
      </c>
      <c r="N45" s="382">
        <f>SUM(F130:F132)</f>
        <v>70193.615174563689</v>
      </c>
      <c r="O45" s="69"/>
      <c r="P45" s="328" t="s">
        <v>746</v>
      </c>
      <c r="Q45" s="74">
        <f t="shared" si="1"/>
        <v>70190.88188999999</v>
      </c>
      <c r="R45" s="74">
        <f t="shared" si="2"/>
        <v>70190.881889999975</v>
      </c>
      <c r="S45" s="74">
        <f t="shared" si="3"/>
        <v>70197.015978256808</v>
      </c>
      <c r="T45" s="74">
        <f t="shared" si="4"/>
        <v>70197.330997842757</v>
      </c>
      <c r="U45" s="74">
        <f t="shared" si="5"/>
        <v>70187.19508228371</v>
      </c>
      <c r="V45" s="421">
        <f t="shared" si="6"/>
        <v>70193.615174563689</v>
      </c>
      <c r="X45" s="40"/>
      <c r="Y45" s="40"/>
      <c r="Z45" s="40"/>
      <c r="AA45" s="40"/>
      <c r="AB45" s="40"/>
      <c r="AC45" s="40"/>
    </row>
    <row r="46" spans="1:29" x14ac:dyDescent="0.25">
      <c r="A46" s="381" t="s">
        <v>711</v>
      </c>
      <c r="B46" s="227">
        <v>0</v>
      </c>
      <c r="C46" s="227">
        <v>0</v>
      </c>
      <c r="D46" s="227">
        <v>0</v>
      </c>
      <c r="E46" s="227">
        <v>0</v>
      </c>
      <c r="F46" s="382">
        <v>0</v>
      </c>
      <c r="G46" s="69"/>
      <c r="H46" s="328" t="s">
        <v>747</v>
      </c>
      <c r="I46" s="74">
        <v>-7395.637389999999</v>
      </c>
      <c r="J46" s="227">
        <f>SUM(B133:B138)</f>
        <v>-7395.6373899999999</v>
      </c>
      <c r="K46" s="227">
        <f>SUM(C133:C138)</f>
        <v>-8686.8487683634175</v>
      </c>
      <c r="L46" s="227">
        <f>SUM(D133:D138)</f>
        <v>-8891.893950343665</v>
      </c>
      <c r="M46" s="227">
        <f>SUM(E133:E138)</f>
        <v>-7098.9311898420347</v>
      </c>
      <c r="N46" s="382">
        <f>SUM(F133:F138)</f>
        <v>-8539.8930492392683</v>
      </c>
      <c r="O46" s="69"/>
      <c r="P46" s="328" t="s">
        <v>747</v>
      </c>
      <c r="Q46" s="74">
        <f t="shared" si="1"/>
        <v>-7395.637389999999</v>
      </c>
      <c r="R46" s="74">
        <f t="shared" si="2"/>
        <v>-7395.6373899999999</v>
      </c>
      <c r="S46" s="74">
        <f t="shared" si="3"/>
        <v>-8686.8487683634175</v>
      </c>
      <c r="T46" s="74">
        <f t="shared" si="4"/>
        <v>-8891.893950343665</v>
      </c>
      <c r="U46" s="74">
        <f t="shared" si="5"/>
        <v>-7098.9311898420347</v>
      </c>
      <c r="V46" s="421">
        <f t="shared" si="6"/>
        <v>-8539.8930492392683</v>
      </c>
      <c r="X46" s="40"/>
      <c r="Y46" s="40"/>
      <c r="Z46" s="40"/>
      <c r="AA46" s="40"/>
      <c r="AB46" s="40"/>
      <c r="AC46" s="40"/>
    </row>
    <row r="47" spans="1:29" x14ac:dyDescent="0.25">
      <c r="A47" s="381" t="s">
        <v>713</v>
      </c>
      <c r="B47" s="227">
        <v>-1.6284799999999999</v>
      </c>
      <c r="C47" s="227">
        <v>-2.0848324407335892</v>
      </c>
      <c r="D47" s="227">
        <v>-2.1082686794878418</v>
      </c>
      <c r="E47" s="227">
        <v>-1.3541957658338111</v>
      </c>
      <c r="F47" s="382">
        <v>-1.8318257996764293</v>
      </c>
      <c r="G47" s="69"/>
      <c r="H47" s="328" t="s">
        <v>748</v>
      </c>
      <c r="I47" s="74">
        <v>182.83251000000001</v>
      </c>
      <c r="J47" s="227">
        <f>B139</f>
        <v>182.83251000000001</v>
      </c>
      <c r="K47" s="227">
        <f t="shared" ref="K47:N47" si="21">C139</f>
        <v>182.83251000000001</v>
      </c>
      <c r="L47" s="227">
        <f t="shared" si="21"/>
        <v>182.83251000000001</v>
      </c>
      <c r="M47" s="227">
        <f t="shared" si="21"/>
        <v>182.83251000000001</v>
      </c>
      <c r="N47" s="382">
        <f t="shared" si="21"/>
        <v>182.83251000000001</v>
      </c>
      <c r="O47" s="69"/>
      <c r="P47" s="328" t="s">
        <v>748</v>
      </c>
      <c r="Q47" s="74">
        <f t="shared" si="1"/>
        <v>182.83251000000001</v>
      </c>
      <c r="R47" s="74">
        <f t="shared" si="2"/>
        <v>182.83251000000001</v>
      </c>
      <c r="S47" s="74">
        <f t="shared" si="3"/>
        <v>182.83251000000001</v>
      </c>
      <c r="T47" s="74">
        <f t="shared" si="4"/>
        <v>182.83251000000001</v>
      </c>
      <c r="U47" s="74">
        <f t="shared" si="5"/>
        <v>182.83251000000001</v>
      </c>
      <c r="V47" s="421">
        <f t="shared" si="6"/>
        <v>182.83251000000001</v>
      </c>
      <c r="X47" s="40"/>
      <c r="Y47" s="40"/>
      <c r="Z47" s="40"/>
      <c r="AA47" s="40"/>
      <c r="AB47" s="40"/>
      <c r="AC47" s="40"/>
    </row>
    <row r="48" spans="1:29" x14ac:dyDescent="0.25">
      <c r="A48" s="381" t="s">
        <v>713</v>
      </c>
      <c r="B48" s="227">
        <v>-21.865100000000002</v>
      </c>
      <c r="C48" s="227">
        <v>0</v>
      </c>
      <c r="D48" s="227">
        <v>0</v>
      </c>
      <c r="E48" s="227">
        <v>0</v>
      </c>
      <c r="F48" s="382">
        <v>0</v>
      </c>
      <c r="G48" s="69"/>
      <c r="H48" s="328" t="s">
        <v>749</v>
      </c>
      <c r="I48" s="74">
        <v>1317433.9097900004</v>
      </c>
      <c r="J48" s="227">
        <f>SUM(B140:B142)</f>
        <v>1317433.9097900002</v>
      </c>
      <c r="K48" s="227">
        <f>SUM(C140:C142)</f>
        <v>1318322.659602002</v>
      </c>
      <c r="L48" s="227">
        <f>SUM(D140:D142)</f>
        <v>1323803.0396517306</v>
      </c>
      <c r="M48" s="227">
        <f>SUM(E140:E142)</f>
        <v>1323765.1668512514</v>
      </c>
      <c r="N48" s="382">
        <f>SUM(F140:F142)</f>
        <v>1330167.3440197066</v>
      </c>
      <c r="O48" s="69"/>
      <c r="P48" s="328" t="s">
        <v>749</v>
      </c>
      <c r="Q48" s="74">
        <f t="shared" si="1"/>
        <v>1317433.9097900004</v>
      </c>
      <c r="R48" s="74">
        <f t="shared" si="2"/>
        <v>1317433.9097900002</v>
      </c>
      <c r="S48" s="74">
        <f t="shared" si="3"/>
        <v>1318322.659602002</v>
      </c>
      <c r="T48" s="74">
        <f t="shared" si="4"/>
        <v>1323803.0396517306</v>
      </c>
      <c r="U48" s="74">
        <f t="shared" si="5"/>
        <v>1323765.1668512514</v>
      </c>
      <c r="V48" s="421">
        <f t="shared" si="6"/>
        <v>1330167.3440197066</v>
      </c>
      <c r="X48" s="40"/>
      <c r="Y48" s="40"/>
      <c r="Z48" s="40"/>
      <c r="AA48" s="40"/>
      <c r="AB48" s="40"/>
      <c r="AC48" s="40"/>
    </row>
    <row r="49" spans="1:29" x14ac:dyDescent="0.25">
      <c r="A49" s="381" t="s">
        <v>713</v>
      </c>
      <c r="B49" s="227">
        <v>-54.535249999999998</v>
      </c>
      <c r="C49" s="227">
        <v>-69.817779993316762</v>
      </c>
      <c r="D49" s="227">
        <v>-70.602622999999596</v>
      </c>
      <c r="E49" s="227">
        <v>-45.349899684790948</v>
      </c>
      <c r="F49" s="382">
        <v>-61.344983015943711</v>
      </c>
      <c r="G49" s="69"/>
      <c r="H49" s="328" t="s">
        <v>750</v>
      </c>
      <c r="I49" s="74">
        <v>7090</v>
      </c>
      <c r="J49" s="227">
        <f>B143</f>
        <v>7090</v>
      </c>
      <c r="K49" s="227">
        <f t="shared" ref="K49:N49" si="22">C143</f>
        <v>7090</v>
      </c>
      <c r="L49" s="227">
        <f t="shared" si="22"/>
        <v>7090</v>
      </c>
      <c r="M49" s="227">
        <f t="shared" si="22"/>
        <v>7090</v>
      </c>
      <c r="N49" s="382">
        <f t="shared" si="22"/>
        <v>7090</v>
      </c>
      <c r="O49" s="69"/>
      <c r="P49" s="328" t="s">
        <v>750</v>
      </c>
      <c r="Q49" s="74">
        <f t="shared" si="1"/>
        <v>7090</v>
      </c>
      <c r="R49" s="74">
        <f t="shared" si="2"/>
        <v>7090</v>
      </c>
      <c r="S49" s="74">
        <f t="shared" si="3"/>
        <v>7090</v>
      </c>
      <c r="T49" s="74">
        <f t="shared" si="4"/>
        <v>7090</v>
      </c>
      <c r="U49" s="74">
        <f t="shared" si="5"/>
        <v>7090</v>
      </c>
      <c r="V49" s="421">
        <f t="shared" si="6"/>
        <v>7090</v>
      </c>
      <c r="X49" s="40"/>
      <c r="Y49" s="40"/>
      <c r="Z49" s="40"/>
      <c r="AA49" s="40"/>
      <c r="AB49" s="40"/>
      <c r="AC49" s="40"/>
    </row>
    <row r="50" spans="1:29" x14ac:dyDescent="0.25">
      <c r="A50" s="381" t="s">
        <v>713</v>
      </c>
      <c r="B50" s="227">
        <v>-513.20704999999998</v>
      </c>
      <c r="C50" s="227">
        <v>-657.02416158207973</v>
      </c>
      <c r="D50" s="227">
        <v>-664.40997102043059</v>
      </c>
      <c r="E50" s="227">
        <v>-426.76779211661244</v>
      </c>
      <c r="F50" s="382">
        <v>-577.29042712580519</v>
      </c>
      <c r="G50" s="69"/>
      <c r="H50" s="328" t="s">
        <v>752</v>
      </c>
      <c r="I50" s="74">
        <v>27527.275889999997</v>
      </c>
      <c r="J50" s="227">
        <f>B144</f>
        <v>27527.275889999994</v>
      </c>
      <c r="K50" s="227">
        <f t="shared" ref="K50:N50" si="23">C144</f>
        <v>27735.037853445167</v>
      </c>
      <c r="L50" s="227">
        <f t="shared" si="23"/>
        <v>28310.529637872543</v>
      </c>
      <c r="M50" s="227">
        <f t="shared" si="23"/>
        <v>28954.526561759558</v>
      </c>
      <c r="N50" s="382">
        <f t="shared" si="23"/>
        <v>29636.502719055501</v>
      </c>
      <c r="O50" s="69"/>
      <c r="P50" s="328" t="s">
        <v>752</v>
      </c>
      <c r="Q50" s="74">
        <f t="shared" si="1"/>
        <v>27527.275889999997</v>
      </c>
      <c r="R50" s="74">
        <f t="shared" si="2"/>
        <v>27527.275889999994</v>
      </c>
      <c r="S50" s="74">
        <f t="shared" si="3"/>
        <v>27735.037853445167</v>
      </c>
      <c r="T50" s="74">
        <f t="shared" si="4"/>
        <v>28310.529637872543</v>
      </c>
      <c r="U50" s="74">
        <f t="shared" si="5"/>
        <v>28954.526561759558</v>
      </c>
      <c r="V50" s="421">
        <f t="shared" si="6"/>
        <v>29636.502719055501</v>
      </c>
      <c r="X50" s="40"/>
      <c r="Y50" s="40"/>
      <c r="Z50" s="40"/>
      <c r="AA50" s="40"/>
      <c r="AB50" s="40"/>
      <c r="AC50" s="40"/>
    </row>
    <row r="51" spans="1:29" x14ac:dyDescent="0.25">
      <c r="A51" s="381" t="s">
        <v>713</v>
      </c>
      <c r="B51" s="227">
        <v>-1412765.3362799999</v>
      </c>
      <c r="C51" s="227">
        <v>-1438231.9833565184</v>
      </c>
      <c r="D51" s="227">
        <v>-1494981.9640816208</v>
      </c>
      <c r="E51" s="227">
        <v>-1598088.9665260646</v>
      </c>
      <c r="F51" s="382">
        <v>-1738683.6198952391</v>
      </c>
      <c r="G51" s="69"/>
      <c r="H51" s="328" t="s">
        <v>753</v>
      </c>
      <c r="I51" s="74">
        <v>-3319407.8026100108</v>
      </c>
      <c r="J51" s="227">
        <f>SUM(B145:B151)</f>
        <v>-3319407.8026100015</v>
      </c>
      <c r="K51" s="227">
        <f>SUM(C145:C151)</f>
        <v>-3371404.1142558539</v>
      </c>
      <c r="L51" s="227">
        <f>SUM(D145:D151)</f>
        <v>-3433927.6890084441</v>
      </c>
      <c r="M51" s="227">
        <f>SUM(E145:E151)</f>
        <v>-3432254.1181019875</v>
      </c>
      <c r="N51" s="382">
        <f>SUM(F145:F151)</f>
        <v>-3546875.9894207246</v>
      </c>
      <c r="O51" s="69"/>
      <c r="P51" s="328" t="s">
        <v>753</v>
      </c>
      <c r="Q51" s="74">
        <f t="shared" si="1"/>
        <v>-3319407.8026100108</v>
      </c>
      <c r="R51" s="74">
        <f t="shared" si="2"/>
        <v>-3319407.8026100015</v>
      </c>
      <c r="S51" s="74">
        <f t="shared" si="3"/>
        <v>-3371404.1142558539</v>
      </c>
      <c r="T51" s="74">
        <f t="shared" si="4"/>
        <v>-3433927.6890084441</v>
      </c>
      <c r="U51" s="74">
        <f t="shared" si="5"/>
        <v>-3432254.1181019875</v>
      </c>
      <c r="V51" s="421">
        <f t="shared" si="6"/>
        <v>-3546875.9894207246</v>
      </c>
      <c r="X51" s="40"/>
      <c r="Y51" s="40"/>
      <c r="Z51" s="40"/>
      <c r="AA51" s="40"/>
      <c r="AB51" s="40"/>
      <c r="AC51" s="40"/>
    </row>
    <row r="52" spans="1:29" x14ac:dyDescent="0.25">
      <c r="A52" s="381" t="s">
        <v>714</v>
      </c>
      <c r="B52" s="227">
        <v>5.2000000000000006E-4</v>
      </c>
      <c r="C52" s="227">
        <v>6.6572071451996139E-4</v>
      </c>
      <c r="D52" s="227">
        <v>6.7320428456823427E-4</v>
      </c>
      <c r="E52" s="227">
        <v>4.3241660826880406E-4</v>
      </c>
      <c r="F52" s="382">
        <v>5.8493160237260732E-4</v>
      </c>
      <c r="G52" s="69"/>
      <c r="H52" s="328" t="s">
        <v>754</v>
      </c>
      <c r="I52" s="74">
        <v>-1347662.5600500077</v>
      </c>
      <c r="J52" s="227">
        <f>SUM(B152:B158)</f>
        <v>-1347662.5600500007</v>
      </c>
      <c r="K52" s="227">
        <f>SUM(C152:C158)</f>
        <v>-1513537.2326629269</v>
      </c>
      <c r="L52" s="227">
        <f>SUM(D152:D158)</f>
        <v>-1560242.9680379531</v>
      </c>
      <c r="M52" s="227">
        <f>SUM(E152:E158)</f>
        <v>-1380043.5252528149</v>
      </c>
      <c r="N52" s="382">
        <f>SUM(F152:F158)</f>
        <v>-1577755.8301199006</v>
      </c>
      <c r="O52" s="69"/>
      <c r="P52" s="328" t="s">
        <v>754</v>
      </c>
      <c r="Q52" s="74">
        <f t="shared" si="1"/>
        <v>-1347662.5600500077</v>
      </c>
      <c r="R52" s="74">
        <f t="shared" si="2"/>
        <v>-1347662.5600500007</v>
      </c>
      <c r="S52" s="74">
        <f t="shared" si="3"/>
        <v>-1513537.2326629269</v>
      </c>
      <c r="T52" s="74">
        <f t="shared" si="4"/>
        <v>-1560242.9680379531</v>
      </c>
      <c r="U52" s="74">
        <f t="shared" si="5"/>
        <v>-1380043.5252528149</v>
      </c>
      <c r="V52" s="421">
        <f t="shared" si="6"/>
        <v>-1577755.8301199006</v>
      </c>
      <c r="X52" s="40"/>
      <c r="Y52" s="40"/>
      <c r="Z52" s="40"/>
      <c r="AA52" s="40"/>
      <c r="AB52" s="40"/>
      <c r="AC52" s="40"/>
    </row>
    <row r="53" spans="1:29" x14ac:dyDescent="0.25">
      <c r="A53" s="381" t="s">
        <v>714</v>
      </c>
      <c r="B53" s="227">
        <v>7.9540000000000013E-2</v>
      </c>
      <c r="C53" s="227">
        <v>0.10182966467868794</v>
      </c>
      <c r="D53" s="227">
        <v>0.10297436306645645</v>
      </c>
      <c r="E53" s="227">
        <v>6.6143109657116686E-2</v>
      </c>
      <c r="F53" s="382">
        <v>8.9472037793686912E-2</v>
      </c>
      <c r="G53" s="69"/>
      <c r="H53" s="328" t="s">
        <v>755</v>
      </c>
      <c r="I53" s="74">
        <v>-52219.816259999992</v>
      </c>
      <c r="J53" s="227">
        <f>SUM(B159:B162)</f>
        <v>-52219.816259999992</v>
      </c>
      <c r="K53" s="227">
        <f>SUM(C159:C162)</f>
        <v>-57543.485056102916</v>
      </c>
      <c r="L53" s="227">
        <f>SUM(D159:D162)</f>
        <v>-59470.082438285899</v>
      </c>
      <c r="M53" s="227">
        <f>SUM(E159:E162)</f>
        <v>-54732.269888303927</v>
      </c>
      <c r="N53" s="382">
        <f>SUM(F159:F162)</f>
        <v>-61371.227736194895</v>
      </c>
      <c r="O53" s="69"/>
      <c r="P53" s="328" t="s">
        <v>755</v>
      </c>
      <c r="Q53" s="74">
        <f t="shared" si="1"/>
        <v>-52219.816259999992</v>
      </c>
      <c r="R53" s="74">
        <f t="shared" si="2"/>
        <v>-52219.816259999992</v>
      </c>
      <c r="S53" s="74">
        <f t="shared" si="3"/>
        <v>-57543.485056102916</v>
      </c>
      <c r="T53" s="74">
        <f t="shared" si="4"/>
        <v>-59470.082438285899</v>
      </c>
      <c r="U53" s="74">
        <f t="shared" si="5"/>
        <v>-54732.269888303927</v>
      </c>
      <c r="V53" s="421">
        <f t="shared" si="6"/>
        <v>-61371.227736194895</v>
      </c>
      <c r="X53" s="40"/>
      <c r="Y53" s="40"/>
      <c r="Z53" s="40"/>
      <c r="AA53" s="40"/>
      <c r="AB53" s="40"/>
      <c r="AC53" s="40"/>
    </row>
    <row r="54" spans="1:29" x14ac:dyDescent="0.25">
      <c r="A54" s="381" t="s">
        <v>714</v>
      </c>
      <c r="B54" s="227">
        <v>149277.67445999995</v>
      </c>
      <c r="C54" s="227">
        <v>138225.60589079553</v>
      </c>
      <c r="D54" s="227">
        <v>137688.68067853339</v>
      </c>
      <c r="E54" s="227">
        <v>151648.73619734967</v>
      </c>
      <c r="F54" s="382">
        <v>177421.14638593362</v>
      </c>
      <c r="G54" s="69"/>
      <c r="H54" s="328" t="s">
        <v>756</v>
      </c>
      <c r="I54" s="74">
        <v>115558.76963</v>
      </c>
      <c r="J54" s="227">
        <f>SUM(B163:B165)</f>
        <v>115558.76963000001</v>
      </c>
      <c r="K54" s="227">
        <f>SUM(C163:C165)</f>
        <v>115581.53253671071</v>
      </c>
      <c r="L54" s="227">
        <f>SUM(D163:D165)</f>
        <v>115582.70153871179</v>
      </c>
      <c r="M54" s="227">
        <f>SUM(E163:E165)</f>
        <v>115545.088304171</v>
      </c>
      <c r="N54" s="382">
        <f>SUM(F163:F165)</f>
        <v>115568.91253941583</v>
      </c>
      <c r="O54" s="69"/>
      <c r="P54" s="328" t="s">
        <v>756</v>
      </c>
      <c r="Q54" s="74">
        <f t="shared" si="1"/>
        <v>115558.76963</v>
      </c>
      <c r="R54" s="74">
        <f t="shared" si="2"/>
        <v>115558.76963000001</v>
      </c>
      <c r="S54" s="74">
        <f t="shared" si="3"/>
        <v>115581.53253671071</v>
      </c>
      <c r="T54" s="74">
        <f t="shared" si="4"/>
        <v>115582.70153871179</v>
      </c>
      <c r="U54" s="74">
        <f t="shared" si="5"/>
        <v>115545.088304171</v>
      </c>
      <c r="V54" s="421">
        <f t="shared" si="6"/>
        <v>115568.91253941583</v>
      </c>
      <c r="X54" s="40"/>
      <c r="Y54" s="40"/>
      <c r="Z54" s="40"/>
      <c r="AA54" s="40"/>
      <c r="AB54" s="40"/>
      <c r="AC54" s="40"/>
    </row>
    <row r="55" spans="1:29" x14ac:dyDescent="0.25">
      <c r="A55" s="381" t="s">
        <v>715</v>
      </c>
      <c r="B55" s="227">
        <v>448719.21921999997</v>
      </c>
      <c r="C55" s="227">
        <v>464555.25579752738</v>
      </c>
      <c r="D55" s="227">
        <v>485990.25187769777</v>
      </c>
      <c r="E55" s="227">
        <v>511145.52553721459</v>
      </c>
      <c r="F55" s="382">
        <v>539502.05976666429</v>
      </c>
      <c r="G55" s="69"/>
      <c r="H55" s="328" t="s">
        <v>757</v>
      </c>
      <c r="I55" s="74">
        <v>-209531.5412199999</v>
      </c>
      <c r="J55" s="227">
        <f>SUM(B166:B171)</f>
        <v>-209531.54122000007</v>
      </c>
      <c r="K55" s="227">
        <f>SUM(C166:C171)</f>
        <v>-250049.501951969</v>
      </c>
      <c r="L55" s="227">
        <f>SUM(D166:D171)</f>
        <v>-255362.05179508653</v>
      </c>
      <c r="M55" s="227">
        <f>SUM(E166:E171)</f>
        <v>-196345.13548734586</v>
      </c>
      <c r="N55" s="382">
        <f>SUM(F166:F171)</f>
        <v>-240838.20767341685</v>
      </c>
      <c r="O55" s="69"/>
      <c r="P55" s="328" t="s">
        <v>757</v>
      </c>
      <c r="Q55" s="74">
        <f t="shared" si="1"/>
        <v>-209531.5412199999</v>
      </c>
      <c r="R55" s="74">
        <f t="shared" si="2"/>
        <v>-209531.54122000007</v>
      </c>
      <c r="S55" s="74">
        <f t="shared" si="3"/>
        <v>-250049.501951969</v>
      </c>
      <c r="T55" s="74">
        <f t="shared" si="4"/>
        <v>-255362.05179508653</v>
      </c>
      <c r="U55" s="74">
        <f t="shared" si="5"/>
        <v>-196345.13548734586</v>
      </c>
      <c r="V55" s="421">
        <f t="shared" si="6"/>
        <v>-240838.20767341685</v>
      </c>
      <c r="X55" s="40"/>
      <c r="Y55" s="40"/>
      <c r="Z55" s="40"/>
      <c r="AA55" s="40"/>
      <c r="AB55" s="40"/>
      <c r="AC55" s="40"/>
    </row>
    <row r="56" spans="1:29" x14ac:dyDescent="0.25">
      <c r="A56" s="381" t="s">
        <v>716</v>
      </c>
      <c r="B56" s="227">
        <v>52023.027440000005</v>
      </c>
      <c r="C56" s="227">
        <v>52023.027440000005</v>
      </c>
      <c r="D56" s="227">
        <v>52023.027440000005</v>
      </c>
      <c r="E56" s="227">
        <v>52023.027440000005</v>
      </c>
      <c r="F56" s="382">
        <v>52023.027440000005</v>
      </c>
      <c r="G56" s="69"/>
      <c r="H56" s="328" t="s">
        <v>758</v>
      </c>
      <c r="I56" s="74">
        <v>-3342.4236800000008</v>
      </c>
      <c r="J56" s="227">
        <f>SUM(B172:B174)</f>
        <v>-3342.4236800000003</v>
      </c>
      <c r="K56" s="227">
        <f>SUM(C172:C174)</f>
        <v>-3342.7157799745769</v>
      </c>
      <c r="L56" s="227">
        <f>SUM(D172:D174)</f>
        <v>-3342.7307809346535</v>
      </c>
      <c r="M56" s="227">
        <f>SUM(E172:E174)</f>
        <v>-3342.248117406979</v>
      </c>
      <c r="N56" s="382">
        <f>SUM(F172:F174)</f>
        <v>-3342.5538366456408</v>
      </c>
      <c r="O56" s="69"/>
      <c r="P56" s="328" t="s">
        <v>758</v>
      </c>
      <c r="Q56" s="74">
        <f t="shared" si="1"/>
        <v>-3342.4236800000008</v>
      </c>
      <c r="R56" s="74">
        <f t="shared" si="2"/>
        <v>-3342.4236800000003</v>
      </c>
      <c r="S56" s="74">
        <f t="shared" si="3"/>
        <v>-3342.7157799745769</v>
      </c>
      <c r="T56" s="74">
        <f t="shared" si="4"/>
        <v>-3342.7307809346535</v>
      </c>
      <c r="U56" s="74">
        <f t="shared" si="5"/>
        <v>-3342.248117406979</v>
      </c>
      <c r="V56" s="421">
        <f t="shared" si="6"/>
        <v>-3342.5538366456408</v>
      </c>
      <c r="X56" s="40"/>
      <c r="Y56" s="40"/>
      <c r="Z56" s="40"/>
      <c r="AA56" s="40"/>
      <c r="AB56" s="40"/>
      <c r="AC56" s="40"/>
    </row>
    <row r="57" spans="1:29" x14ac:dyDescent="0.25">
      <c r="A57" s="381" t="s">
        <v>717</v>
      </c>
      <c r="B57" s="227">
        <v>-19967</v>
      </c>
      <c r="C57" s="227">
        <v>-20117.700822728948</v>
      </c>
      <c r="D57" s="227">
        <v>-20535.135679181119</v>
      </c>
      <c r="E57" s="227">
        <v>-21002.260963594868</v>
      </c>
      <c r="F57" s="382">
        <v>-21496.934609731965</v>
      </c>
      <c r="G57" s="69"/>
      <c r="H57" s="328" t="s">
        <v>759</v>
      </c>
      <c r="I57" s="74">
        <v>-50738.81072999999</v>
      </c>
      <c r="J57" s="227">
        <f>SUM(B175)</f>
        <v>-50738.810730000012</v>
      </c>
      <c r="K57" s="227">
        <f t="shared" ref="K57:N57" si="24">SUM(C175)</f>
        <v>-50738.810730000012</v>
      </c>
      <c r="L57" s="227">
        <f t="shared" si="24"/>
        <v>-50738.810730000012</v>
      </c>
      <c r="M57" s="227">
        <f t="shared" si="24"/>
        <v>-50738.810730000012</v>
      </c>
      <c r="N57" s="382">
        <f t="shared" si="24"/>
        <v>-50738.810730000012</v>
      </c>
      <c r="O57" s="69"/>
      <c r="P57" s="328" t="s">
        <v>759</v>
      </c>
      <c r="Q57" s="74">
        <f t="shared" si="1"/>
        <v>-50738.81072999999</v>
      </c>
      <c r="R57" s="74">
        <f t="shared" si="2"/>
        <v>-50738.810730000012</v>
      </c>
      <c r="S57" s="74">
        <f t="shared" si="3"/>
        <v>-50738.810730000012</v>
      </c>
      <c r="T57" s="74">
        <f t="shared" si="4"/>
        <v>-50738.810730000012</v>
      </c>
      <c r="U57" s="74">
        <f t="shared" si="5"/>
        <v>-50738.810730000012</v>
      </c>
      <c r="V57" s="421">
        <f t="shared" si="6"/>
        <v>-50738.810730000012</v>
      </c>
      <c r="X57" s="40"/>
      <c r="Y57" s="40"/>
      <c r="Z57" s="40"/>
      <c r="AA57" s="40"/>
      <c r="AB57" s="40"/>
      <c r="AC57" s="40"/>
    </row>
    <row r="58" spans="1:29" x14ac:dyDescent="0.25">
      <c r="A58" s="381" t="s">
        <v>719</v>
      </c>
      <c r="B58" s="227">
        <v>3940935.3977099997</v>
      </c>
      <c r="C58" s="227">
        <v>3996509</v>
      </c>
      <c r="D58" s="227">
        <v>4175945</v>
      </c>
      <c r="E58" s="227">
        <v>4418890</v>
      </c>
      <c r="F58" s="382">
        <v>4749507</v>
      </c>
      <c r="G58" s="69"/>
      <c r="H58" s="328" t="s">
        <v>760</v>
      </c>
      <c r="I58" s="74">
        <v>38472.282200000016</v>
      </c>
      <c r="J58" s="227">
        <f>B176</f>
        <v>38472.282199999987</v>
      </c>
      <c r="K58" s="227">
        <f t="shared" ref="K58:N58" si="25">C176</f>
        <v>38472.282199999987</v>
      </c>
      <c r="L58" s="227">
        <f t="shared" si="25"/>
        <v>38472.282199999987</v>
      </c>
      <c r="M58" s="227">
        <f t="shared" si="25"/>
        <v>38472.282199999987</v>
      </c>
      <c r="N58" s="382">
        <f t="shared" si="25"/>
        <v>38472.282199999987</v>
      </c>
      <c r="O58" s="69"/>
      <c r="P58" s="328" t="s">
        <v>760</v>
      </c>
      <c r="Q58" s="74">
        <f t="shared" si="1"/>
        <v>38472.282200000016</v>
      </c>
      <c r="R58" s="74">
        <f t="shared" si="2"/>
        <v>38472.282199999987</v>
      </c>
      <c r="S58" s="74">
        <f t="shared" si="3"/>
        <v>38472.282199999987</v>
      </c>
      <c r="T58" s="74">
        <f t="shared" si="4"/>
        <v>38472.282199999987</v>
      </c>
      <c r="U58" s="74">
        <f t="shared" si="5"/>
        <v>38472.282199999987</v>
      </c>
      <c r="V58" s="421">
        <f t="shared" si="6"/>
        <v>38472.282199999987</v>
      </c>
      <c r="X58" s="40"/>
      <c r="Y58" s="40"/>
      <c r="Z58" s="40"/>
      <c r="AA58" s="40"/>
      <c r="AB58" s="40"/>
      <c r="AC58" s="40"/>
    </row>
    <row r="59" spans="1:29" x14ac:dyDescent="0.25">
      <c r="A59" s="381" t="s">
        <v>720</v>
      </c>
      <c r="B59" s="227">
        <v>243874.80742</v>
      </c>
      <c r="C59" s="227">
        <v>254577.75518149245</v>
      </c>
      <c r="D59" s="227">
        <v>254623.71781338955</v>
      </c>
      <c r="E59" s="227">
        <v>254642.36101722135</v>
      </c>
      <c r="F59" s="382">
        <v>254618.58427222777</v>
      </c>
      <c r="G59" s="69"/>
      <c r="H59" s="328" t="s">
        <v>761</v>
      </c>
      <c r="I59" s="74">
        <v>-696.57042000000001</v>
      </c>
      <c r="J59" s="227">
        <f>SUM(B177:B178)</f>
        <v>-696.57042000000001</v>
      </c>
      <c r="K59" s="227">
        <f>SUM(C177:C178)</f>
        <v>-719.18548804246154</v>
      </c>
      <c r="L59" s="227">
        <f>SUM(D177:D178)</f>
        <v>-750.99343193391837</v>
      </c>
      <c r="M59" s="227">
        <f>SUM(E177:E178)</f>
        <v>-788.86864562861933</v>
      </c>
      <c r="N59" s="382">
        <f>SUM(F177:F178)</f>
        <v>-832.31923077492002</v>
      </c>
      <c r="O59" s="69"/>
      <c r="P59" s="328" t="s">
        <v>761</v>
      </c>
      <c r="Q59" s="74">
        <f t="shared" si="1"/>
        <v>-696.57042000000001</v>
      </c>
      <c r="R59" s="74">
        <f t="shared" si="2"/>
        <v>-696.57042000000001</v>
      </c>
      <c r="S59" s="74">
        <f t="shared" si="3"/>
        <v>-719.18548804246154</v>
      </c>
      <c r="T59" s="74">
        <f t="shared" si="4"/>
        <v>-750.99343193391837</v>
      </c>
      <c r="U59" s="74">
        <f t="shared" si="5"/>
        <v>-788.86864562861933</v>
      </c>
      <c r="V59" s="421">
        <f t="shared" si="6"/>
        <v>-832.31923077492002</v>
      </c>
      <c r="X59" s="40"/>
      <c r="Y59" s="40"/>
      <c r="Z59" s="40"/>
      <c r="AA59" s="40"/>
      <c r="AB59" s="40"/>
      <c r="AC59" s="40"/>
    </row>
    <row r="60" spans="1:29" x14ac:dyDescent="0.25">
      <c r="A60" s="381" t="s">
        <v>721</v>
      </c>
      <c r="B60" s="227">
        <v>5419691.6361099994</v>
      </c>
      <c r="C60" s="227">
        <v>292091.49861407874</v>
      </c>
      <c r="D60" s="227">
        <v>298874.06258865498</v>
      </c>
      <c r="E60" s="227">
        <v>307230.79070436943</v>
      </c>
      <c r="F60" s="382">
        <v>317101.30485660792</v>
      </c>
      <c r="G60" s="69"/>
      <c r="H60" s="336" t="s">
        <v>1003</v>
      </c>
      <c r="I60" s="384">
        <f>SUM(I3:I59)</f>
        <v>-1994907.1111300793</v>
      </c>
      <c r="J60" s="384">
        <f>SUM(J3:J59)</f>
        <v>-2536056.7032700018</v>
      </c>
      <c r="K60" s="384">
        <f t="shared" ref="K60:N60" si="26">SUM(K3:K59)</f>
        <v>-2726163.1123025399</v>
      </c>
      <c r="L60" s="384">
        <f t="shared" si="26"/>
        <v>-3138647.400213459</v>
      </c>
      <c r="M60" s="384">
        <f t="shared" si="26"/>
        <v>-3224975.7369219474</v>
      </c>
      <c r="N60" s="385">
        <f t="shared" si="26"/>
        <v>-3428888.5195004456</v>
      </c>
      <c r="O60" s="69"/>
      <c r="P60" s="336" t="s">
        <v>1003</v>
      </c>
      <c r="Q60" s="384">
        <f>SUM(Q3:Q59)</f>
        <v>-1994907.1111300793</v>
      </c>
      <c r="R60" s="384">
        <f>SUM(R3:R59)</f>
        <v>-2536056.7032700018</v>
      </c>
      <c r="S60" s="384">
        <f t="shared" ref="S60" si="27">SUM(S3:S59)</f>
        <v>-2359803.3947714902</v>
      </c>
      <c r="T60" s="384">
        <f t="shared" ref="T60" si="28">SUM(T3:T59)</f>
        <v>-2963218.4160598004</v>
      </c>
      <c r="U60" s="384">
        <f t="shared" ref="U60" si="29">SUM(U3:U59)</f>
        <v>-2973112.9683860075</v>
      </c>
      <c r="V60" s="385">
        <f t="shared" ref="V60" si="30">SUM(V3:V59)</f>
        <v>-3364502.5195004456</v>
      </c>
      <c r="X60" s="40"/>
      <c r="Y60" s="40"/>
      <c r="Z60" s="40"/>
      <c r="AA60" s="40"/>
      <c r="AB60" s="40"/>
      <c r="AC60" s="40"/>
    </row>
    <row r="61" spans="1:29" x14ac:dyDescent="0.25">
      <c r="A61" s="381" t="s">
        <v>722</v>
      </c>
      <c r="B61" s="227">
        <v>2295380.7969</v>
      </c>
      <c r="C61" s="227">
        <v>8061488.5013859216</v>
      </c>
      <c r="D61" s="227">
        <v>8385848.9374113455</v>
      </c>
      <c r="E61" s="227">
        <v>8771732.2092956305</v>
      </c>
      <c r="F61" s="382">
        <v>9234445.6951433923</v>
      </c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</row>
    <row r="62" spans="1:29" x14ac:dyDescent="0.25">
      <c r="A62" s="381" t="s">
        <v>723</v>
      </c>
      <c r="B62" s="227">
        <v>1509124.7510300002</v>
      </c>
      <c r="C62" s="227">
        <v>1468417.7008391696</v>
      </c>
      <c r="D62" s="227">
        <v>1507801.2851351898</v>
      </c>
      <c r="E62" s="227">
        <v>1553844.8693034176</v>
      </c>
      <c r="F62" s="382">
        <v>1613183.7899812835</v>
      </c>
      <c r="G62" s="69"/>
      <c r="H62" s="69"/>
      <c r="I62" s="69"/>
      <c r="J62" s="157"/>
      <c r="K62" s="157"/>
      <c r="L62" s="157"/>
      <c r="M62" s="157"/>
      <c r="N62" s="157"/>
      <c r="O62" s="69"/>
      <c r="P62" s="69"/>
      <c r="Q62" s="69"/>
      <c r="R62" s="69"/>
      <c r="S62" s="157"/>
      <c r="T62" s="157"/>
      <c r="U62" s="157"/>
      <c r="V62" s="157"/>
    </row>
    <row r="63" spans="1:29" x14ac:dyDescent="0.25">
      <c r="A63" s="381" t="s">
        <v>724</v>
      </c>
      <c r="B63" s="227">
        <v>559164.46111999999</v>
      </c>
      <c r="C63" s="227">
        <v>196517.17798757978</v>
      </c>
      <c r="D63" s="227">
        <v>206060.87109704275</v>
      </c>
      <c r="E63" s="227">
        <v>216820.37943233794</v>
      </c>
      <c r="F63" s="382">
        <v>229021.17463312083</v>
      </c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</row>
    <row r="64" spans="1:29" x14ac:dyDescent="0.25">
      <c r="A64" s="381" t="s">
        <v>725</v>
      </c>
      <c r="B64" s="227">
        <v>17215.931280000001</v>
      </c>
      <c r="C64" s="227">
        <v>0</v>
      </c>
      <c r="D64" s="227">
        <v>0</v>
      </c>
      <c r="E64" s="227">
        <v>0</v>
      </c>
      <c r="F64" s="382">
        <v>0</v>
      </c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157"/>
      <c r="T64" s="69"/>
      <c r="U64" s="69"/>
      <c r="V64" s="69"/>
    </row>
    <row r="65" spans="1:22" x14ac:dyDescent="0.25">
      <c r="A65" s="381" t="s">
        <v>726</v>
      </c>
      <c r="B65" s="227">
        <v>12.507619999999998</v>
      </c>
      <c r="C65" s="227">
        <v>16.012657160277225</v>
      </c>
      <c r="D65" s="227">
        <v>16.192660334137187</v>
      </c>
      <c r="E65" s="227">
        <v>10.400966572913573</v>
      </c>
      <c r="F65" s="382">
        <v>14.069427323976287</v>
      </c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</row>
    <row r="66" spans="1:22" x14ac:dyDescent="0.25">
      <c r="A66" s="381" t="s">
        <v>726</v>
      </c>
      <c r="B66" s="227">
        <v>50.589219999999997</v>
      </c>
      <c r="C66" s="227">
        <v>64.7659455488606</v>
      </c>
      <c r="D66" s="227">
        <v>65.493999340317302</v>
      </c>
      <c r="E66" s="227">
        <v>42.068497937239115</v>
      </c>
      <c r="F66" s="382">
        <v>56.906218302654516</v>
      </c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</row>
    <row r="67" spans="1:22" x14ac:dyDescent="0.25">
      <c r="A67" s="381" t="s">
        <v>726</v>
      </c>
      <c r="B67" s="227">
        <v>130902.46080999986</v>
      </c>
      <c r="C67" s="227">
        <v>134137.52758584867</v>
      </c>
      <c r="D67" s="227">
        <v>138513.60259406079</v>
      </c>
      <c r="E67" s="227">
        <v>143821.90811734711</v>
      </c>
      <c r="F67" s="382">
        <v>149841.56403316697</v>
      </c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</row>
    <row r="68" spans="1:22" x14ac:dyDescent="0.25">
      <c r="A68" s="381" t="s">
        <v>727</v>
      </c>
      <c r="B68" s="227">
        <v>-14.865</v>
      </c>
      <c r="C68" s="227">
        <v>0</v>
      </c>
      <c r="D68" s="227">
        <v>0</v>
      </c>
      <c r="E68" s="227">
        <v>0</v>
      </c>
      <c r="F68" s="382">
        <v>0</v>
      </c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</row>
    <row r="69" spans="1:22" x14ac:dyDescent="0.25">
      <c r="A69" s="381" t="s">
        <v>727</v>
      </c>
      <c r="B69" s="227">
        <v>-6668873.4348300016</v>
      </c>
      <c r="C69" s="227">
        <v>-6774287.999128215</v>
      </c>
      <c r="D69" s="227">
        <v>-7035858.9757399252</v>
      </c>
      <c r="E69" s="227">
        <v>-7357509.2071155468</v>
      </c>
      <c r="F69" s="382">
        <v>-7715016.4803613154</v>
      </c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</row>
    <row r="70" spans="1:22" x14ac:dyDescent="0.25">
      <c r="A70" s="381" t="s">
        <v>728</v>
      </c>
      <c r="B70" s="227">
        <v>-672.42412999999988</v>
      </c>
      <c r="C70" s="227">
        <v>-860.85898516166003</v>
      </c>
      <c r="D70" s="227">
        <v>-870.53616415974466</v>
      </c>
      <c r="E70" s="227">
        <v>-559.16800310134863</v>
      </c>
      <c r="F70" s="382">
        <v>-756.38869968251208</v>
      </c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</row>
    <row r="71" spans="1:22" x14ac:dyDescent="0.25">
      <c r="A71" s="381" t="s">
        <v>728</v>
      </c>
      <c r="B71" s="227">
        <v>-610.40735000000018</v>
      </c>
      <c r="C71" s="227">
        <v>-781.4631099812234</v>
      </c>
      <c r="D71" s="227">
        <v>-790.24777567681099</v>
      </c>
      <c r="E71" s="227">
        <v>-507.59668451797842</v>
      </c>
      <c r="F71" s="382">
        <v>-686.62797949137894</v>
      </c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</row>
    <row r="72" spans="1:22" x14ac:dyDescent="0.25">
      <c r="A72" s="381" t="s">
        <v>728</v>
      </c>
      <c r="B72" s="227">
        <v>-61716.531700000014</v>
      </c>
      <c r="C72" s="227">
        <v>-60775.320794539235</v>
      </c>
      <c r="D72" s="227">
        <v>-60522.78332811268</v>
      </c>
      <c r="E72" s="227">
        <v>-60447.973843406384</v>
      </c>
      <c r="F72" s="382">
        <v>-60145.900954822551</v>
      </c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</row>
    <row r="73" spans="1:22" x14ac:dyDescent="0.25">
      <c r="A73" s="381" t="s">
        <v>728</v>
      </c>
      <c r="B73" s="227">
        <v>-16313.000429999998</v>
      </c>
      <c r="C73" s="227">
        <v>-20884.427504276988</v>
      </c>
      <c r="D73" s="227">
        <v>-21119.195737768165</v>
      </c>
      <c r="E73" s="227">
        <v>-13565.408301207963</v>
      </c>
      <c r="F73" s="382">
        <v>-18349.979771201793</v>
      </c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</row>
    <row r="74" spans="1:22" x14ac:dyDescent="0.25">
      <c r="A74" s="381" t="s">
        <v>728</v>
      </c>
      <c r="B74" s="237">
        <v>-112.89987999999495</v>
      </c>
      <c r="C74" s="237">
        <v>-144.53805535156638</v>
      </c>
      <c r="D74" s="237">
        <v>-146.16285181391555</v>
      </c>
      <c r="E74" s="237">
        <v>-93.884198429909219</v>
      </c>
      <c r="F74" s="329">
        <v>-126.99751483860024</v>
      </c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</row>
    <row r="75" spans="1:22" x14ac:dyDescent="0.25">
      <c r="A75" s="381" t="s">
        <v>728</v>
      </c>
      <c r="B75" s="237">
        <v>-1954.7175859515203</v>
      </c>
      <c r="C75" s="237">
        <v>-2097.7423116735131</v>
      </c>
      <c r="D75" s="237">
        <v>-2249.7517473540338</v>
      </c>
      <c r="E75" s="237">
        <v>-2395.1684931396012</v>
      </c>
      <c r="F75" s="329">
        <v>-2548.1232272676893</v>
      </c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</row>
    <row r="76" spans="1:22" x14ac:dyDescent="0.25">
      <c r="A76" s="381" t="s">
        <v>728</v>
      </c>
      <c r="B76" s="237">
        <v>-3115103.9690840482</v>
      </c>
      <c r="C76" s="237">
        <v>-3064920.3029070036</v>
      </c>
      <c r="D76" s="237">
        <v>-3106230.3762341747</v>
      </c>
      <c r="E76" s="237">
        <v>-3170644.9824510231</v>
      </c>
      <c r="F76" s="329">
        <v>-3251188.7369484357</v>
      </c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</row>
    <row r="77" spans="1:22" x14ac:dyDescent="0.25">
      <c r="A77" s="381" t="s">
        <v>729</v>
      </c>
      <c r="B77" s="237">
        <v>-3664452.9737399998</v>
      </c>
      <c r="C77" s="237">
        <v>-3802025.7384712952</v>
      </c>
      <c r="D77" s="237">
        <v>-4004916.6728890534</v>
      </c>
      <c r="E77" s="237">
        <v>-4245945.6246929131</v>
      </c>
      <c r="F77" s="329">
        <v>-4520163.7535000034</v>
      </c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</row>
    <row r="78" spans="1:22" x14ac:dyDescent="0.25">
      <c r="A78" s="381" t="s">
        <v>730</v>
      </c>
      <c r="B78" s="237">
        <v>-4.4101700000000008</v>
      </c>
      <c r="C78" s="237">
        <v>-5.6460413914509582</v>
      </c>
      <c r="D78" s="237">
        <v>-5.7095102686044035</v>
      </c>
      <c r="E78" s="237">
        <v>-3.6673668332477529</v>
      </c>
      <c r="F78" s="329">
        <v>-4.9608611631453883</v>
      </c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</row>
    <row r="79" spans="1:22" x14ac:dyDescent="0.25">
      <c r="A79" s="381" t="s">
        <v>730</v>
      </c>
      <c r="B79" s="237">
        <v>-16.712299999999999</v>
      </c>
      <c r="C79" s="237">
        <v>-21.395623648599901</v>
      </c>
      <c r="D79" s="237">
        <v>-21.63613839421096</v>
      </c>
      <c r="E79" s="237">
        <v>-13.8974540045591</v>
      </c>
      <c r="F79" s="329">
        <v>-18.799139266022543</v>
      </c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</row>
    <row r="80" spans="1:22" x14ac:dyDescent="0.25">
      <c r="A80" s="381" t="s">
        <v>730</v>
      </c>
      <c r="B80" s="237">
        <v>-24969.174779999987</v>
      </c>
      <c r="C80" s="237">
        <v>-25658.641994064077</v>
      </c>
      <c r="D80" s="237">
        <v>-26558.98211545718</v>
      </c>
      <c r="E80" s="237">
        <v>-27668.709537201685</v>
      </c>
      <c r="F80" s="329">
        <v>-28950.660485447748</v>
      </c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</row>
    <row r="81" spans="1:22" x14ac:dyDescent="0.25">
      <c r="A81" s="381" t="s">
        <v>730</v>
      </c>
      <c r="B81" s="237">
        <v>-8.0974499999999985</v>
      </c>
      <c r="C81" s="237">
        <v>-10.366615768826268</v>
      </c>
      <c r="D81" s="237">
        <v>-10.483150065532783</v>
      </c>
      <c r="E81" s="237">
        <v>-6.73359973966582</v>
      </c>
      <c r="F81" s="329">
        <v>-9.1085661608309003</v>
      </c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</row>
    <row r="82" spans="1:22" x14ac:dyDescent="0.25">
      <c r="A82" s="381" t="s">
        <v>730</v>
      </c>
      <c r="B82" s="237">
        <v>-33.876919999999998</v>
      </c>
      <c r="C82" s="237">
        <v>-43.370321900260706</v>
      </c>
      <c r="D82" s="237">
        <v>-43.857860946106349</v>
      </c>
      <c r="E82" s="237">
        <v>-28.171043932680025</v>
      </c>
      <c r="F82" s="329">
        <v>-38.107079036631973</v>
      </c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</row>
    <row r="83" spans="1:22" x14ac:dyDescent="0.25">
      <c r="A83" s="381" t="s">
        <v>730</v>
      </c>
      <c r="B83" s="237">
        <v>-105933.28603000005</v>
      </c>
      <c r="C83" s="237">
        <v>-108534.99681073285</v>
      </c>
      <c r="D83" s="237">
        <v>-112154.48532673556</v>
      </c>
      <c r="E83" s="237">
        <v>-116522.33434225334</v>
      </c>
      <c r="F83" s="329">
        <v>-121480.34105730589</v>
      </c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</row>
    <row r="84" spans="1:22" x14ac:dyDescent="0.25">
      <c r="A84" s="381" t="s">
        <v>731</v>
      </c>
      <c r="B84" s="237">
        <v>-4.640290000000002</v>
      </c>
      <c r="C84" s="237">
        <v>-5.9406484122689083</v>
      </c>
      <c r="D84" s="237">
        <v>-6.0074290569983324</v>
      </c>
      <c r="E84" s="237">
        <v>-3.8587278138147103</v>
      </c>
      <c r="F84" s="329">
        <v>-5.2197158945645903</v>
      </c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</row>
    <row r="85" spans="1:22" x14ac:dyDescent="0.25">
      <c r="A85" s="381" t="s">
        <v>731</v>
      </c>
      <c r="B85" s="237">
        <v>-35.588390000000011</v>
      </c>
      <c r="C85" s="237">
        <v>-45.561400806567406</v>
      </c>
      <c r="D85" s="237">
        <v>-46.073570440164048</v>
      </c>
      <c r="E85" s="237">
        <v>-29.59425172605274</v>
      </c>
      <c r="F85" s="329">
        <v>-40.032257670310152</v>
      </c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</row>
    <row r="86" spans="1:22" x14ac:dyDescent="0.25">
      <c r="A86" s="381" t="s">
        <v>731</v>
      </c>
      <c r="B86" s="237">
        <v>-3636.1900500000038</v>
      </c>
      <c r="C86" s="237">
        <v>-3663.6341744119745</v>
      </c>
      <c r="D86" s="237">
        <v>-3739.653229430483</v>
      </c>
      <c r="E86" s="237">
        <v>-3824.7214074887142</v>
      </c>
      <c r="F86" s="329">
        <v>-3914.806417258882</v>
      </c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</row>
    <row r="87" spans="1:22" x14ac:dyDescent="0.25">
      <c r="A87" s="381" t="s">
        <v>731</v>
      </c>
      <c r="B87" s="237">
        <v>-34.13212</v>
      </c>
      <c r="C87" s="237">
        <v>-43.697037143232812</v>
      </c>
      <c r="D87" s="237">
        <v>-44.188248894994459</v>
      </c>
      <c r="E87" s="237">
        <v>-28.383260698891945</v>
      </c>
      <c r="F87" s="329">
        <v>-38.394145469180991</v>
      </c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</row>
    <row r="88" spans="1:22" x14ac:dyDescent="0.25">
      <c r="A88" s="381" t="s">
        <v>731</v>
      </c>
      <c r="B88" s="237">
        <v>-192.89514000000008</v>
      </c>
      <c r="C88" s="237">
        <v>-246.9505585158231</v>
      </c>
      <c r="D88" s="237">
        <v>-249.72660523151814</v>
      </c>
      <c r="E88" s="237">
        <v>-160.4058888275695</v>
      </c>
      <c r="F88" s="329">
        <v>-216.98166025017008</v>
      </c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</row>
    <row r="89" spans="1:22" x14ac:dyDescent="0.25">
      <c r="A89" s="381" t="s">
        <v>731</v>
      </c>
      <c r="B89" s="237">
        <v>-21799.86706</v>
      </c>
      <c r="C89" s="237">
        <v>-21964.401436787884</v>
      </c>
      <c r="D89" s="237">
        <v>-22420.154648430471</v>
      </c>
      <c r="E89" s="237">
        <v>-22930.159611649007</v>
      </c>
      <c r="F89" s="329">
        <v>-23470.241733343515</v>
      </c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</row>
    <row r="90" spans="1:22" x14ac:dyDescent="0.25">
      <c r="A90" s="381" t="s">
        <v>732</v>
      </c>
      <c r="B90" s="237">
        <v>3578.7685099999999</v>
      </c>
      <c r="C90" s="237">
        <v>3578.7685099999999</v>
      </c>
      <c r="D90" s="237">
        <v>3578.7685099999999</v>
      </c>
      <c r="E90" s="237">
        <v>3578.7685099999999</v>
      </c>
      <c r="F90" s="329">
        <v>3578.7685099999999</v>
      </c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</row>
    <row r="91" spans="1:22" x14ac:dyDescent="0.25">
      <c r="A91" s="381" t="s">
        <v>733</v>
      </c>
      <c r="B91" s="237">
        <v>-283062</v>
      </c>
      <c r="C91" s="237">
        <v>-272534.85735407344</v>
      </c>
      <c r="D91" s="237">
        <v>-281745.41864612256</v>
      </c>
      <c r="E91" s="237">
        <v>-291106.66974670591</v>
      </c>
      <c r="F91" s="329">
        <v>-301023.53229908587</v>
      </c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</row>
    <row r="92" spans="1:22" x14ac:dyDescent="0.25">
      <c r="A92" s="381" t="s">
        <v>734</v>
      </c>
      <c r="B92" s="237">
        <v>-433.16620000000006</v>
      </c>
      <c r="C92" s="237">
        <v>-436.43551951311531</v>
      </c>
      <c r="D92" s="237">
        <v>-445.49139523390124</v>
      </c>
      <c r="E92" s="237">
        <v>-455.62526032998096</v>
      </c>
      <c r="F92" s="329">
        <v>-466.35676248540494</v>
      </c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</row>
    <row r="93" spans="1:22" x14ac:dyDescent="0.25">
      <c r="A93" s="381" t="s">
        <v>734</v>
      </c>
      <c r="B93" s="237">
        <v>-0.21495</v>
      </c>
      <c r="C93" s="237">
        <v>-0.27518589920397246</v>
      </c>
      <c r="D93" s="237">
        <v>-0.27827934801527293</v>
      </c>
      <c r="E93" s="237">
        <v>-0.17874605759111425</v>
      </c>
      <c r="F93" s="329">
        <v>-0.24179047678844601</v>
      </c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</row>
    <row r="94" spans="1:22" x14ac:dyDescent="0.25">
      <c r="A94" s="381" t="s">
        <v>734</v>
      </c>
      <c r="B94" s="237">
        <v>-23.240859999999998</v>
      </c>
      <c r="C94" s="237">
        <v>-29.753696010112279</v>
      </c>
      <c r="D94" s="237">
        <v>-30.088166402020171</v>
      </c>
      <c r="E94" s="237">
        <v>-19.326411258557911</v>
      </c>
      <c r="F94" s="329">
        <v>-26.142910539071984</v>
      </c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</row>
    <row r="95" spans="1:22" x14ac:dyDescent="0.25">
      <c r="A95" s="381" t="s">
        <v>734</v>
      </c>
      <c r="B95" s="237">
        <v>-61568.85086000002</v>
      </c>
      <c r="C95" s="237">
        <v>-62033.541423383496</v>
      </c>
      <c r="D95" s="237">
        <v>-63320.714479960312</v>
      </c>
      <c r="E95" s="237">
        <v>-64761.109480160907</v>
      </c>
      <c r="F95" s="329">
        <v>-66286.450690327038</v>
      </c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</row>
    <row r="96" spans="1:22" x14ac:dyDescent="0.25">
      <c r="A96" s="381" t="s">
        <v>735</v>
      </c>
      <c r="B96" s="237">
        <v>5384.9518800000005</v>
      </c>
      <c r="C96" s="237">
        <v>6893.988486940787</v>
      </c>
      <c r="D96" s="237">
        <v>6971.4859188649389</v>
      </c>
      <c r="E96" s="237">
        <v>4477.9665916160002</v>
      </c>
      <c r="F96" s="329">
        <v>6057.3625612842006</v>
      </c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</row>
    <row r="97" spans="1:22" x14ac:dyDescent="0.25">
      <c r="A97" s="381" t="s">
        <v>735</v>
      </c>
      <c r="B97" s="237">
        <v>852587.17079999973</v>
      </c>
      <c r="C97" s="237">
        <v>1091509.5010298616</v>
      </c>
      <c r="D97" s="237">
        <v>1103779.4929816704</v>
      </c>
      <c r="E97" s="237">
        <v>708986.25509775255</v>
      </c>
      <c r="F97" s="329">
        <v>959048.42303533002</v>
      </c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</row>
    <row r="98" spans="1:22" x14ac:dyDescent="0.25">
      <c r="A98" s="381" t="s">
        <v>735</v>
      </c>
      <c r="B98" s="237">
        <v>38223.059760000018</v>
      </c>
      <c r="C98" s="237">
        <v>35163.522771224125</v>
      </c>
      <c r="D98" s="237">
        <v>36116.806729830409</v>
      </c>
      <c r="E98" s="237">
        <v>37229.353290152052</v>
      </c>
      <c r="F98" s="329">
        <v>38451.439090984553</v>
      </c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</row>
    <row r="99" spans="1:22" x14ac:dyDescent="0.25">
      <c r="A99" s="381" t="s">
        <v>736</v>
      </c>
      <c r="B99" s="237">
        <v>-438.24635999999998</v>
      </c>
      <c r="C99" s="237">
        <v>-561.05707675956182</v>
      </c>
      <c r="D99" s="237">
        <v>-567.36409086237074</v>
      </c>
      <c r="E99" s="237">
        <v>-364.43270111028698</v>
      </c>
      <c r="F99" s="329">
        <v>-492.96951074762018</v>
      </c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</row>
    <row r="100" spans="1:22" x14ac:dyDescent="0.25">
      <c r="A100" s="381" t="s">
        <v>736</v>
      </c>
      <c r="B100" s="237">
        <v>-4.0482499999999213</v>
      </c>
      <c r="C100" s="237">
        <v>-5.1826997741449627</v>
      </c>
      <c r="D100" s="237">
        <v>-5.2409600865448089</v>
      </c>
      <c r="E100" s="237">
        <v>-3.3664048738925989</v>
      </c>
      <c r="F100" s="329">
        <v>-4.5537487678939632</v>
      </c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</row>
    <row r="101" spans="1:22" x14ac:dyDescent="0.25">
      <c r="A101" s="381" t="s">
        <v>736</v>
      </c>
      <c r="B101" s="237">
        <v>-181011.86771999992</v>
      </c>
      <c r="C101" s="237">
        <v>-181696.08305802522</v>
      </c>
      <c r="D101" s="237">
        <v>-186011.6847155994</v>
      </c>
      <c r="E101" s="237">
        <v>-193038.98658160894</v>
      </c>
      <c r="F101" s="329">
        <v>-200742.21283264004</v>
      </c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</row>
    <row r="102" spans="1:22" x14ac:dyDescent="0.25">
      <c r="A102" s="381" t="s">
        <v>736</v>
      </c>
      <c r="B102" s="237">
        <v>-795.9835700000001</v>
      </c>
      <c r="C102" s="237">
        <v>-1019.0437518587493</v>
      </c>
      <c r="D102" s="237">
        <v>-1030.499134172921</v>
      </c>
      <c r="E102" s="237">
        <v>-661.91637610979637</v>
      </c>
      <c r="F102" s="329">
        <v>-895.37681742763152</v>
      </c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</row>
    <row r="103" spans="1:22" x14ac:dyDescent="0.25">
      <c r="A103" s="381" t="s">
        <v>736</v>
      </c>
      <c r="B103" s="237">
        <v>-968.36827999999991</v>
      </c>
      <c r="C103" s="237">
        <v>-1239.7361986155113</v>
      </c>
      <c r="D103" s="237">
        <v>-1253.6724521845604</v>
      </c>
      <c r="E103" s="237">
        <v>-805.26639844749116</v>
      </c>
      <c r="F103" s="329">
        <v>-1089.2869417446261</v>
      </c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</row>
    <row r="104" spans="1:22" x14ac:dyDescent="0.25">
      <c r="A104" s="381" t="s">
        <v>736</v>
      </c>
      <c r="B104" s="237">
        <v>-25386.318314413835</v>
      </c>
      <c r="C104" s="237">
        <v>-27243.809770010888</v>
      </c>
      <c r="D104" s="237">
        <v>-29217.987497123137</v>
      </c>
      <c r="E104" s="237">
        <v>-31106.544608027529</v>
      </c>
      <c r="F104" s="329">
        <v>-33092.999120013737</v>
      </c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</row>
    <row r="105" spans="1:22" x14ac:dyDescent="0.25">
      <c r="A105" s="381" t="s">
        <v>736</v>
      </c>
      <c r="B105" s="237">
        <v>-637417.38527558628</v>
      </c>
      <c r="C105" s="237">
        <v>-651354.32061576936</v>
      </c>
      <c r="D105" s="237">
        <v>-680221.37525916856</v>
      </c>
      <c r="E105" s="237">
        <v>-732226.28419953049</v>
      </c>
      <c r="F105" s="329">
        <v>-754196.27454366535</v>
      </c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</row>
    <row r="106" spans="1:22" x14ac:dyDescent="0.25">
      <c r="A106" s="381" t="s">
        <v>737</v>
      </c>
      <c r="B106" s="237">
        <v>71194.951489999992</v>
      </c>
      <c r="C106" s="237">
        <v>91146.065338724584</v>
      </c>
      <c r="D106" s="237">
        <v>92170.66612056845</v>
      </c>
      <c r="E106" s="237">
        <v>59203.614325322756</v>
      </c>
      <c r="F106" s="329">
        <v>80084.955876703345</v>
      </c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</row>
    <row r="107" spans="1:22" x14ac:dyDescent="0.25">
      <c r="A107" s="381" t="s">
        <v>737</v>
      </c>
      <c r="B107" s="237">
        <v>414894.73456999986</v>
      </c>
      <c r="C107" s="237">
        <v>531161.57528559619</v>
      </c>
      <c r="D107" s="237">
        <v>537132.52491793118</v>
      </c>
      <c r="E107" s="237">
        <v>345014.18059874041</v>
      </c>
      <c r="F107" s="329">
        <v>466702.00366920693</v>
      </c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</row>
    <row r="108" spans="1:22" x14ac:dyDescent="0.25">
      <c r="A108" s="381" t="s">
        <v>737</v>
      </c>
      <c r="B108" s="237">
        <v>297293.57820000616</v>
      </c>
      <c r="C108" s="237">
        <v>254249.21515261394</v>
      </c>
      <c r="D108" s="237">
        <v>270297.91285637993</v>
      </c>
      <c r="E108" s="237">
        <v>284007.35927480075</v>
      </c>
      <c r="F108" s="329">
        <v>288472.78896404768</v>
      </c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</row>
    <row r="109" spans="1:22" x14ac:dyDescent="0.25">
      <c r="A109" s="381" t="s">
        <v>740</v>
      </c>
      <c r="B109" s="237">
        <v>7.5987599999999995</v>
      </c>
      <c r="C109" s="237">
        <v>5.6990699999999999</v>
      </c>
      <c r="D109" s="237">
        <v>3.7993799999999998</v>
      </c>
      <c r="E109" s="237">
        <v>1.8996899999999999</v>
      </c>
      <c r="F109" s="329">
        <v>0</v>
      </c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</row>
    <row r="110" spans="1:22" x14ac:dyDescent="0.25">
      <c r="A110" s="381" t="s">
        <v>741</v>
      </c>
      <c r="B110" s="237">
        <v>-6.1461199999999998</v>
      </c>
      <c r="C110" s="237">
        <v>-7.868460380625816</v>
      </c>
      <c r="D110" s="237">
        <v>-7.9569121489817602</v>
      </c>
      <c r="E110" s="237">
        <v>-5.1109314700251183</v>
      </c>
      <c r="F110" s="329">
        <v>-6.9135765768737096</v>
      </c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</row>
    <row r="111" spans="1:22" x14ac:dyDescent="0.25">
      <c r="A111" s="381" t="s">
        <v>741</v>
      </c>
      <c r="B111" s="237">
        <v>0</v>
      </c>
      <c r="C111" s="237">
        <v>0</v>
      </c>
      <c r="D111" s="237">
        <v>0</v>
      </c>
      <c r="E111" s="237">
        <v>0</v>
      </c>
      <c r="F111" s="329">
        <v>0</v>
      </c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</row>
    <row r="112" spans="1:22" x14ac:dyDescent="0.25">
      <c r="A112" s="381" t="s">
        <v>741</v>
      </c>
      <c r="B112" s="237">
        <v>-140.69999999999999</v>
      </c>
      <c r="C112" s="237">
        <v>-145.26800918071478</v>
      </c>
      <c r="D112" s="237">
        <v>-151.69288393426513</v>
      </c>
      <c r="E112" s="237">
        <v>-159.34328425824734</v>
      </c>
      <c r="F112" s="329">
        <v>-168.11985178760713</v>
      </c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</row>
    <row r="113" spans="1:22" x14ac:dyDescent="0.25">
      <c r="A113" s="381" t="s">
        <v>741</v>
      </c>
      <c r="B113" s="237">
        <v>-127251.23868999998</v>
      </c>
      <c r="C113" s="237">
        <v>-162911.12604664793</v>
      </c>
      <c r="D113" s="237">
        <v>-164742.45981292889</v>
      </c>
      <c r="E113" s="237">
        <v>-105818.36352371883</v>
      </c>
      <c r="F113" s="329">
        <v>-143140.90567469384</v>
      </c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</row>
    <row r="114" spans="1:22" x14ac:dyDescent="0.25">
      <c r="A114" s="381" t="s">
        <v>741</v>
      </c>
      <c r="B114" s="237">
        <v>-38419.080549999984</v>
      </c>
      <c r="C114" s="237">
        <v>-49185.341836434491</v>
      </c>
      <c r="D114" s="237">
        <v>-49738.249298907875</v>
      </c>
      <c r="E114" s="237">
        <v>-31948.170200455712</v>
      </c>
      <c r="F114" s="329">
        <v>-43216.412207295689</v>
      </c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</row>
    <row r="115" spans="1:22" x14ac:dyDescent="0.25">
      <c r="A115" s="381" t="s">
        <v>741</v>
      </c>
      <c r="B115" s="237">
        <v>-127556.13848000002</v>
      </c>
      <c r="C115" s="237">
        <v>-134907.14809088441</v>
      </c>
      <c r="D115" s="237">
        <v>-141025.97041099484</v>
      </c>
      <c r="E115" s="237">
        <v>-148207.72728497488</v>
      </c>
      <c r="F115" s="329">
        <v>-156814.60518563588</v>
      </c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</row>
    <row r="116" spans="1:22" x14ac:dyDescent="0.25">
      <c r="A116" s="381" t="s">
        <v>742</v>
      </c>
      <c r="B116" s="237">
        <v>-67322.660909999991</v>
      </c>
      <c r="C116" s="237">
        <v>-86188.634469981262</v>
      </c>
      <c r="D116" s="237">
        <v>-87157.507256050696</v>
      </c>
      <c r="E116" s="237">
        <v>-55983.532096794203</v>
      </c>
      <c r="F116" s="329">
        <v>-75729.138311680726</v>
      </c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</row>
    <row r="117" spans="1:22" x14ac:dyDescent="0.25">
      <c r="A117" s="381" t="s">
        <v>742</v>
      </c>
      <c r="B117" s="237">
        <v>-446864.16932000103</v>
      </c>
      <c r="C117" s="237">
        <v>-572089.87325592316</v>
      </c>
      <c r="D117" s="237">
        <v>-578520.91039663379</v>
      </c>
      <c r="E117" s="237">
        <v>-371599.01625809883</v>
      </c>
      <c r="F117" s="329">
        <v>-502663.41269856208</v>
      </c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</row>
    <row r="118" spans="1:22" x14ac:dyDescent="0.25">
      <c r="A118" s="381" t="s">
        <v>742</v>
      </c>
      <c r="B118" s="237">
        <v>735663.98866000085</v>
      </c>
      <c r="C118" s="237">
        <v>735663.98866000085</v>
      </c>
      <c r="D118" s="237">
        <v>735663.98866000085</v>
      </c>
      <c r="E118" s="237">
        <v>735663.98866000085</v>
      </c>
      <c r="F118" s="329">
        <v>735663.98866000085</v>
      </c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</row>
    <row r="119" spans="1:22" x14ac:dyDescent="0.25">
      <c r="A119" s="381" t="s">
        <v>743</v>
      </c>
      <c r="B119" s="237">
        <v>-112270</v>
      </c>
      <c r="C119" s="237">
        <v>-116484.89766878325</v>
      </c>
      <c r="D119" s="237">
        <v>-122700.98650122734</v>
      </c>
      <c r="E119" s="237">
        <v>-130085.53219275003</v>
      </c>
      <c r="F119" s="329">
        <v>-138486.91421123748</v>
      </c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</row>
    <row r="120" spans="1:22" x14ac:dyDescent="0.25">
      <c r="A120" s="381" t="s">
        <v>743</v>
      </c>
      <c r="B120" s="237">
        <v>-11.296520000000001</v>
      </c>
      <c r="C120" s="237">
        <v>-14.462168011517372</v>
      </c>
      <c r="D120" s="237">
        <v>-14.624741662905286</v>
      </c>
      <c r="E120" s="237">
        <v>-9.3938516608475187</v>
      </c>
      <c r="F120" s="329">
        <v>-12.707099124681164</v>
      </c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</row>
    <row r="121" spans="1:22" x14ac:dyDescent="0.25">
      <c r="A121" s="381" t="s">
        <v>743</v>
      </c>
      <c r="B121" s="237">
        <v>-64.013319999999993</v>
      </c>
      <c r="C121" s="237">
        <v>-81.951909863836391</v>
      </c>
      <c r="D121" s="237">
        <v>-82.87315633353353</v>
      </c>
      <c r="E121" s="237">
        <v>-53.231582150818454</v>
      </c>
      <c r="F121" s="329">
        <v>-72.006565078443202</v>
      </c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</row>
    <row r="122" spans="1:22" x14ac:dyDescent="0.25">
      <c r="A122" s="381" t="s">
        <v>743</v>
      </c>
      <c r="B122" s="237">
        <v>-20589.281559999999</v>
      </c>
      <c r="C122" s="237">
        <v>-18107.896628767052</v>
      </c>
      <c r="D122" s="237">
        <v>-18908.767849803306</v>
      </c>
      <c r="E122" s="237">
        <v>-19862.402851870553</v>
      </c>
      <c r="F122" s="329">
        <v>-20956.41645110241</v>
      </c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</row>
    <row r="123" spans="1:22" x14ac:dyDescent="0.25">
      <c r="A123" s="381" t="s">
        <v>744</v>
      </c>
      <c r="B123" s="237">
        <v>352.38715999999829</v>
      </c>
      <c r="C123" s="237">
        <v>451.13736912088223</v>
      </c>
      <c r="D123" s="237">
        <v>456.20874219005907</v>
      </c>
      <c r="E123" s="237">
        <v>293.03473177822235</v>
      </c>
      <c r="F123" s="329">
        <v>396.38920414294489</v>
      </c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</row>
    <row r="124" spans="1:22" x14ac:dyDescent="0.25">
      <c r="A124" s="381" t="s">
        <v>744</v>
      </c>
      <c r="B124" s="237">
        <v>5570.996530000024</v>
      </c>
      <c r="C124" s="237">
        <v>7132.1688279612335</v>
      </c>
      <c r="D124" s="237">
        <v>7212.343717905349</v>
      </c>
      <c r="E124" s="237">
        <v>4632.6758157305521</v>
      </c>
      <c r="F124" s="329">
        <v>6266.6383213560557</v>
      </c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</row>
    <row r="125" spans="1:22" x14ac:dyDescent="0.25">
      <c r="A125" s="381" t="s">
        <v>744</v>
      </c>
      <c r="B125" s="237">
        <v>10552.397769999987</v>
      </c>
      <c r="C125" s="237">
        <v>10894.995139523198</v>
      </c>
      <c r="D125" s="237">
        <v>11376.856077845117</v>
      </c>
      <c r="E125" s="237">
        <v>11950.630543505367</v>
      </c>
      <c r="F125" s="329">
        <v>12608.866731316815</v>
      </c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</row>
    <row r="126" spans="1:22" x14ac:dyDescent="0.25">
      <c r="A126" s="381" t="s">
        <v>745</v>
      </c>
      <c r="B126" s="237">
        <v>-1274.1197400000001</v>
      </c>
      <c r="C126" s="237">
        <v>-1315.4857006940292</v>
      </c>
      <c r="D126" s="237">
        <v>-1373.6666513018911</v>
      </c>
      <c r="E126" s="237">
        <v>-1442.9454435669097</v>
      </c>
      <c r="F126" s="329">
        <v>-1522.4223301241259</v>
      </c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</row>
    <row r="127" spans="1:22" x14ac:dyDescent="0.25">
      <c r="A127" s="381" t="s">
        <v>745</v>
      </c>
      <c r="B127" s="237">
        <v>-599.72440999999992</v>
      </c>
      <c r="C127" s="237">
        <v>-767.78646680819645</v>
      </c>
      <c r="D127" s="237">
        <v>-776.41738917722364</v>
      </c>
      <c r="E127" s="237">
        <v>-498.71306782347995</v>
      </c>
      <c r="F127" s="329">
        <v>-674.61107716012782</v>
      </c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</row>
    <row r="128" spans="1:22" x14ac:dyDescent="0.25">
      <c r="A128" s="381" t="s">
        <v>745</v>
      </c>
      <c r="B128" s="237">
        <v>-3425.8580900000002</v>
      </c>
      <c r="C128" s="237">
        <v>-4385.8936452284424</v>
      </c>
      <c r="D128" s="237">
        <v>-4435.1968163668216</v>
      </c>
      <c r="E128" s="237">
        <v>-2848.8421840154674</v>
      </c>
      <c r="F128" s="329">
        <v>-3853.6397347785764</v>
      </c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</row>
    <row r="129" spans="1:22" x14ac:dyDescent="0.25">
      <c r="A129" s="381" t="s">
        <v>745</v>
      </c>
      <c r="B129" s="237">
        <v>-9048.0420600000016</v>
      </c>
      <c r="C129" s="237">
        <v>-9341.7985574951927</v>
      </c>
      <c r="D129" s="237">
        <v>-9754.9651317692205</v>
      </c>
      <c r="E129" s="237">
        <v>-10246.941989674187</v>
      </c>
      <c r="F129" s="329">
        <v>-10811.339659525485</v>
      </c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</row>
    <row r="130" spans="1:22" x14ac:dyDescent="0.25">
      <c r="A130" s="381" t="s">
        <v>746</v>
      </c>
      <c r="B130" s="237">
        <v>2.3041</v>
      </c>
      <c r="C130" s="237">
        <v>2.9497828813950822</v>
      </c>
      <c r="D130" s="237">
        <v>2.982942292449362</v>
      </c>
      <c r="E130" s="237">
        <v>1.91602135983106</v>
      </c>
      <c r="F130" s="329">
        <v>2.5918094327437005</v>
      </c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</row>
    <row r="131" spans="1:22" x14ac:dyDescent="0.25">
      <c r="A131" s="381" t="s">
        <v>746</v>
      </c>
      <c r="B131" s="237">
        <v>19.58521</v>
      </c>
      <c r="C131" s="237">
        <v>25.073615375429789</v>
      </c>
      <c r="D131" s="237">
        <v>25.355475550324279</v>
      </c>
      <c r="E131" s="237">
        <v>16.286480923908197</v>
      </c>
      <c r="F131" s="329">
        <v>22.030785130969253</v>
      </c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</row>
    <row r="132" spans="1:22" x14ac:dyDescent="0.25">
      <c r="A132" s="381" t="s">
        <v>746</v>
      </c>
      <c r="B132" s="237">
        <v>70168.992579999976</v>
      </c>
      <c r="C132" s="237">
        <v>70168.992579999976</v>
      </c>
      <c r="D132" s="237">
        <v>70168.992579999976</v>
      </c>
      <c r="E132" s="237">
        <v>70168.992579999976</v>
      </c>
      <c r="F132" s="329">
        <v>70168.992579999976</v>
      </c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</row>
    <row r="133" spans="1:22" x14ac:dyDescent="0.25">
      <c r="A133" s="381" t="s">
        <v>747</v>
      </c>
      <c r="B133" s="237">
        <v>-6.5156000000000001</v>
      </c>
      <c r="C133" s="237">
        <v>-8.3414805529351153</v>
      </c>
      <c r="D133" s="237">
        <v>-8.4352496856399739</v>
      </c>
      <c r="E133" s="237">
        <v>-5.4181801016081144</v>
      </c>
      <c r="F133" s="329">
        <v>-7.3291929777287699</v>
      </c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</row>
    <row r="134" spans="1:22" x14ac:dyDescent="0.25">
      <c r="A134" s="381" t="s">
        <v>747</v>
      </c>
      <c r="B134" s="237">
        <v>-55.382600000000004</v>
      </c>
      <c r="C134" s="237">
        <v>-70.902584699948477</v>
      </c>
      <c r="D134" s="237">
        <v>-71.699622327939778</v>
      </c>
      <c r="E134" s="237">
        <v>-46.054530863668973</v>
      </c>
      <c r="F134" s="329">
        <v>-62.298140310694542</v>
      </c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</row>
    <row r="135" spans="1:22" x14ac:dyDescent="0.25">
      <c r="A135" s="381" t="s">
        <v>747</v>
      </c>
      <c r="B135" s="237">
        <v>-26.506800000000002</v>
      </c>
      <c r="C135" s="237">
        <v>-27.367377866036744</v>
      </c>
      <c r="D135" s="237">
        <v>-28.577774952869785</v>
      </c>
      <c r="E135" s="237">
        <v>-30.019051650152878</v>
      </c>
      <c r="F135" s="329">
        <v>-31.672489604575293</v>
      </c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</row>
    <row r="136" spans="1:22" x14ac:dyDescent="0.25">
      <c r="A136" s="381" t="s">
        <v>747</v>
      </c>
      <c r="B136" s="237">
        <v>-919.29025999999999</v>
      </c>
      <c r="C136" s="237">
        <v>-1176.9049398816171</v>
      </c>
      <c r="D136" s="237">
        <v>-1190.1348880650883</v>
      </c>
      <c r="E136" s="237">
        <v>-764.45456969951329</v>
      </c>
      <c r="F136" s="329">
        <v>-1034.0806246679435</v>
      </c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</row>
    <row r="137" spans="1:22" x14ac:dyDescent="0.25">
      <c r="A137" s="381" t="s">
        <v>747</v>
      </c>
      <c r="B137" s="237">
        <v>-3261.1331</v>
      </c>
      <c r="C137" s="237">
        <v>-4175.0074182244161</v>
      </c>
      <c r="D137" s="237">
        <v>-4221.9399528217073</v>
      </c>
      <c r="E137" s="237">
        <v>-2711.8617581060203</v>
      </c>
      <c r="F137" s="329">
        <v>-3668.3457879487469</v>
      </c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</row>
    <row r="138" spans="1:22" x14ac:dyDescent="0.25">
      <c r="A138" s="381" t="s">
        <v>747</v>
      </c>
      <c r="B138" s="237">
        <v>-3126.8090300000008</v>
      </c>
      <c r="C138" s="237">
        <v>-3228.3249671384642</v>
      </c>
      <c r="D138" s="237">
        <v>-3371.1064624904207</v>
      </c>
      <c r="E138" s="237">
        <v>-3541.1230994210709</v>
      </c>
      <c r="F138" s="329">
        <v>-3736.1668137295783</v>
      </c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</row>
    <row r="139" spans="1:22" x14ac:dyDescent="0.25">
      <c r="A139" s="381" t="s">
        <v>748</v>
      </c>
      <c r="B139" s="237">
        <v>182.83251000000001</v>
      </c>
      <c r="C139" s="237">
        <v>182.83251000000001</v>
      </c>
      <c r="D139" s="237">
        <v>182.83251000000001</v>
      </c>
      <c r="E139" s="237">
        <v>182.83251000000001</v>
      </c>
      <c r="F139" s="329">
        <v>182.83251000000001</v>
      </c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</row>
    <row r="140" spans="1:22" x14ac:dyDescent="0.25">
      <c r="A140" s="381" t="s">
        <v>749</v>
      </c>
      <c r="B140" s="237">
        <v>11.594019999999999</v>
      </c>
      <c r="C140" s="237">
        <v>14.843037074151384</v>
      </c>
      <c r="D140" s="237">
        <v>15.009892191095764</v>
      </c>
      <c r="E140" s="237">
        <v>9.6412438550013029</v>
      </c>
      <c r="F140" s="329">
        <v>13.041747493346259</v>
      </c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</row>
    <row r="141" spans="1:22" x14ac:dyDescent="0.25">
      <c r="A141" s="381" t="s">
        <v>749</v>
      </c>
      <c r="B141" s="237">
        <v>96.191909999999993</v>
      </c>
      <c r="C141" s="237">
        <v>123.14797510815347</v>
      </c>
      <c r="D141" s="237">
        <v>124.53231914000379</v>
      </c>
      <c r="E141" s="237">
        <v>79.990345125188554</v>
      </c>
      <c r="F141" s="329">
        <v>108.20324625304158</v>
      </c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</row>
    <row r="142" spans="1:22" x14ac:dyDescent="0.25">
      <c r="A142" s="381" t="s">
        <v>749</v>
      </c>
      <c r="B142" s="237">
        <v>1317326.1238600002</v>
      </c>
      <c r="C142" s="237">
        <v>1318184.6685898197</v>
      </c>
      <c r="D142" s="237">
        <v>1323663.4974403994</v>
      </c>
      <c r="E142" s="237">
        <v>1323675.5352622713</v>
      </c>
      <c r="F142" s="329">
        <v>1330046.0990259603</v>
      </c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</row>
    <row r="143" spans="1:22" x14ac:dyDescent="0.25">
      <c r="A143" s="381" t="s">
        <v>750</v>
      </c>
      <c r="B143" s="237">
        <v>7090</v>
      </c>
      <c r="C143" s="237">
        <v>7090</v>
      </c>
      <c r="D143" s="237">
        <v>7090</v>
      </c>
      <c r="E143" s="237">
        <v>7090</v>
      </c>
      <c r="F143" s="329">
        <v>7090</v>
      </c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</row>
    <row r="144" spans="1:22" x14ac:dyDescent="0.25">
      <c r="A144" s="381" t="s">
        <v>752</v>
      </c>
      <c r="B144" s="237">
        <v>27527.275889999994</v>
      </c>
      <c r="C144" s="237">
        <v>27735.037853445167</v>
      </c>
      <c r="D144" s="237">
        <v>28310.529637872543</v>
      </c>
      <c r="E144" s="237">
        <v>28954.526561759558</v>
      </c>
      <c r="F144" s="329">
        <v>29636.502719055501</v>
      </c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</row>
    <row r="145" spans="1:22" x14ac:dyDescent="0.25">
      <c r="A145" s="381" t="s">
        <v>753</v>
      </c>
      <c r="B145" s="237">
        <v>-7245.3217499999946</v>
      </c>
      <c r="C145" s="237">
        <v>-9275.6937929557989</v>
      </c>
      <c r="D145" s="237">
        <v>-9379.9647022604149</v>
      </c>
      <c r="E145" s="237">
        <v>-6024.9951095215292</v>
      </c>
      <c r="F145" s="329">
        <v>-8150.0339633319281</v>
      </c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</row>
    <row r="146" spans="1:22" x14ac:dyDescent="0.25">
      <c r="A146" s="381" t="s">
        <v>753</v>
      </c>
      <c r="B146" s="237">
        <v>-46828.986830000002</v>
      </c>
      <c r="C146" s="237">
        <v>-59951.974178295124</v>
      </c>
      <c r="D146" s="237">
        <v>-60625.91264604887</v>
      </c>
      <c r="E146" s="237">
        <v>-38941.599334025181</v>
      </c>
      <c r="F146" s="329">
        <v>-52676.450584533886</v>
      </c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</row>
    <row r="147" spans="1:22" x14ac:dyDescent="0.25">
      <c r="A147" s="381" t="s">
        <v>753</v>
      </c>
      <c r="B147" s="237">
        <v>-595417.87041000021</v>
      </c>
      <c r="C147" s="237">
        <v>-598171.16772504756</v>
      </c>
      <c r="D147" s="237">
        <v>-608717.01865930622</v>
      </c>
      <c r="E147" s="237">
        <v>-620410.56687783299</v>
      </c>
      <c r="F147" s="329">
        <v>-633059.4295726096</v>
      </c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</row>
    <row r="148" spans="1:22" x14ac:dyDescent="0.25">
      <c r="A148" s="381" t="s">
        <v>753</v>
      </c>
      <c r="B148" s="237">
        <v>-15784.63517</v>
      </c>
      <c r="C148" s="237">
        <v>-20207.997315017903</v>
      </c>
      <c r="D148" s="237">
        <v>-20435.16158998161</v>
      </c>
      <c r="E148" s="237">
        <v>-13126.035390330531</v>
      </c>
      <c r="F148" s="329">
        <v>-17755.638351644444</v>
      </c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</row>
    <row r="149" spans="1:22" x14ac:dyDescent="0.25">
      <c r="A149" s="381" t="s">
        <v>753</v>
      </c>
      <c r="B149" s="237">
        <v>-78170.923989999996</v>
      </c>
      <c r="C149" s="237">
        <v>-100076.92956405456</v>
      </c>
      <c r="D149" s="237">
        <v>-101201.92492062645</v>
      </c>
      <c r="E149" s="237">
        <v>-65004.626571142828</v>
      </c>
      <c r="F149" s="329">
        <v>-87932.00736234228</v>
      </c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</row>
    <row r="150" spans="1:22" x14ac:dyDescent="0.25">
      <c r="A150" s="381" t="s">
        <v>753</v>
      </c>
      <c r="B150" s="237">
        <v>-51246.588186577996</v>
      </c>
      <c r="C150" s="237">
        <v>-54996.249658010121</v>
      </c>
      <c r="D150" s="237">
        <v>-58981.46215457737</v>
      </c>
      <c r="E150" s="237">
        <v>-62793.834918941546</v>
      </c>
      <c r="F150" s="329">
        <v>-66803.830187508225</v>
      </c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</row>
    <row r="151" spans="1:22" x14ac:dyDescent="0.25">
      <c r="A151" s="381" t="s">
        <v>753</v>
      </c>
      <c r="B151" s="237">
        <v>-2524713.4762734231</v>
      </c>
      <c r="C151" s="237">
        <v>-2528724.1020224728</v>
      </c>
      <c r="D151" s="237">
        <v>-2574586.244335643</v>
      </c>
      <c r="E151" s="237">
        <v>-2625952.4599001929</v>
      </c>
      <c r="F151" s="329">
        <v>-2680498.5993987541</v>
      </c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</row>
    <row r="152" spans="1:22" x14ac:dyDescent="0.25">
      <c r="A152" s="381" t="s">
        <v>754</v>
      </c>
      <c r="B152" s="237">
        <v>-3608.8404699999996</v>
      </c>
      <c r="C152" s="237">
        <v>-4620.1535697633699</v>
      </c>
      <c r="D152" s="237">
        <v>-4672.0901283216153</v>
      </c>
      <c r="E152" s="237">
        <v>-3001.004915039608</v>
      </c>
      <c r="F152" s="329">
        <v>-4059.4708438927169</v>
      </c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</row>
    <row r="153" spans="1:22" x14ac:dyDescent="0.25">
      <c r="A153" s="381" t="s">
        <v>754</v>
      </c>
      <c r="B153" s="237">
        <v>-29655.436049999997</v>
      </c>
      <c r="C153" s="237">
        <v>-37965.842455013488</v>
      </c>
      <c r="D153" s="237">
        <v>-38392.628095383203</v>
      </c>
      <c r="E153" s="237">
        <v>-24660.582833602726</v>
      </c>
      <c r="F153" s="329">
        <v>-33358.464861124769</v>
      </c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</row>
    <row r="154" spans="1:22" x14ac:dyDescent="0.25">
      <c r="A154" s="381" t="s">
        <v>754</v>
      </c>
      <c r="B154" s="237">
        <v>-60612.357990000011</v>
      </c>
      <c r="C154" s="237">
        <v>-62574.605861196447</v>
      </c>
      <c r="D154" s="237">
        <v>-65334.494536789112</v>
      </c>
      <c r="E154" s="237">
        <v>-68620.823691492304</v>
      </c>
      <c r="F154" s="329">
        <v>-72390.912644816883</v>
      </c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</row>
    <row r="155" spans="1:22" x14ac:dyDescent="0.25">
      <c r="A155" s="381" t="s">
        <v>754</v>
      </c>
      <c r="B155" s="237">
        <v>-62839.746719999974</v>
      </c>
      <c r="C155" s="237">
        <v>-80449.463628253419</v>
      </c>
      <c r="D155" s="237">
        <v>-81353.820640551188</v>
      </c>
      <c r="E155" s="237">
        <v>-52255.673348332879</v>
      </c>
      <c r="F155" s="329">
        <v>-70686.449503112279</v>
      </c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</row>
    <row r="156" spans="1:22" x14ac:dyDescent="0.25">
      <c r="A156" s="381" t="s">
        <v>754</v>
      </c>
      <c r="B156" s="237">
        <v>-394524.85341000016</v>
      </c>
      <c r="C156" s="237">
        <v>-505083.39866920823</v>
      </c>
      <c r="D156" s="237">
        <v>-510761.19554666657</v>
      </c>
      <c r="E156" s="237">
        <v>-328075.19036403717</v>
      </c>
      <c r="F156" s="329">
        <v>-443788.56669409492</v>
      </c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</row>
    <row r="157" spans="1:22" x14ac:dyDescent="0.25">
      <c r="A157" s="381" t="s">
        <v>754</v>
      </c>
      <c r="B157" s="237">
        <v>-11835.027588604411</v>
      </c>
      <c r="C157" s="237">
        <v>-12700.984689997342</v>
      </c>
      <c r="D157" s="237">
        <v>-13621.340590991302</v>
      </c>
      <c r="E157" s="237">
        <v>-14501.78041032178</v>
      </c>
      <c r="F157" s="329">
        <v>-15427.859712633064</v>
      </c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</row>
    <row r="158" spans="1:22" x14ac:dyDescent="0.25">
      <c r="A158" s="381" t="s">
        <v>754</v>
      </c>
      <c r="B158" s="237">
        <v>-784586.29782139615</v>
      </c>
      <c r="C158" s="237">
        <v>-810142.78378949466</v>
      </c>
      <c r="D158" s="237">
        <v>-846107.39849925018</v>
      </c>
      <c r="E158" s="237">
        <v>-888928.46968998853</v>
      </c>
      <c r="F158" s="329">
        <v>-938044.10586022597</v>
      </c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</row>
    <row r="159" spans="1:22" x14ac:dyDescent="0.25">
      <c r="A159" s="381" t="s">
        <v>755</v>
      </c>
      <c r="B159" s="237">
        <v>-1639.6065800000006</v>
      </c>
      <c r="C159" s="237">
        <v>-1692.8385480895552</v>
      </c>
      <c r="D159" s="237">
        <v>-1767.7089597569116</v>
      </c>
      <c r="E159" s="237">
        <v>-1856.8606776732965</v>
      </c>
      <c r="F159" s="329">
        <v>-1959.1358579927894</v>
      </c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</row>
    <row r="160" spans="1:22" x14ac:dyDescent="0.25">
      <c r="A160" s="381" t="s">
        <v>755</v>
      </c>
      <c r="B160" s="237">
        <v>-3567.1473700000001</v>
      </c>
      <c r="C160" s="237">
        <v>-4566.7767229892324</v>
      </c>
      <c r="D160" s="237">
        <v>-4618.1132560967471</v>
      </c>
      <c r="E160" s="237">
        <v>-2966.3341671738167</v>
      </c>
      <c r="F160" s="329">
        <v>-4012.5715904487156</v>
      </c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</row>
    <row r="161" spans="1:22" x14ac:dyDescent="0.25">
      <c r="A161" s="381" t="s">
        <v>755</v>
      </c>
      <c r="B161" s="237">
        <v>-11076.858119999999</v>
      </c>
      <c r="C161" s="237">
        <v>-14180.949812081986</v>
      </c>
      <c r="D161" s="237">
        <v>-14340.362203727756</v>
      </c>
      <c r="E161" s="237">
        <v>-9211.1873433176133</v>
      </c>
      <c r="F161" s="329">
        <v>-12460.008402664662</v>
      </c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</row>
    <row r="162" spans="1:22" x14ac:dyDescent="0.25">
      <c r="A162" s="381" t="s">
        <v>755</v>
      </c>
      <c r="B162" s="237">
        <v>-35936.204189999997</v>
      </c>
      <c r="C162" s="237">
        <v>-37102.919972942138</v>
      </c>
      <c r="D162" s="237">
        <v>-38743.89801870448</v>
      </c>
      <c r="E162" s="237">
        <v>-40697.887700139203</v>
      </c>
      <c r="F162" s="329">
        <v>-42939.511885088723</v>
      </c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</row>
    <row r="163" spans="1:22" x14ac:dyDescent="0.25">
      <c r="A163" s="381" t="s">
        <v>756</v>
      </c>
      <c r="B163" s="237">
        <v>5.5565600000000002</v>
      </c>
      <c r="C163" s="237">
        <v>7.1136867182173766</v>
      </c>
      <c r="D163" s="237">
        <v>7.193653845116283</v>
      </c>
      <c r="E163" s="237">
        <v>4.620670824696357</v>
      </c>
      <c r="F163" s="329">
        <v>6.250399123999105</v>
      </c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</row>
    <row r="164" spans="1:22" x14ac:dyDescent="0.25">
      <c r="A164" s="381" t="s">
        <v>756</v>
      </c>
      <c r="B164" s="237">
        <v>75.672190000000001</v>
      </c>
      <c r="C164" s="237">
        <v>96.877969992481297</v>
      </c>
      <c r="D164" s="237">
        <v>97.967004866656708</v>
      </c>
      <c r="E164" s="237">
        <v>62.926753346293282</v>
      </c>
      <c r="F164" s="329">
        <v>85.121260291816128</v>
      </c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</row>
    <row r="165" spans="1:22" x14ac:dyDescent="0.25">
      <c r="A165" s="381" t="s">
        <v>756</v>
      </c>
      <c r="B165" s="237">
        <v>115477.54088000002</v>
      </c>
      <c r="C165" s="237">
        <v>115477.54088000002</v>
      </c>
      <c r="D165" s="237">
        <v>115477.54088000002</v>
      </c>
      <c r="E165" s="237">
        <v>115477.54088000002</v>
      </c>
      <c r="F165" s="329">
        <v>115477.54088000002</v>
      </c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</row>
    <row r="166" spans="1:22" x14ac:dyDescent="0.25">
      <c r="A166" s="381" t="s">
        <v>757</v>
      </c>
      <c r="B166" s="237">
        <v>-2632.9031100000002</v>
      </c>
      <c r="C166" s="237">
        <v>-3370.727191636593</v>
      </c>
      <c r="D166" s="237">
        <v>-3408.6185663558249</v>
      </c>
      <c r="E166" s="237">
        <v>-2189.444293704973</v>
      </c>
      <c r="F166" s="329">
        <v>-2961.669682738695</v>
      </c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</row>
    <row r="167" spans="1:22" x14ac:dyDescent="0.25">
      <c r="A167" s="381" t="s">
        <v>757</v>
      </c>
      <c r="B167" s="237">
        <v>-11120.314039999999</v>
      </c>
      <c r="C167" s="237">
        <v>-14236.583477682994</v>
      </c>
      <c r="D167" s="237">
        <v>-14396.621264369787</v>
      </c>
      <c r="E167" s="237">
        <v>-9247.3240001168488</v>
      </c>
      <c r="F167" s="329">
        <v>-12508.890596738082</v>
      </c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</row>
    <row r="168" spans="1:22" x14ac:dyDescent="0.25">
      <c r="A168" s="381" t="s">
        <v>757</v>
      </c>
      <c r="B168" s="237">
        <v>-1167.3267099999998</v>
      </c>
      <c r="C168" s="237">
        <v>-1205.2254955591577</v>
      </c>
      <c r="D168" s="237">
        <v>-1258.52988723097</v>
      </c>
      <c r="E168" s="237">
        <v>-1322.0019315833301</v>
      </c>
      <c r="F168" s="329">
        <v>-1394.8172954720324</v>
      </c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</row>
    <row r="169" spans="1:22" x14ac:dyDescent="0.25">
      <c r="A169" s="381" t="s">
        <v>757</v>
      </c>
      <c r="B169" s="237">
        <v>-27111.169079999989</v>
      </c>
      <c r="C169" s="237">
        <v>-34708.590098863599</v>
      </c>
      <c r="D169" s="237">
        <v>-35098.759969826577</v>
      </c>
      <c r="E169" s="237">
        <v>-22544.84573033782</v>
      </c>
      <c r="F169" s="329">
        <v>-30496.499177228994</v>
      </c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</row>
    <row r="170" spans="1:22" x14ac:dyDescent="0.25">
      <c r="A170" s="381" t="s">
        <v>757</v>
      </c>
      <c r="B170" s="237">
        <v>-95212.669440000042</v>
      </c>
      <c r="C170" s="237">
        <v>-121894.31986721096</v>
      </c>
      <c r="D170" s="237">
        <v>-123264.57117728268</v>
      </c>
      <c r="E170" s="237">
        <v>-79176.037660506947</v>
      </c>
      <c r="F170" s="329">
        <v>-107101.72942637037</v>
      </c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</row>
    <row r="171" spans="1:22" x14ac:dyDescent="0.25">
      <c r="A171" s="381" t="s">
        <v>757</v>
      </c>
      <c r="B171" s="237">
        <v>-72287.158840000033</v>
      </c>
      <c r="C171" s="237">
        <v>-74634.055821015718</v>
      </c>
      <c r="D171" s="237">
        <v>-77934.950930020699</v>
      </c>
      <c r="E171" s="237">
        <v>-81865.481871095966</v>
      </c>
      <c r="F171" s="329">
        <v>-86374.601494868664</v>
      </c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</row>
    <row r="172" spans="1:22" x14ac:dyDescent="0.25">
      <c r="A172" s="381" t="s">
        <v>758</v>
      </c>
      <c r="B172" s="237">
        <v>-0.10972</v>
      </c>
      <c r="C172" s="237">
        <v>-0.14046707076371182</v>
      </c>
      <c r="D172" s="237">
        <v>-0.14204610404389739</v>
      </c>
      <c r="E172" s="237">
        <v>-9.123990434471764E-2</v>
      </c>
      <c r="F172" s="329">
        <v>-0.12342056810062013</v>
      </c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</row>
    <row r="173" spans="1:22" x14ac:dyDescent="0.25">
      <c r="A173" s="381" t="s">
        <v>758</v>
      </c>
      <c r="B173" s="237">
        <v>-0.93262999999999996</v>
      </c>
      <c r="C173" s="237">
        <v>-1.1939829038129834</v>
      </c>
      <c r="D173" s="237">
        <v>-1.2074048306093694</v>
      </c>
      <c r="E173" s="237">
        <v>-0.77554750263410499</v>
      </c>
      <c r="F173" s="329">
        <v>-1.049086077539932</v>
      </c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</row>
    <row r="174" spans="1:22" x14ac:dyDescent="0.25">
      <c r="A174" s="381" t="s">
        <v>758</v>
      </c>
      <c r="B174" s="237">
        <v>-3341.3813300000002</v>
      </c>
      <c r="C174" s="237">
        <v>-3341.3813300000002</v>
      </c>
      <c r="D174" s="237">
        <v>-3341.3813300000002</v>
      </c>
      <c r="E174" s="237">
        <v>-3341.3813300000002</v>
      </c>
      <c r="F174" s="329">
        <v>-3341.3813300000002</v>
      </c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</row>
    <row r="175" spans="1:22" x14ac:dyDescent="0.25">
      <c r="A175" s="381" t="s">
        <v>759</v>
      </c>
      <c r="B175" s="237">
        <v>-50738.810730000012</v>
      </c>
      <c r="C175" s="237">
        <v>-50738.810730000012</v>
      </c>
      <c r="D175" s="237">
        <v>-50738.810730000012</v>
      </c>
      <c r="E175" s="237">
        <v>-50738.810730000012</v>
      </c>
      <c r="F175" s="329">
        <v>-50738.810730000012</v>
      </c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</row>
    <row r="176" spans="1:22" x14ac:dyDescent="0.25">
      <c r="A176" s="381" t="s">
        <v>760</v>
      </c>
      <c r="B176" s="227">
        <v>38472.282199999987</v>
      </c>
      <c r="C176" s="227">
        <v>38472.282199999987</v>
      </c>
      <c r="D176" s="227">
        <v>38472.282199999987</v>
      </c>
      <c r="E176" s="227">
        <v>38472.282199999987</v>
      </c>
      <c r="F176" s="382">
        <v>38472.282199999987</v>
      </c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</row>
    <row r="177" spans="1:22" x14ac:dyDescent="0.25">
      <c r="A177" s="381" t="s">
        <v>761</v>
      </c>
      <c r="B177" s="227">
        <v>-47.738</v>
      </c>
      <c r="C177" s="227">
        <v>-49.287876490895243</v>
      </c>
      <c r="D177" s="227">
        <v>-51.467767542671979</v>
      </c>
      <c r="E177" s="227">
        <v>-54.06346626808962</v>
      </c>
      <c r="F177" s="382">
        <v>-57.041261440204593</v>
      </c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</row>
    <row r="178" spans="1:22" x14ac:dyDescent="0.25">
      <c r="A178" s="381" t="s">
        <v>761</v>
      </c>
      <c r="B178" s="227">
        <v>-648.83242000000007</v>
      </c>
      <c r="C178" s="227">
        <v>-669.89761155156634</v>
      </c>
      <c r="D178" s="227">
        <v>-699.52566439124644</v>
      </c>
      <c r="E178" s="227">
        <v>-734.80517936052968</v>
      </c>
      <c r="F178" s="382">
        <v>-775.27796933471541</v>
      </c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</row>
    <row r="179" spans="1:22" x14ac:dyDescent="0.25">
      <c r="A179" s="386" t="s">
        <v>1003</v>
      </c>
      <c r="B179" s="384">
        <f>SUM(B3:B178)</f>
        <v>-2536056.7032700018</v>
      </c>
      <c r="C179" s="384">
        <f t="shared" ref="C179:F179" si="31">SUM(C3:C178)</f>
        <v>-2726163.1123025427</v>
      </c>
      <c r="D179" s="384">
        <f t="shared" si="31"/>
        <v>-3138647.4002134614</v>
      </c>
      <c r="E179" s="384">
        <f t="shared" si="31"/>
        <v>-3224975.7369219484</v>
      </c>
      <c r="F179" s="385">
        <f t="shared" si="31"/>
        <v>-3428888.5195004432</v>
      </c>
    </row>
    <row r="180" spans="1:22" x14ac:dyDescent="0.25">
      <c r="B180" s="40"/>
      <c r="C180" s="40"/>
      <c r="D180" s="40"/>
      <c r="E180" s="40"/>
      <c r="F180" s="40"/>
    </row>
  </sheetData>
  <mergeCells count="3">
    <mergeCell ref="A1:F1"/>
    <mergeCell ref="H1:N1"/>
    <mergeCell ref="P1:V1"/>
  </mergeCells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>
    <tabColor theme="0" tint="-0.499984740745262"/>
  </sheetPr>
  <dimension ref="A1:BB272"/>
  <sheetViews>
    <sheetView showGridLines="0" workbookViewId="0">
      <pane ySplit="1" topLeftCell="A2" activePane="bottomLeft" state="frozen"/>
      <selection pane="bottomLeft"/>
    </sheetView>
  </sheetViews>
  <sheetFormatPr defaultRowHeight="15" x14ac:dyDescent="0.25"/>
  <cols>
    <col min="1" max="1" width="9.5703125" bestFit="1" customWidth="1"/>
    <col min="2" max="2" width="61" customWidth="1"/>
    <col min="3" max="3" width="10.140625" bestFit="1" customWidth="1"/>
    <col min="4" max="4" width="10.42578125" bestFit="1" customWidth="1"/>
    <col min="5" max="5" width="9.85546875" bestFit="1" customWidth="1"/>
    <col min="6" max="7" width="10.28515625" bestFit="1" customWidth="1"/>
    <col min="8" max="8" width="10.5703125" bestFit="1" customWidth="1"/>
    <col min="9" max="10" width="9.85546875" bestFit="1" customWidth="1"/>
    <col min="11" max="11" width="10" bestFit="1" customWidth="1"/>
    <col min="12" max="12" width="10.28515625" bestFit="1" customWidth="1"/>
    <col min="13" max="13" width="10" bestFit="1" customWidth="1"/>
    <col min="14" max="14" width="10.28515625" bestFit="1" customWidth="1"/>
    <col min="15" max="15" width="10" bestFit="1" customWidth="1"/>
    <col min="16" max="16" width="10.42578125" bestFit="1" customWidth="1"/>
    <col min="17" max="17" width="10.5703125" bestFit="1" customWidth="1"/>
    <col min="18" max="18" width="10.140625" bestFit="1" customWidth="1"/>
    <col min="19" max="19" width="10.5703125" bestFit="1" customWidth="1"/>
    <col min="20" max="20" width="10.42578125" bestFit="1" customWidth="1"/>
    <col min="21" max="21" width="10.28515625" bestFit="1" customWidth="1"/>
    <col min="22" max="22" width="10.140625" bestFit="1" customWidth="1"/>
    <col min="23" max="23" width="11" bestFit="1" customWidth="1"/>
    <col min="24" max="24" width="11.28515625" bestFit="1" customWidth="1"/>
    <col min="25" max="25" width="11.140625" bestFit="1" customWidth="1"/>
    <col min="26" max="29" width="10.7109375" bestFit="1" customWidth="1"/>
    <col min="30" max="30" width="11" bestFit="1" customWidth="1"/>
    <col min="31" max="31" width="11.140625" bestFit="1" customWidth="1"/>
    <col min="32" max="32" width="11.28515625" bestFit="1" customWidth="1"/>
    <col min="33" max="34" width="10.85546875" bestFit="1" customWidth="1"/>
    <col min="35" max="35" width="11.140625" bestFit="1" customWidth="1"/>
    <col min="36" max="36" width="10.7109375" bestFit="1" customWidth="1"/>
    <col min="37" max="37" width="11.28515625" bestFit="1" customWidth="1"/>
    <col min="38" max="38" width="10.7109375" bestFit="1" customWidth="1"/>
    <col min="39" max="39" width="11" bestFit="1" customWidth="1"/>
    <col min="40" max="40" width="10.85546875" bestFit="1" customWidth="1"/>
    <col min="41" max="41" width="11.28515625" bestFit="1" customWidth="1"/>
    <col min="42" max="42" width="11.5703125" bestFit="1" customWidth="1"/>
    <col min="43" max="43" width="10.85546875" bestFit="1" customWidth="1"/>
    <col min="44" max="44" width="11.28515625" bestFit="1" customWidth="1"/>
    <col min="45" max="45" width="11" bestFit="1" customWidth="1"/>
    <col min="46" max="46" width="11.42578125" bestFit="1" customWidth="1"/>
    <col min="47" max="48" width="11" bestFit="1" customWidth="1"/>
    <col min="49" max="49" width="11.140625" bestFit="1" customWidth="1"/>
    <col min="50" max="50" width="11.42578125" bestFit="1" customWidth="1"/>
    <col min="51" max="51" width="11.5703125" bestFit="1" customWidth="1"/>
    <col min="52" max="52" width="11.140625" bestFit="1" customWidth="1"/>
    <col min="53" max="53" width="11.42578125" bestFit="1" customWidth="1"/>
    <col min="54" max="54" width="11.28515625" bestFit="1" customWidth="1"/>
  </cols>
  <sheetData>
    <row r="1" spans="1:54" x14ac:dyDescent="0.25">
      <c r="A1" s="247"/>
      <c r="B1" s="192"/>
      <c r="C1" s="192">
        <v>2012</v>
      </c>
      <c r="D1" s="192">
        <v>2013</v>
      </c>
      <c r="E1" s="192">
        <f>D1+1</f>
        <v>2014</v>
      </c>
      <c r="F1" s="192">
        <f t="shared" ref="F1:BB1" si="0">E1+1</f>
        <v>2015</v>
      </c>
      <c r="G1" s="192">
        <f t="shared" si="0"/>
        <v>2016</v>
      </c>
      <c r="H1" s="192">
        <f t="shared" si="0"/>
        <v>2017</v>
      </c>
      <c r="I1" s="192">
        <f t="shared" si="0"/>
        <v>2018</v>
      </c>
      <c r="J1" s="192">
        <f t="shared" si="0"/>
        <v>2019</v>
      </c>
      <c r="K1" s="192">
        <f t="shared" si="0"/>
        <v>2020</v>
      </c>
      <c r="L1" s="192">
        <f t="shared" si="0"/>
        <v>2021</v>
      </c>
      <c r="M1" s="192">
        <f t="shared" si="0"/>
        <v>2022</v>
      </c>
      <c r="N1" s="192">
        <f t="shared" si="0"/>
        <v>2023</v>
      </c>
      <c r="O1" s="192">
        <f t="shared" si="0"/>
        <v>2024</v>
      </c>
      <c r="P1" s="192">
        <f t="shared" si="0"/>
        <v>2025</v>
      </c>
      <c r="Q1" s="192">
        <f t="shared" si="0"/>
        <v>2026</v>
      </c>
      <c r="R1" s="192">
        <f t="shared" si="0"/>
        <v>2027</v>
      </c>
      <c r="S1" s="192">
        <f t="shared" si="0"/>
        <v>2028</v>
      </c>
      <c r="T1" s="192">
        <f t="shared" si="0"/>
        <v>2029</v>
      </c>
      <c r="U1" s="192">
        <f t="shared" si="0"/>
        <v>2030</v>
      </c>
      <c r="V1" s="192">
        <f t="shared" si="0"/>
        <v>2031</v>
      </c>
      <c r="W1" s="192">
        <f t="shared" si="0"/>
        <v>2032</v>
      </c>
      <c r="X1" s="192">
        <f t="shared" si="0"/>
        <v>2033</v>
      </c>
      <c r="Y1" s="192">
        <f t="shared" si="0"/>
        <v>2034</v>
      </c>
      <c r="Z1" s="192">
        <f t="shared" si="0"/>
        <v>2035</v>
      </c>
      <c r="AA1" s="192">
        <f t="shared" si="0"/>
        <v>2036</v>
      </c>
      <c r="AB1" s="192">
        <f t="shared" si="0"/>
        <v>2037</v>
      </c>
      <c r="AC1" s="192">
        <f t="shared" si="0"/>
        <v>2038</v>
      </c>
      <c r="AD1" s="192">
        <f t="shared" si="0"/>
        <v>2039</v>
      </c>
      <c r="AE1" s="192">
        <f t="shared" si="0"/>
        <v>2040</v>
      </c>
      <c r="AF1" s="192">
        <f t="shared" si="0"/>
        <v>2041</v>
      </c>
      <c r="AG1" s="192">
        <f t="shared" si="0"/>
        <v>2042</v>
      </c>
      <c r="AH1" s="192">
        <f t="shared" si="0"/>
        <v>2043</v>
      </c>
      <c r="AI1" s="192">
        <f t="shared" si="0"/>
        <v>2044</v>
      </c>
      <c r="AJ1" s="192">
        <f t="shared" si="0"/>
        <v>2045</v>
      </c>
      <c r="AK1" s="192">
        <f t="shared" si="0"/>
        <v>2046</v>
      </c>
      <c r="AL1" s="192">
        <f t="shared" si="0"/>
        <v>2047</v>
      </c>
      <c r="AM1" s="192">
        <f t="shared" si="0"/>
        <v>2048</v>
      </c>
      <c r="AN1" s="192">
        <f>AM1+1</f>
        <v>2049</v>
      </c>
      <c r="AO1" s="192">
        <f t="shared" si="0"/>
        <v>2050</v>
      </c>
      <c r="AP1" s="192">
        <f t="shared" si="0"/>
        <v>2051</v>
      </c>
      <c r="AQ1" s="192">
        <f t="shared" si="0"/>
        <v>2052</v>
      </c>
      <c r="AR1" s="192">
        <f t="shared" si="0"/>
        <v>2053</v>
      </c>
      <c r="AS1" s="192">
        <f t="shared" si="0"/>
        <v>2054</v>
      </c>
      <c r="AT1" s="192">
        <f t="shared" si="0"/>
        <v>2055</v>
      </c>
      <c r="AU1" s="192">
        <f t="shared" si="0"/>
        <v>2056</v>
      </c>
      <c r="AV1" s="192">
        <f t="shared" si="0"/>
        <v>2057</v>
      </c>
      <c r="AW1" s="192">
        <f t="shared" si="0"/>
        <v>2058</v>
      </c>
      <c r="AX1" s="192">
        <f t="shared" si="0"/>
        <v>2059</v>
      </c>
      <c r="AY1" s="192">
        <f t="shared" si="0"/>
        <v>2060</v>
      </c>
      <c r="AZ1" s="192">
        <f t="shared" si="0"/>
        <v>2061</v>
      </c>
      <c r="BA1" s="192">
        <f t="shared" si="0"/>
        <v>2062</v>
      </c>
      <c r="BB1" s="192">
        <f t="shared" si="0"/>
        <v>2063</v>
      </c>
    </row>
    <row r="2" spans="1:54" x14ac:dyDescent="0.25">
      <c r="A2" s="202">
        <v>111001</v>
      </c>
      <c r="B2" s="198" t="s">
        <v>223</v>
      </c>
      <c r="C2" s="157">
        <f>SD_prognozy!E37-SD_prognozy!E60</f>
        <v>1780910</v>
      </c>
      <c r="D2" s="157">
        <f>SD_prognozy!F37-SD_prognozy!F60</f>
        <v>1788273.4956499999</v>
      </c>
      <c r="E2" s="157">
        <f>SD_prognozy!K37-SD_prognozy!G60</f>
        <v>1845053</v>
      </c>
      <c r="F2" s="157">
        <f>SD_prognozy!L37-SD_prognozy!H60</f>
        <v>1960771</v>
      </c>
      <c r="G2" s="157">
        <f>SD_prognozy!M37-SD_prognozy!I60</f>
        <v>2080577</v>
      </c>
      <c r="H2" s="157">
        <f>SD_prognozy!N37-SD_prognozy!J60</f>
        <v>2221364</v>
      </c>
      <c r="I2" s="69"/>
      <c r="J2" s="90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</row>
    <row r="3" spans="1:54" x14ac:dyDescent="0.25">
      <c r="A3" s="202">
        <v>111002</v>
      </c>
      <c r="B3" s="198" t="s">
        <v>224</v>
      </c>
      <c r="C3" s="157">
        <f>SD_prognozy!E38-SD_prognozy!E61</f>
        <v>82750</v>
      </c>
      <c r="D3" s="157">
        <f>SD_prognozy!F38-SD_prognozy!F61</f>
        <v>106537</v>
      </c>
      <c r="E3" s="157">
        <f>SD_prognozy!K38-SD_prognozy!G61</f>
        <v>105929</v>
      </c>
      <c r="F3" s="157">
        <f>SD_prognozy!L38-SD_prognozy!H61</f>
        <v>110709</v>
      </c>
      <c r="G3" s="157">
        <f>SD_prognozy!M38-SD_prognozy!I61</f>
        <v>115603</v>
      </c>
      <c r="H3" s="157">
        <f>SD_prognozy!N38-SD_prognozy!J61</f>
        <v>121204</v>
      </c>
      <c r="I3" s="69"/>
      <c r="J3" s="90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</row>
    <row r="4" spans="1:54" x14ac:dyDescent="0.25">
      <c r="A4" s="202">
        <v>111004</v>
      </c>
      <c r="B4" s="198" t="s">
        <v>226</v>
      </c>
      <c r="C4" s="157">
        <f>-(SD_prognozy!E39-SD_prognozy!E62)</f>
        <v>-18548</v>
      </c>
      <c r="D4" s="157">
        <f>-(SD_prognozy!F39-SD_prognozy!F62)</f>
        <v>-20944</v>
      </c>
      <c r="E4" s="157">
        <f>-(SD_prognozy!K39-SD_prognozy!G62)</f>
        <v>-21564</v>
      </c>
      <c r="F4" s="157">
        <f>-(SD_prognozy!L39-SD_prognozy!H62)</f>
        <v>-22559</v>
      </c>
      <c r="G4" s="157">
        <f>-(SD_prognozy!M39-SD_prognozy!I62)</f>
        <v>-24337</v>
      </c>
      <c r="H4" s="157">
        <f>-(SD_prognozy!N39-SD_prognozy!J62)</f>
        <v>-26228</v>
      </c>
      <c r="I4" s="69"/>
      <c r="J4" s="90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</row>
    <row r="5" spans="1:54" x14ac:dyDescent="0.25">
      <c r="A5" s="202">
        <v>112001</v>
      </c>
      <c r="B5" s="198" t="s">
        <v>228</v>
      </c>
      <c r="C5" s="157">
        <f>-(SD_prognozy!E41-SD_prognozy!E64)</f>
        <v>-26146</v>
      </c>
      <c r="D5" s="157">
        <f>-(SD_prognozy!F41-SD_prognozy!F64)</f>
        <v>-25762</v>
      </c>
      <c r="E5" s="157">
        <f>-(SD_prognozy!K41-SD_prognozy!G64)</f>
        <v>-28183</v>
      </c>
      <c r="F5" s="157">
        <f>-(SD_prognozy!L41-SD_prognozy!H64)</f>
        <v>-30299</v>
      </c>
      <c r="G5" s="157">
        <f>-(SD_prognozy!M41-SD_prognozy!I64)</f>
        <v>-23082</v>
      </c>
      <c r="H5" s="157">
        <f>-(SD_prognozy!N41-SD_prognozy!J64)</f>
        <v>-24101</v>
      </c>
      <c r="I5" s="69"/>
      <c r="J5" s="90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</row>
    <row r="6" spans="1:54" x14ac:dyDescent="0.25">
      <c r="A6" s="202">
        <v>112003</v>
      </c>
      <c r="B6" s="198" t="s">
        <v>227</v>
      </c>
      <c r="C6" s="157">
        <f>SD_prognozy!E40-SD_prognozy!E63</f>
        <v>1670703</v>
      </c>
      <c r="D6" s="157">
        <f>SD_prognozy!F40-SD_prognozy!F63</f>
        <v>1808153</v>
      </c>
      <c r="E6" s="157">
        <f>SD_prognozy!K40-SD_prognozy!G63</f>
        <v>1943895</v>
      </c>
      <c r="F6" s="157">
        <f>SD_prognozy!L40-SD_prognozy!H63</f>
        <v>2013421</v>
      </c>
      <c r="G6" s="157">
        <f>SD_prognozy!M40-SD_prognozy!I63</f>
        <v>2102352</v>
      </c>
      <c r="H6" s="157">
        <f>SD_prognozy!N40-SD_prognozy!J63</f>
        <v>2246347</v>
      </c>
      <c r="I6" s="69"/>
      <c r="J6" s="90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</row>
    <row r="7" spans="1:54" x14ac:dyDescent="0.25">
      <c r="A7" s="202">
        <v>113000</v>
      </c>
      <c r="B7" s="198" t="s">
        <v>526</v>
      </c>
      <c r="C7" s="157">
        <f>SD_prognozy!E42-SD_prognozy!E65</f>
        <v>167144.35710000002</v>
      </c>
      <c r="D7" s="157">
        <f>SD_prognozy!F42-SD_prognozy!F65</f>
        <v>177784.24102999989</v>
      </c>
      <c r="E7" s="157">
        <f>SD_prognozy!K42-SD_prognozy!G65</f>
        <v>151379</v>
      </c>
      <c r="F7" s="157">
        <f>SD_prognozy!L42-SD_prognozy!H65</f>
        <v>143902</v>
      </c>
      <c r="G7" s="157">
        <f>SD_prognozy!M42-SD_prognozy!I65</f>
        <v>167777</v>
      </c>
      <c r="H7" s="157">
        <f>SD_prognozy!N42-SD_prognozy!J65</f>
        <v>210921</v>
      </c>
      <c r="I7" s="69"/>
      <c r="J7" s="90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</row>
    <row r="8" spans="1:54" x14ac:dyDescent="0.25">
      <c r="A8" s="202">
        <v>131000</v>
      </c>
      <c r="B8" s="198" t="s">
        <v>235</v>
      </c>
      <c r="C8" s="157">
        <f>EKRK_rozdelenie_podpoloziek!D2</f>
        <v>4243751</v>
      </c>
      <c r="D8" s="157">
        <f>EKRK_rozdelenie_podpoloziek!E2</f>
        <v>4613841</v>
      </c>
      <c r="E8" s="157">
        <f>EKRK_rozdelenie_podpoloziek!F2</f>
        <v>4682221.8300548121</v>
      </c>
      <c r="F8" s="157">
        <f>EKRK_rozdelenie_podpoloziek!G2</f>
        <v>4612473.67957938</v>
      </c>
      <c r="G8" s="157">
        <f>EKRK_rozdelenie_podpoloziek!H2</f>
        <v>4798248.1847080551</v>
      </c>
      <c r="H8" s="157">
        <f>EKRK_rozdelenie_podpoloziek!I2</f>
        <v>5070047.2881470332</v>
      </c>
      <c r="I8" s="69"/>
      <c r="J8" s="90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</row>
    <row r="9" spans="1:54" x14ac:dyDescent="0.25">
      <c r="A9" s="202" t="s">
        <v>675</v>
      </c>
      <c r="B9" s="198" t="s">
        <v>677</v>
      </c>
      <c r="C9" s="157">
        <f>SD_prognozy!E45-SD_prognozy!E68</f>
        <v>4327702</v>
      </c>
      <c r="D9" s="157">
        <f>SD_prognozy!F45-SD_prognozy!F68</f>
        <v>4681732</v>
      </c>
      <c r="E9" s="157">
        <f>SD_prognozy!K45-SD_prognozy!K68</f>
        <v>4752317</v>
      </c>
      <c r="F9" s="157">
        <f>SD_prognozy!L45-SD_prognozy!L68</f>
        <v>4685669</v>
      </c>
      <c r="G9" s="157">
        <f>SD_prognozy!M45-SD_prognozy!M68</f>
        <v>4875135</v>
      </c>
      <c r="H9" s="157">
        <f>SD_prognozy!N45-SD_prognozy!N68</f>
        <v>5151169</v>
      </c>
      <c r="I9" s="69"/>
      <c r="J9" s="90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</row>
    <row r="10" spans="1:54" x14ac:dyDescent="0.25">
      <c r="A10" s="202">
        <v>132001</v>
      </c>
      <c r="B10" s="198" t="s">
        <v>236</v>
      </c>
      <c r="C10" s="157">
        <f>SD_prognozy!E46-SD_prognozy!E69</f>
        <v>1036456</v>
      </c>
      <c r="D10" s="157">
        <f>SD_prognozy!F46-SD_prognozy!F69</f>
        <v>1045488.8047800001</v>
      </c>
      <c r="E10" s="157">
        <f>SD_prognozy!K46-SD_prognozy!G69</f>
        <v>1045195.3639602656</v>
      </c>
      <c r="F10" s="157">
        <f>SD_prognozy!L46-SD_prognozy!H69</f>
        <v>1050184.5796140274</v>
      </c>
      <c r="G10" s="157">
        <f>SD_prognozy!M46-SD_prognozy!I69</f>
        <v>1056540.7037979618</v>
      </c>
      <c r="H10" s="157">
        <f>SD_prognozy!N46-SD_prognozy!J69</f>
        <v>1065463.6466053424</v>
      </c>
      <c r="I10" s="69"/>
      <c r="J10" s="90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</row>
    <row r="11" spans="1:54" x14ac:dyDescent="0.25">
      <c r="A11" s="202">
        <v>132003</v>
      </c>
      <c r="B11" s="198" t="s">
        <v>237</v>
      </c>
      <c r="C11" s="157">
        <f>SD_prognozy!E47-SD_prognozy!E70</f>
        <v>195046</v>
      </c>
      <c r="D11" s="157">
        <f>SD_prognozy!F47-SD_prognozy!F70</f>
        <v>201327.24118000001</v>
      </c>
      <c r="E11" s="157">
        <f>SD_prognozy!K47-SD_prognozy!G70</f>
        <v>203163.35211135237</v>
      </c>
      <c r="F11" s="157">
        <f>SD_prognozy!L47-SD_prognozy!H70</f>
        <v>206145.21888859622</v>
      </c>
      <c r="G11" s="157">
        <f>SD_prognozy!M47-SD_prognozy!I70</f>
        <v>209458.24284611832</v>
      </c>
      <c r="H11" s="157">
        <f>SD_prognozy!N47-SD_prognozy!J70</f>
        <v>213668.78217446321</v>
      </c>
      <c r="I11" s="69"/>
      <c r="J11" s="90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</row>
    <row r="12" spans="1:54" x14ac:dyDescent="0.25">
      <c r="A12" s="202">
        <v>132005</v>
      </c>
      <c r="B12" s="198" t="s">
        <v>238</v>
      </c>
      <c r="C12" s="157">
        <f>SD_prognozy!E48-SD_prognozy!E71</f>
        <v>56082</v>
      </c>
      <c r="D12" s="157">
        <f>SD_prognozy!F48-SD_prognozy!F71</f>
        <v>55735.35626</v>
      </c>
      <c r="E12" s="157">
        <f>SD_prognozy!K48-SD_prognozy!G71</f>
        <v>56218.159757529473</v>
      </c>
      <c r="F12" s="157">
        <f>SD_prognozy!L48-SD_prognozy!H71</f>
        <v>57064.279344541363</v>
      </c>
      <c r="G12" s="157">
        <f>SD_prognozy!M48-SD_prognozy!I71</f>
        <v>57964.547647203792</v>
      </c>
      <c r="H12" s="157">
        <f>SD_prognozy!N48-SD_prognozy!J71</f>
        <v>59059.627300809021</v>
      </c>
      <c r="I12" s="69"/>
      <c r="J12" s="90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</row>
    <row r="13" spans="1:54" x14ac:dyDescent="0.25">
      <c r="A13" s="202">
        <v>132007</v>
      </c>
      <c r="B13" s="198" t="s">
        <v>239</v>
      </c>
      <c r="C13" s="157">
        <f>SD_prognozy!E49-SD_prognozy!E72</f>
        <v>4151</v>
      </c>
      <c r="D13" s="157">
        <f>SD_prognozy!F49-SD_prognozy!F72</f>
        <v>4038.9735300000002</v>
      </c>
      <c r="E13" s="157">
        <f>SD_prognozy!K49-SD_prognozy!G72</f>
        <v>4077.0279106723169</v>
      </c>
      <c r="F13" s="157">
        <f>SD_prognozy!L49-SD_prognozy!H72</f>
        <v>4130.4747565666476</v>
      </c>
      <c r="G13" s="157">
        <f>SD_prognozy!M49-SD_prognozy!I72</f>
        <v>4190.8548267339338</v>
      </c>
      <c r="H13" s="157">
        <f>SD_prognozy!N49-SD_prognozy!J72</f>
        <v>4268.8029372505889</v>
      </c>
      <c r="I13" s="69"/>
      <c r="J13" s="90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</row>
    <row r="14" spans="1:54" x14ac:dyDescent="0.25">
      <c r="A14" s="202">
        <v>132009</v>
      </c>
      <c r="B14" s="198" t="s">
        <v>240</v>
      </c>
      <c r="C14" s="157">
        <f>SD_prognozy!E50-SD_prognozy!E73</f>
        <v>640366</v>
      </c>
      <c r="D14" s="157">
        <f>SD_prognozy!F50-SD_prognozy!F73</f>
        <v>636422.91215999995</v>
      </c>
      <c r="E14" s="157">
        <f>SD_prognozy!K50-SD_prognozy!G73</f>
        <v>642284.72260399302</v>
      </c>
      <c r="F14" s="157">
        <f>SD_prognozy!L50-SD_prognozy!H73</f>
        <v>647261.28770702891</v>
      </c>
      <c r="G14" s="157">
        <f>SD_prognozy!M50-SD_prognozy!I73</f>
        <v>652478.07863403473</v>
      </c>
      <c r="H14" s="157">
        <f>SD_prognozy!N50-SD_prognozy!J73</f>
        <v>658725.00740485126</v>
      </c>
      <c r="I14" s="69"/>
      <c r="J14" s="90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</row>
    <row r="15" spans="1:54" x14ac:dyDescent="0.25">
      <c r="A15" s="202">
        <v>132011</v>
      </c>
      <c r="B15" s="198" t="s">
        <v>241</v>
      </c>
      <c r="C15" s="157">
        <f>SD_prognozy!E51-SD_prognozy!E74</f>
        <v>16800</v>
      </c>
      <c r="D15" s="157">
        <f>SD_prognozy!F51-SD_prognozy!F74</f>
        <v>16573.17337</v>
      </c>
      <c r="E15" s="157">
        <f>SD_prognozy!K51-SD_prognozy!G74</f>
        <v>16720.760018391211</v>
      </c>
      <c r="F15" s="157">
        <f>SD_prognozy!L51-SD_prognozy!H74</f>
        <v>16938.055789850598</v>
      </c>
      <c r="G15" s="157">
        <f>SD_prognozy!M51-SD_prognozy!I74</f>
        <v>17181.915690958325</v>
      </c>
      <c r="H15" s="157">
        <f>SD_prognozy!N51-SD_prognozy!J74</f>
        <v>17494.760132549713</v>
      </c>
      <c r="I15" s="69"/>
      <c r="J15" s="90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</row>
    <row r="16" spans="1:54" x14ac:dyDescent="0.25">
      <c r="A16" s="202">
        <v>132012</v>
      </c>
      <c r="B16" s="198" t="s">
        <v>242</v>
      </c>
      <c r="C16" s="157">
        <f>SD_prognozy!E52-SD_prognozy!E75</f>
        <v>23465</v>
      </c>
      <c r="D16" s="157">
        <f>SD_prognozy!F52-SD_prognozy!F75</f>
        <v>25194.352359999997</v>
      </c>
      <c r="E16" s="157">
        <f>SD_prognozy!K52-SD_prognozy!G75</f>
        <v>25431.096492405228</v>
      </c>
      <c r="F16" s="157">
        <f>SD_prognozy!L52-SD_prognozy!H75</f>
        <v>25786.22633373479</v>
      </c>
      <c r="G16" s="157">
        <f>SD_prognozy!M52-SD_prognozy!I75</f>
        <v>26192.980596334917</v>
      </c>
      <c r="H16" s="157">
        <f>SD_prognozy!N52-SD_prognozy!J75</f>
        <v>26742.659174373606</v>
      </c>
      <c r="I16" s="69"/>
      <c r="J16" s="90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</row>
    <row r="17" spans="1:54" x14ac:dyDescent="0.25">
      <c r="A17" s="202">
        <v>132013</v>
      </c>
      <c r="B17" s="198" t="s">
        <v>243</v>
      </c>
      <c r="C17" s="157">
        <f>SD_prognozy!E53-SD_prognozy!E76</f>
        <v>973</v>
      </c>
      <c r="D17" s="157">
        <f>SD_prognozy!F53-SD_prognozy!F76</f>
        <v>737.4827600000001</v>
      </c>
      <c r="E17" s="157">
        <f>SD_prognozy!K53-SD_prognozy!G76</f>
        <v>744.68731794856274</v>
      </c>
      <c r="F17" s="157">
        <f>SD_prognozy!L53-SD_prognozy!H76</f>
        <v>754.86260940052716</v>
      </c>
      <c r="G17" s="157">
        <f>SD_prognozy!M53-SD_prognozy!I76</f>
        <v>766.53293779809042</v>
      </c>
      <c r="H17" s="157">
        <f>SD_prognozy!N53-SD_prognozy!J76</f>
        <v>781.81242079413289</v>
      </c>
      <c r="I17" s="69"/>
      <c r="J17" s="90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</row>
    <row r="18" spans="1:54" x14ac:dyDescent="0.25">
      <c r="A18" s="202">
        <v>139001</v>
      </c>
      <c r="B18" s="198" t="s">
        <v>152</v>
      </c>
      <c r="C18" s="157">
        <f>EKRK_rozdelenie_podpoloziek!D5</f>
        <v>72374.574739999996</v>
      </c>
      <c r="D18" s="157">
        <f>EKRK_rozdelenie_podpoloziek!E5</f>
        <v>71322.10914</v>
      </c>
      <c r="E18" s="157">
        <f>EKRK_rozdelenie_podpoloziek!F5</f>
        <v>71225.231814117651</v>
      </c>
      <c r="F18" s="157">
        <f>EKRK_rozdelenie_podpoloziek!G5</f>
        <v>71131.40556840325</v>
      </c>
      <c r="G18" s="157">
        <f>EKRK_rozdelenie_podpoloziek!H5</f>
        <v>70962.3768695615</v>
      </c>
      <c r="H18" s="157">
        <f>EKRK_rozdelenie_podpoloziek!I5</f>
        <v>70716.249626646866</v>
      </c>
      <c r="I18" s="69"/>
      <c r="J18" s="90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</row>
    <row r="19" spans="1:54" x14ac:dyDescent="0.25">
      <c r="A19" s="202">
        <v>143000</v>
      </c>
      <c r="B19" s="198" t="s">
        <v>258</v>
      </c>
      <c r="C19" s="157">
        <f>SD_prognozy!E54-SD_prognozy!E77</f>
        <v>30670</v>
      </c>
      <c r="D19" s="157">
        <f>SD_prognozy!F54-SD_prognozy!F77</f>
        <v>27461</v>
      </c>
      <c r="E19" s="157">
        <f>SD_prognozy!K54-SD_prognozy!G77</f>
        <v>28010</v>
      </c>
      <c r="F19" s="157">
        <f>SD_prognozy!L54-SD_prognozy!H77</f>
        <v>28571</v>
      </c>
      <c r="G19" s="157">
        <f>SD_prognozy!M54-SD_prognozy!I77</f>
        <v>23314</v>
      </c>
      <c r="H19" s="157">
        <f>SD_prognozy!N54-SD_prognozy!J77</f>
        <v>23780</v>
      </c>
      <c r="I19" s="69"/>
      <c r="J19" s="90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</row>
    <row r="20" spans="1:54" x14ac:dyDescent="0.25">
      <c r="A20" s="203">
        <v>151001</v>
      </c>
      <c r="B20" s="198" t="s">
        <v>261</v>
      </c>
      <c r="C20" s="157">
        <f>SD_prognozy!E55-SD_prognozy!E78</f>
        <v>4600471</v>
      </c>
      <c r="D20" s="157">
        <f>SD_prognozy!F55-SD_prognozy!F78</f>
        <v>5508491</v>
      </c>
      <c r="E20" s="157">
        <f>SD_prognozy!K55-SD_prognozy!G78</f>
        <v>5398309</v>
      </c>
      <c r="F20" s="157">
        <f>SD_prognozy!L55-SD_prognozy!H78</f>
        <v>5619464</v>
      </c>
      <c r="G20" s="157">
        <f>SD_prognozy!M55-SD_prognozy!I78</f>
        <v>5875247</v>
      </c>
      <c r="H20" s="157">
        <f>SD_prognozy!N55-SD_prognozy!J78</f>
        <v>6182855</v>
      </c>
      <c r="I20" s="157">
        <f>DD_projekcie!J18*(data!H20/(data!H20+data!H22))</f>
        <v>6477429.3417405458</v>
      </c>
      <c r="J20" s="157">
        <f>DD_projekcie!K18*(data!I20/(data!I20+data!I22))</f>
        <v>6784154.4804776665</v>
      </c>
      <c r="K20" s="157">
        <f>DD_projekcie!L18*(data!J20/(data!J20+data!J22))</f>
        <v>7102892.5312935635</v>
      </c>
      <c r="L20" s="157">
        <f>DD_projekcie!M18*(data!K20/(data!K20+data!K22))</f>
        <v>7427293.6466229567</v>
      </c>
      <c r="M20" s="157">
        <f>DD_projekcie!N18*(data!L20/(data!L20+data!L22))</f>
        <v>7757959.7490439676</v>
      </c>
      <c r="N20" s="157">
        <f>DD_projekcie!O18*(data!M20/(data!M20+data!M22))</f>
        <v>8103027.674820913</v>
      </c>
      <c r="O20" s="157">
        <f>DD_projekcie!P18*(data!N20/(data!N20+data!N22))</f>
        <v>8462842.6041057501</v>
      </c>
      <c r="P20" s="157">
        <f>DD_projekcie!Q18*(data!O20/(data!O20+data!O22))</f>
        <v>8874416.542617552</v>
      </c>
      <c r="Q20" s="157">
        <f>DD_projekcie!R18*(data!P20/(data!P20+data!P22))</f>
        <v>9299988.2712497469</v>
      </c>
      <c r="R20" s="157">
        <f>DD_projekcie!S18*(data!Q20/(data!Q20+data!Q22))</f>
        <v>9732549.5956785623</v>
      </c>
      <c r="S20" s="157">
        <f>DD_projekcie!T18*(data!R20/(data!R20+data!R22))</f>
        <v>10164303.584856272</v>
      </c>
      <c r="T20" s="157">
        <f>DD_projekcie!U18*(data!S20/(data!S20+data!S22))</f>
        <v>10590757.620701242</v>
      </c>
      <c r="U20" s="157">
        <f>DD_projekcie!V18*(data!T20/(data!T20+data!T22))</f>
        <v>11023573.963635692</v>
      </c>
      <c r="V20" s="157">
        <f>DD_projekcie!W18*(data!U20/(data!U20+data!U22))</f>
        <v>11458069.507213544</v>
      </c>
      <c r="W20" s="157">
        <f>DD_projekcie!X18*(data!V20/(data!V20+data!V22))</f>
        <v>11906232.801777819</v>
      </c>
      <c r="X20" s="157">
        <f>DD_projekcie!Y18*(data!W20/(data!W20+data!W22))</f>
        <v>12368417.117161641</v>
      </c>
      <c r="Y20" s="157">
        <f>DD_projekcie!Z18*(data!X20/(data!X20+data!X22))</f>
        <v>12844746.884615418</v>
      </c>
      <c r="Z20" s="157">
        <f>DD_projekcie!AA18*(data!Y20/(data!Y20+data!Y22))</f>
        <v>13328471.429140544</v>
      </c>
      <c r="AA20" s="157">
        <f>DD_projekcie!AB18*(data!Z20/(data!Z20+data!Z22))</f>
        <v>13808396.426338999</v>
      </c>
      <c r="AB20" s="157">
        <f>DD_projekcie!AC18*(data!AA20/(data!AA20+data!AA22))</f>
        <v>14321001.99750559</v>
      </c>
      <c r="AC20" s="157">
        <f>DD_projekcie!AD18*(data!AB20/(data!AB20+data!AB22))</f>
        <v>14838894.709316565</v>
      </c>
      <c r="AD20" s="157">
        <f>DD_projekcie!AE18*(data!AC20/(data!AC20+data!AC22))</f>
        <v>15390264.591228066</v>
      </c>
      <c r="AE20" s="157">
        <f>DD_projekcie!AF18*(data!AD20/(data!AD20+data!AD22))</f>
        <v>15950926.74274634</v>
      </c>
      <c r="AF20" s="157">
        <f>DD_projekcie!AG18*(data!AE20/(data!AE20+data!AE22))</f>
        <v>16521369.220010033</v>
      </c>
      <c r="AG20" s="157">
        <f>DD_projekcie!AH18*(data!AF20/(data!AF20+data!AF22))</f>
        <v>17103244.28844298</v>
      </c>
      <c r="AH20" s="157">
        <f>DD_projekcie!AI18*(data!AG20/(data!AG20+data!AG22))</f>
        <v>17686308.108372118</v>
      </c>
      <c r="AI20" s="157">
        <f>DD_projekcie!AJ18*(data!AH20/(data!AH20+data!AH22))</f>
        <v>18258943.904170658</v>
      </c>
      <c r="AJ20" s="157">
        <f>DD_projekcie!AK18*(data!AI20/(data!AI20+data!AI22))</f>
        <v>18866282.802754413</v>
      </c>
      <c r="AK20" s="157">
        <f>DD_projekcie!AL18*(data!AJ20/(data!AJ20+data!AJ22))</f>
        <v>19491079.901979383</v>
      </c>
      <c r="AL20" s="157">
        <f>DD_projekcie!AM18*(data!AK20/(data!AK20+data!AK22))</f>
        <v>20127578.784998879</v>
      </c>
      <c r="AM20" s="157">
        <f>DD_projekcie!AN18*(data!AL20/(data!AL20+data!AL22))</f>
        <v>20774875.812220521</v>
      </c>
      <c r="AN20" s="157">
        <f>DD_projekcie!AO18*(data!AM20/(data!AM20+data!AM22))</f>
        <v>21435858.794800043</v>
      </c>
      <c r="AO20" s="157">
        <f>DD_projekcie!AP18*(data!AN20/(data!AN20+data!AN22))</f>
        <v>22109937.0029542</v>
      </c>
      <c r="AP20" s="157">
        <f>DD_projekcie!AQ18*(data!AO20/(data!AO20+data!AO22))</f>
        <v>22787255.160701983</v>
      </c>
      <c r="AQ20" s="157">
        <f>DD_projekcie!AR18*(data!AP20/(data!AP20+data!AP22))</f>
        <v>23462684.479845505</v>
      </c>
      <c r="AR20" s="157">
        <f>DD_projekcie!AS18*(data!AQ20/(data!AQ20+data!AQ22))</f>
        <v>24181550.117682561</v>
      </c>
      <c r="AS20" s="157">
        <f>DD_projekcie!AT18*(data!AR20/(data!AR20+data!AR22))</f>
        <v>24903908.687388077</v>
      </c>
      <c r="AT20" s="157">
        <f>DD_projekcie!AU18*(data!AS20/(data!AS20+data!AS22))</f>
        <v>25666837.664713915</v>
      </c>
      <c r="AU20" s="157">
        <f>DD_projekcie!AV18*(data!AT20/(data!AT20+data!AT22))</f>
        <v>26439891.102234501</v>
      </c>
      <c r="AV20" s="157">
        <f>DD_projekcie!AW18*(data!AU20/(data!AU20+data!AU22))</f>
        <v>27237110.255287509</v>
      </c>
      <c r="AW20" s="157">
        <f>DD_projekcie!AX18*(data!AV20/(data!AV20+data!AV22))</f>
        <v>28061855.198338483</v>
      </c>
      <c r="AX20" s="157">
        <f>DD_projekcie!AY18*(data!AW20/(data!AW20+data!AW22))</f>
        <v>28914044.51084229</v>
      </c>
      <c r="AY20" s="157">
        <f>DD_projekcie!AZ18*(data!AX20/(data!AX20+data!AX22))</f>
        <v>29793652.304466914</v>
      </c>
      <c r="AZ20" s="157">
        <f>DD_projekcie!BA18*(data!AY20/(data!AY20+data!AY22))</f>
        <v>30692891.450731017</v>
      </c>
      <c r="BA20" s="157">
        <f>DD_projekcie!BB18*(data!AZ20/(data!AZ20+data!AZ22))</f>
        <v>31627448.951813456</v>
      </c>
      <c r="BB20" s="157">
        <f>DD_projekcie!BC18*(data!BA20/(data!BA20+data!BA22))</f>
        <v>32593006.95905361</v>
      </c>
    </row>
    <row r="21" spans="1:54" x14ac:dyDescent="0.25">
      <c r="A21" s="203">
        <v>151002</v>
      </c>
      <c r="B21" s="198" t="s">
        <v>986</v>
      </c>
      <c r="C21" s="157"/>
      <c r="D21" s="157">
        <f>DD_projekcie!E29</f>
        <v>174252.25529377355</v>
      </c>
      <c r="E21" s="157">
        <f>DD_projekcie!F29</f>
        <v>196517.17798757978</v>
      </c>
      <c r="F21" s="157">
        <f>DD_projekcie!G29</f>
        <v>206060.87109704275</v>
      </c>
      <c r="G21" s="157">
        <f>DD_projekcie!H29</f>
        <v>216820.37943233794</v>
      </c>
      <c r="H21" s="157">
        <f>DD_projekcie!I29</f>
        <v>229021.17463312083</v>
      </c>
      <c r="I21" s="157">
        <f>DD_projekcie!J29</f>
        <v>240700.21753616503</v>
      </c>
      <c r="J21" s="157">
        <f>DD_projekcie!K29</f>
        <v>252642.56969131954</v>
      </c>
      <c r="K21" s="157">
        <f>DD_projekcie!L29</f>
        <v>264835.70716886868</v>
      </c>
      <c r="L21" s="157">
        <f>DD_projekcie!M29</f>
        <v>277397.24754013476</v>
      </c>
      <c r="M21" s="157">
        <f>DD_projekcie!N29</f>
        <v>290300.52686968748</v>
      </c>
      <c r="N21" s="157">
        <f>DD_projekcie!O29</f>
        <v>303526.47807184618</v>
      </c>
      <c r="O21" s="157">
        <f>DD_projekcie!P29</f>
        <v>317060.60423091811</v>
      </c>
      <c r="P21" s="157">
        <f>DD_projekcie!Q29</f>
        <v>330914.43661261385</v>
      </c>
      <c r="Q21" s="157">
        <f>DD_projekcie!R29</f>
        <v>345073.79409557761</v>
      </c>
      <c r="R21" s="157">
        <f>DD_projekcie!S29</f>
        <v>359531.25360359222</v>
      </c>
      <c r="S21" s="157">
        <f>DD_projekcie!T29</f>
        <v>374299.31448363437</v>
      </c>
      <c r="T21" s="157">
        <f>DD_projekcie!U29</f>
        <v>389362.7406780431</v>
      </c>
      <c r="U21" s="157">
        <f>DD_projekcie!V29</f>
        <v>404701.80233542435</v>
      </c>
      <c r="V21" s="157">
        <f>DD_projekcie!W29</f>
        <v>420635.39565393096</v>
      </c>
      <c r="W21" s="157">
        <f>DD_projekcie!X29</f>
        <v>437149.7340731665</v>
      </c>
      <c r="X21" s="157">
        <f>DD_projekcie!Y29</f>
        <v>454267.1280637387</v>
      </c>
      <c r="Y21" s="157">
        <f>DD_projekcie!Z29</f>
        <v>472037.34342209785</v>
      </c>
      <c r="Z21" s="157">
        <f>DD_projekcie!AA29</f>
        <v>490480.21174596669</v>
      </c>
      <c r="AA21" s="157">
        <f>DD_projekcie!AB29</f>
        <v>509635.34601228056</v>
      </c>
      <c r="AB21" s="157">
        <f>DD_projekcie!AC29</f>
        <v>529529.06864996604</v>
      </c>
      <c r="AC21" s="157">
        <f>DD_projekcie!AD29</f>
        <v>550181.55500864843</v>
      </c>
      <c r="AD21" s="157">
        <f>DD_projekcie!AE29</f>
        <v>571630.88213705912</v>
      </c>
      <c r="AE21" s="157">
        <f>DD_projekcie!AF29</f>
        <v>593886.85916505754</v>
      </c>
      <c r="AF21" s="157">
        <f>DD_projekcie!AG29</f>
        <v>616863.12369097094</v>
      </c>
      <c r="AG21" s="157">
        <f>DD_projekcie!AH29</f>
        <v>640561.68271020753</v>
      </c>
      <c r="AH21" s="157">
        <f>DD_projekcie!AI29</f>
        <v>665000.08326561563</v>
      </c>
      <c r="AI21" s="157">
        <f>DD_projekcie!AJ29</f>
        <v>690194.26495028054</v>
      </c>
      <c r="AJ21" s="157">
        <f>DD_projekcie!AK29</f>
        <v>716131.60347064678</v>
      </c>
      <c r="AK21" s="157">
        <f>DD_projekcie!AL29</f>
        <v>742853.73372999358</v>
      </c>
      <c r="AL21" s="157">
        <f>DD_projekcie!AM29</f>
        <v>770386.21231254423</v>
      </c>
      <c r="AM21" s="157">
        <f>DD_projekcie!AN29</f>
        <v>798713.22567015176</v>
      </c>
      <c r="AN21" s="157">
        <f>DD_projekcie!AO29</f>
        <v>827862.56089138635</v>
      </c>
      <c r="AO21" s="157">
        <f>DD_projekcie!AP29</f>
        <v>857852.00615647831</v>
      </c>
      <c r="AP21" s="157">
        <f>DD_projekcie!AQ29</f>
        <v>888674.38348692539</v>
      </c>
      <c r="AQ21" s="157">
        <f>DD_projekcie!AR29</f>
        <v>920329.65180525754</v>
      </c>
      <c r="AR21" s="157">
        <f>DD_projekcie!AS29</f>
        <v>952874.448346121</v>
      </c>
      <c r="AS21" s="157">
        <f>DD_projekcie!AT29</f>
        <v>986277.91572051123</v>
      </c>
      <c r="AT21" s="157">
        <f>DD_projekcie!AU29</f>
        <v>1020576.9434768701</v>
      </c>
      <c r="AU21" s="157">
        <f>DD_projekcie!AV29</f>
        <v>1055747.9414318886</v>
      </c>
      <c r="AV21" s="157">
        <f>DD_projekcie!AW29</f>
        <v>1091774.188178991</v>
      </c>
      <c r="AW21" s="157">
        <f>DD_projekcie!AX29</f>
        <v>1128699.570914333</v>
      </c>
      <c r="AX21" s="157">
        <f>DD_projekcie!AY29</f>
        <v>1166442.8955833646</v>
      </c>
      <c r="AY21" s="157">
        <f>DD_projekcie!AZ29</f>
        <v>1205040.4499076866</v>
      </c>
      <c r="AZ21" s="157">
        <f>DD_projekcie!BA29</f>
        <v>1249304.4280009216</v>
      </c>
      <c r="BA21" s="157">
        <f>DD_projekcie!BB29</f>
        <v>1293420.3090945417</v>
      </c>
      <c r="BB21" s="157">
        <f>DD_projekcie!BC29</f>
        <v>1337834.4461465583</v>
      </c>
    </row>
    <row r="22" spans="1:54" x14ac:dyDescent="0.25">
      <c r="A22" s="203">
        <v>151007</v>
      </c>
      <c r="B22" s="198" t="s">
        <v>262</v>
      </c>
      <c r="C22" s="157">
        <f>SD_prognozy!E56-SD_prognozy!E79</f>
        <v>248274</v>
      </c>
      <c r="D22" s="157">
        <f>SD_prognozy!F56-SD_prognozy!F79</f>
        <v>209619</v>
      </c>
      <c r="E22" s="157">
        <f>SD_prognozy!K56-SD_prognozy!G79</f>
        <v>232365</v>
      </c>
      <c r="F22" s="157">
        <f>SD_prognozy!L56-SD_prognozy!H79</f>
        <v>236833</v>
      </c>
      <c r="G22" s="157">
        <f>SD_prognozy!M56-SD_prognozy!I79</f>
        <v>242272</v>
      </c>
      <c r="H22" s="157">
        <f>SD_prognozy!N56-SD_prognozy!J79</f>
        <v>248664</v>
      </c>
      <c r="I22" s="157">
        <f>DD_projekcie!J18*(data!H22/(data!H20+data!H22))</f>
        <v>260511.28319111009</v>
      </c>
      <c r="J22" s="157">
        <f>DD_projekcie!K18*(data!I22/(data!I20+data!I22))</f>
        <v>272847.25094369805</v>
      </c>
      <c r="K22" s="157">
        <f>DD_projekcie!L18*(data!J22/(data!J20+data!J22))</f>
        <v>285666.35775892896</v>
      </c>
      <c r="L22" s="157">
        <f>DD_projekcie!M18*(data!K22/(data!K20+data!K22))</f>
        <v>298713.22347747936</v>
      </c>
      <c r="M22" s="157">
        <f>DD_projekcie!N18*(data!L22/(data!L20+data!L22))</f>
        <v>312012.05641022942</v>
      </c>
      <c r="N22" s="157">
        <f>DD_projekcie!O18*(data!M22/(data!M20+data!M22))</f>
        <v>325890.10638801457</v>
      </c>
      <c r="O22" s="157">
        <f>DD_projekcie!P18*(data!N22/(data!N20+data!N22))</f>
        <v>340361.2559743601</v>
      </c>
      <c r="P22" s="157">
        <f>DD_projekcie!Q18*(data!O22/(data!O20+data!O22))</f>
        <v>356914.06561425922</v>
      </c>
      <c r="Q22" s="157">
        <f>DD_projekcie!R18*(data!P22/(data!P20+data!P22))</f>
        <v>374029.84276390873</v>
      </c>
      <c r="R22" s="157">
        <f>DD_projekcie!S18*(data!Q22/(data!Q20+data!Q22))</f>
        <v>391426.72966773662</v>
      </c>
      <c r="S22" s="157">
        <f>DD_projekcie!T18*(data!R22/(data!R20+data!R22))</f>
        <v>408791.14690942934</v>
      </c>
      <c r="T22" s="157">
        <f>DD_projekcie!U18*(data!S22/(data!S20+data!S22))</f>
        <v>425942.40896706347</v>
      </c>
      <c r="U22" s="157">
        <f>DD_projekcie!V18*(data!T22/(data!T20+data!T22))</f>
        <v>443349.55228506983</v>
      </c>
      <c r="V22" s="157">
        <f>DD_projekcie!W18*(data!U22/(data!U20+data!U22))</f>
        <v>460824.23022078769</v>
      </c>
      <c r="W22" s="157">
        <f>DD_projekcie!X18*(data!V22/(data!V20+data!V22))</f>
        <v>478848.60204893688</v>
      </c>
      <c r="X22" s="157">
        <f>DD_projekcie!Y18*(data!W22/(data!W20+data!W22))</f>
        <v>497436.87568637502</v>
      </c>
      <c r="Y22" s="157">
        <f>DD_projekcie!Z18*(data!X22/(data!X20+data!X22))</f>
        <v>516594.05554812588</v>
      </c>
      <c r="Z22" s="157">
        <f>DD_projekcie!AA18*(data!Y22/(data!Y20+data!Y22))</f>
        <v>536048.64087153971</v>
      </c>
      <c r="AA22" s="157">
        <f>DD_projekcie!AB18*(data!Z22/(data!Z20+data!Z22))</f>
        <v>555350.41480985086</v>
      </c>
      <c r="AB22" s="157">
        <f>DD_projekcie!AC18*(data!AA22/(data!AA20+data!AA22))</f>
        <v>575966.54631359293</v>
      </c>
      <c r="AC22" s="157">
        <f>DD_projekcie!AD18*(data!AB22/(data!AB20+data!AB22))</f>
        <v>596795.31769667799</v>
      </c>
      <c r="AD22" s="157">
        <f>DD_projekcie!AE18*(data!AC22/(data!AC20+data!AC22))</f>
        <v>618970.48439808725</v>
      </c>
      <c r="AE22" s="157">
        <f>DD_projekcie!AF18*(data!AD22/(data!AD20+data!AD22))</f>
        <v>641519.37051059352</v>
      </c>
      <c r="AF22" s="157">
        <f>DD_projekcie!AG18*(data!AE22/(data!AE20+data!AE22))</f>
        <v>664461.60482893011</v>
      </c>
      <c r="AG22" s="157">
        <f>DD_projekcie!AH18*(data!AF22/(data!AF20+data!AF22))</f>
        <v>687863.63868170686</v>
      </c>
      <c r="AH22" s="157">
        <f>DD_projekcie!AI18*(data!AG22/(data!AG20+data!AG22))</f>
        <v>711313.48211469373</v>
      </c>
      <c r="AI22" s="157">
        <f>DD_projekcie!AJ18*(data!AH22/(data!AH20+data!AH22))</f>
        <v>734343.92800521653</v>
      </c>
      <c r="AJ22" s="157">
        <f>DD_projekcie!AK18*(data!AI22/(data!AI20+data!AI22))</f>
        <v>758770.07415896433</v>
      </c>
      <c r="AK22" s="157">
        <f>DD_projekcie!AL18*(data!AJ22/(data!AJ20+data!AJ22))</f>
        <v>783898.35969722748</v>
      </c>
      <c r="AL22" s="157">
        <f>DD_projekcie!AM18*(data!AK22/(data!AK20+data!AK22))</f>
        <v>809497.27124329482</v>
      </c>
      <c r="AM22" s="157">
        <f>DD_projekcie!AN18*(data!AL22/(data!AL20+data!AL22))</f>
        <v>835530.46593685343</v>
      </c>
      <c r="AN22" s="157">
        <f>DD_projekcie!AO18*(data!AM22/(data!AM20+data!AM22))</f>
        <v>862114.08667195938</v>
      </c>
      <c r="AO22" s="157">
        <f>DD_projekcie!AP18*(data!AN22/(data!AN20+data!AN22))</f>
        <v>889224.37529306486</v>
      </c>
      <c r="AP22" s="157">
        <f>DD_projekcie!AQ18*(data!AO22/(data!AO20+data!AO22))</f>
        <v>916464.96922227636</v>
      </c>
      <c r="AQ22" s="157">
        <f>DD_projekcie!AR18*(data!AP22/(data!AP20+data!AP22))</f>
        <v>943629.59724856936</v>
      </c>
      <c r="AR22" s="157">
        <f>DD_projekcie!AS18*(data!AQ22/(data!AQ20+data!AQ22))</f>
        <v>972541.16075234127</v>
      </c>
      <c r="AS22" s="157">
        <f>DD_projekcie!AT18*(data!AR22/(data!AR20+data!AR22))</f>
        <v>1001593.2040846291</v>
      </c>
      <c r="AT22" s="157">
        <f>DD_projekcie!AU18*(data!AS22/(data!AS20+data!AS22))</f>
        <v>1032276.9207847218</v>
      </c>
      <c r="AU22" s="157">
        <f>DD_projekcie!AV18*(data!AT22/(data!AT20+data!AT22))</f>
        <v>1063367.8261977744</v>
      </c>
      <c r="AV22" s="157">
        <f>DD_projekcie!AW18*(data!AU22/(data!AU20+data!AU22))</f>
        <v>1095430.6359312669</v>
      </c>
      <c r="AW22" s="157">
        <f>DD_projekcie!AX18*(data!AV22/(data!AV20+data!AV22))</f>
        <v>1128600.4865130496</v>
      </c>
      <c r="AX22" s="157">
        <f>DD_projekcie!AY18*(data!AW22/(data!AW20+data!AW22))</f>
        <v>1162874.1033461222</v>
      </c>
      <c r="AY22" s="157">
        <f>DD_projekcie!AZ18*(data!AX22/(data!AX20+data!AX22))</f>
        <v>1198250.4452454348</v>
      </c>
      <c r="AZ22" s="157">
        <f>DD_projekcie!BA18*(data!AY22/(data!AY20+data!AY22))</f>
        <v>1234416.3270373605</v>
      </c>
      <c r="BA22" s="157">
        <f>DD_projekcie!BB18*(data!AZ22/(data!AZ20+data!AZ22))</f>
        <v>1272002.6534915899</v>
      </c>
      <c r="BB22" s="157">
        <f>DD_projekcie!BC18*(data!BA22/(data!BA20+data!BA22))</f>
        <v>1310835.7680175435</v>
      </c>
    </row>
    <row r="23" spans="1:54" x14ac:dyDescent="0.25">
      <c r="A23" s="203">
        <v>154001</v>
      </c>
      <c r="B23" s="198" t="s">
        <v>263</v>
      </c>
      <c r="C23" s="157">
        <f>SD_prognozy!E57-SD_prognozy!E80</f>
        <v>2426335</v>
      </c>
      <c r="D23" s="157">
        <f>SD_prognozy!F57-SD_prognozy!F80</f>
        <v>2568449</v>
      </c>
      <c r="E23" s="157">
        <f>SD_prognozy!K57-SD_prognozy!G80</f>
        <v>2663179.5013859211</v>
      </c>
      <c r="F23" s="157">
        <f>SD_prognozy!L57-SD_prognozy!H80</f>
        <v>2766384.9374113451</v>
      </c>
      <c r="G23" s="157">
        <f>SD_prognozy!M57-SD_prognozy!I80</f>
        <v>2896485.2092956305</v>
      </c>
      <c r="H23" s="157">
        <f>SD_prognozy!N57-SD_prognozy!J80</f>
        <v>3051590.6951433918</v>
      </c>
      <c r="I23" s="69"/>
      <c r="J23" s="90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</row>
    <row r="24" spans="1:54" x14ac:dyDescent="0.25">
      <c r="A24" s="202">
        <v>154011</v>
      </c>
      <c r="B24" s="198" t="s">
        <v>264</v>
      </c>
      <c r="C24" s="157">
        <f>SD_prognozy!E58-SD_prognozy!E81</f>
        <v>0</v>
      </c>
      <c r="D24" s="157">
        <f>SD_prognozy!F58-SD_prognozy!F81</f>
        <v>57602</v>
      </c>
      <c r="E24" s="157">
        <f>SD_prognozy!K58-SD_prognozy!G81</f>
        <v>59726.498614078708</v>
      </c>
      <c r="F24" s="157">
        <f>SD_prognozy!L58-SD_prognozy!H81</f>
        <v>62041.062588654982</v>
      </c>
      <c r="G24" s="157">
        <f>SD_prognozy!M58-SD_prognozy!I81</f>
        <v>64958.790704369414</v>
      </c>
      <c r="H24" s="157">
        <f>SD_prognozy!N58-SD_prognozy!J81</f>
        <v>68437.304856607894</v>
      </c>
      <c r="I24" s="69"/>
      <c r="J24" s="90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</row>
    <row r="25" spans="1:54" x14ac:dyDescent="0.25">
      <c r="A25" s="202">
        <v>292009</v>
      </c>
      <c r="B25" s="198" t="s">
        <v>156</v>
      </c>
      <c r="C25" s="157">
        <f>EKRK_rozdelenie_podpoloziek!D8</f>
        <v>94406.679730000003</v>
      </c>
      <c r="D25" s="157">
        <f>EKRK_rozdelenie_podpoloziek!E8</f>
        <v>82848.053579999993</v>
      </c>
      <c r="E25" s="157">
        <f>EKRK_rozdelenie_podpoloziek!F8</f>
        <v>85570.382509999996</v>
      </c>
      <c r="F25" s="157">
        <f>EKRK_rozdelenie_podpoloziek!G8</f>
        <v>102180.67250999999</v>
      </c>
      <c r="G25" s="157">
        <f>EKRK_rozdelenie_podpoloziek!H8</f>
        <v>119093.57251</v>
      </c>
      <c r="H25" s="157">
        <f>EKRK_rozdelenie_podpoloziek!I8</f>
        <v>127306.72250999999</v>
      </c>
      <c r="I25" s="69"/>
      <c r="J25" s="90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</row>
    <row r="26" spans="1:54" x14ac:dyDescent="0.25">
      <c r="A26" s="202" t="s">
        <v>193</v>
      </c>
      <c r="B26" s="198" t="s">
        <v>157</v>
      </c>
      <c r="C26" s="157">
        <f>DD_projekcie!D6</f>
        <v>0</v>
      </c>
      <c r="D26" s="157">
        <f>DD_projekcie!E6</f>
        <v>72784.899999999994</v>
      </c>
      <c r="E26" s="157">
        <f>DD_projekcie!F6</f>
        <v>72596.61</v>
      </c>
      <c r="F26" s="157">
        <f>DD_projekcie!G6</f>
        <v>89206.9</v>
      </c>
      <c r="G26" s="157">
        <f>DD_projekcie!H6</f>
        <v>106119.8</v>
      </c>
      <c r="H26" s="157">
        <f>DD_projekcie!I6</f>
        <v>114332.95</v>
      </c>
      <c r="I26" s="157">
        <f>DD_projekcie!J6</f>
        <v>121264.38749467125</v>
      </c>
      <c r="J26" s="157">
        <f>DD_projekcie!K6</f>
        <v>126888.59615825939</v>
      </c>
      <c r="K26" s="157">
        <f>DD_projekcie!L6</f>
        <v>130187.49631850564</v>
      </c>
      <c r="L26" s="157">
        <f>DD_projekcie!M6</f>
        <v>133293.42406193429</v>
      </c>
      <c r="M26" s="157">
        <f>DD_projekcie!N6</f>
        <v>134950.2006658774</v>
      </c>
      <c r="N26" s="157">
        <f>DD_projekcie!O6</f>
        <v>137835.34335451919</v>
      </c>
      <c r="O26" s="157">
        <f>DD_projekcie!P6</f>
        <v>140919.13284503209</v>
      </c>
      <c r="P26" s="157">
        <f>DD_projekcie!Q6</f>
        <v>144281.08892115552</v>
      </c>
      <c r="Q26" s="157">
        <f>DD_projekcie!R6</f>
        <v>127604.87129134109</v>
      </c>
      <c r="R26" s="157">
        <f>DD_projekcie!S6</f>
        <v>106030.0037344906</v>
      </c>
      <c r="S26" s="157">
        <f>DD_projekcie!T6</f>
        <v>102386.81604033834</v>
      </c>
      <c r="T26" s="157">
        <f>DD_projekcie!U6</f>
        <v>104463.39942220881</v>
      </c>
      <c r="U26" s="157">
        <f>DD_projekcie!V6</f>
        <v>105172.09322344209</v>
      </c>
      <c r="V26" s="157">
        <f>DD_projekcie!W6</f>
        <v>108131.69116719723</v>
      </c>
      <c r="W26" s="157">
        <f>DD_projekcie!X6</f>
        <v>110826.78244206609</v>
      </c>
      <c r="X26" s="157">
        <f>DD_projekcie!Y6</f>
        <v>113074.54307752423</v>
      </c>
      <c r="Y26" s="157">
        <f>DD_projekcie!Z6</f>
        <v>113841.65603957175</v>
      </c>
      <c r="Z26" s="157">
        <f>DD_projekcie!AA6</f>
        <v>117045.22003456221</v>
      </c>
      <c r="AA26" s="157">
        <f>DD_projekcie!AB6</f>
        <v>119962.47350461566</v>
      </c>
      <c r="AB26" s="157">
        <f>DD_projekcie!AC6</f>
        <v>122395.5219044176</v>
      </c>
      <c r="AC26" s="157">
        <f>DD_projekcie!AD6</f>
        <v>123225.86964489073</v>
      </c>
      <c r="AD26" s="157">
        <f>DD_projekcie!AE6</f>
        <v>102538.36459893061</v>
      </c>
      <c r="AE26" s="157">
        <f>DD_projekcie!AF6</f>
        <v>97161.27541205434</v>
      </c>
      <c r="AF26" s="157">
        <f>DD_projekcie!AG6</f>
        <v>73972.755590643224</v>
      </c>
      <c r="AG26" s="157">
        <f>DD_projekcie!AH6</f>
        <v>65311.865358359821</v>
      </c>
      <c r="AH26" s="157">
        <f>DD_projekcie!AI6</f>
        <v>67820.388626364715</v>
      </c>
      <c r="AI26" s="157">
        <f>DD_projekcie!AJ6</f>
        <v>69772.103039695139</v>
      </c>
      <c r="AJ26" s="157">
        <f>DD_projekcie!AK6</f>
        <v>71167.545100489049</v>
      </c>
      <c r="AK26" s="157">
        <f>DD_projekcie!AL6</f>
        <v>70695.663493478598</v>
      </c>
      <c r="AL26" s="157">
        <f>DD_projekcie!AM6</f>
        <v>73410.969752875404</v>
      </c>
      <c r="AM26" s="157">
        <f>DD_projekcie!AN6</f>
        <v>75523.568200999784</v>
      </c>
      <c r="AN26" s="157">
        <f>DD_projekcie!AO6</f>
        <v>77034.039565019775</v>
      </c>
      <c r="AO26" s="157">
        <f>DD_projekcie!AP6</f>
        <v>76523.259737879183</v>
      </c>
      <c r="AP26" s="157">
        <f>DD_projekcie!AQ6</f>
        <v>79462.394557299587</v>
      </c>
      <c r="AQ26" s="157">
        <f>DD_projekcie!AR6</f>
        <v>81749.139058715504</v>
      </c>
      <c r="AR26" s="157">
        <f>DD_projekcie!AS6</f>
        <v>83384.12183988982</v>
      </c>
      <c r="AS26" s="157">
        <f>DD_projekcie!AT6</f>
        <v>53000.26227094081</v>
      </c>
      <c r="AT26" s="157">
        <f>DD_projekcie!AU6</f>
        <v>10683.847335248938</v>
      </c>
      <c r="AU26" s="157">
        <f>DD_projekcie!AV6</f>
        <v>0</v>
      </c>
      <c r="AV26" s="157">
        <f>DD_projekcie!AW6</f>
        <v>0</v>
      </c>
      <c r="AW26" s="157">
        <f>DD_projekcie!AX6</f>
        <v>0</v>
      </c>
      <c r="AX26" s="157">
        <f>DD_projekcie!AY6</f>
        <v>0</v>
      </c>
      <c r="AY26" s="157">
        <f>DD_projekcie!AZ6</f>
        <v>0</v>
      </c>
      <c r="AZ26" s="157">
        <f>DD_projekcie!BA6</f>
        <v>0</v>
      </c>
      <c r="BA26" s="157">
        <f>DD_projekcie!BB6</f>
        <v>0</v>
      </c>
      <c r="BB26" s="157">
        <f>DD_projekcie!BC6</f>
        <v>0</v>
      </c>
    </row>
    <row r="27" spans="1:54" x14ac:dyDescent="0.25">
      <c r="A27" s="202">
        <v>292027</v>
      </c>
      <c r="B27" s="198" t="s">
        <v>159</v>
      </c>
      <c r="C27" s="157">
        <f>EKRK_rozdelenie_podpoloziek!D11</f>
        <v>581245</v>
      </c>
      <c r="D27" s="157">
        <f>EKRK_rozdelenie_podpoloziek!E11</f>
        <v>734458</v>
      </c>
      <c r="E27" s="157">
        <f>EKRK_rozdelenie_podpoloziek!F11</f>
        <v>689258.06029619998</v>
      </c>
      <c r="F27" s="157">
        <f>EKRK_rozdelenie_podpoloziek!G11</f>
        <v>692777.09009832202</v>
      </c>
      <c r="G27" s="157">
        <f>EKRK_rozdelenie_podpoloziek!H11</f>
        <v>694380.73932388402</v>
      </c>
      <c r="H27" s="157">
        <f>EKRK_rozdelenie_podpoloziek!I11</f>
        <v>695956.60504830244</v>
      </c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</row>
    <row r="28" spans="1:54" x14ac:dyDescent="0.25">
      <c r="A28" s="203" t="s">
        <v>195</v>
      </c>
      <c r="B28" s="198" t="s">
        <v>326</v>
      </c>
      <c r="C28" s="157">
        <f>DD_projekcie!D7</f>
        <v>0</v>
      </c>
      <c r="D28" s="157">
        <f>DD_projekcie!E7</f>
        <v>68231.195781666669</v>
      </c>
      <c r="E28" s="157">
        <f>DD_projekcie!F7</f>
        <v>73695.620306199999</v>
      </c>
      <c r="F28" s="157">
        <f>DD_projekcie!G7</f>
        <v>77214.650108321992</v>
      </c>
      <c r="G28" s="157">
        <f>DD_projekcie!H7</f>
        <v>78818.299333883973</v>
      </c>
      <c r="H28" s="157">
        <f>DD_projekcie!I7</f>
        <v>80394.16505830246</v>
      </c>
      <c r="I28" s="157">
        <f>DD_projekcie!J7</f>
        <v>82002.014940782727</v>
      </c>
      <c r="J28" s="157">
        <f>DD_projekcie!K7</f>
        <v>84642.324155923008</v>
      </c>
      <c r="K28" s="157">
        <f>DD_projekcie!L7</f>
        <v>86426.458220630433</v>
      </c>
      <c r="L28" s="157">
        <f>DD_projekcie!M7</f>
        <v>88154.987385043045</v>
      </c>
      <c r="M28" s="157">
        <f>DD_projekcie!N7</f>
        <v>89918.087132743924</v>
      </c>
      <c r="N28" s="157">
        <f>DD_projekcie!O7</f>
        <v>91716.448875398783</v>
      </c>
      <c r="O28" s="157">
        <f>DD_projekcie!P7</f>
        <v>93550.777852906773</v>
      </c>
      <c r="P28" s="157">
        <f>DD_projekcie!Q7</f>
        <v>95421.793409964914</v>
      </c>
      <c r="Q28" s="157">
        <f>DD_projekcie!R7</f>
        <v>97330.229278164217</v>
      </c>
      <c r="R28" s="157">
        <f>DD_projekcie!S7</f>
        <v>99276.833863727457</v>
      </c>
      <c r="S28" s="157">
        <f>DD_projekcie!T7</f>
        <v>101262.37054100203</v>
      </c>
      <c r="T28" s="157">
        <f>DD_projekcie!U7</f>
        <v>103287.61795182207</v>
      </c>
      <c r="U28" s="157">
        <f>DD_projekcie!V7</f>
        <v>105353.3703108585</v>
      </c>
      <c r="V28" s="157">
        <f>DD_projekcie!W7</f>
        <v>107460.43771707569</v>
      </c>
      <c r="W28" s="157">
        <f>DD_projekcie!X7</f>
        <v>109609.64647141722</v>
      </c>
      <c r="X28" s="157">
        <f>DD_projekcie!Y7</f>
        <v>111801.83940084554</v>
      </c>
      <c r="Y28" s="157">
        <f>DD_projekcie!Z7</f>
        <v>114037.87618886244</v>
      </c>
      <c r="Z28" s="157">
        <f>DD_projekcie!AA7</f>
        <v>116318.6337126397</v>
      </c>
      <c r="AA28" s="157">
        <f>DD_projekcie!AB7</f>
        <v>118645.00638689248</v>
      </c>
      <c r="AB28" s="157">
        <f>DD_projekcie!AC7</f>
        <v>121017.90651463033</v>
      </c>
      <c r="AC28" s="157">
        <f>DD_projekcie!AD7</f>
        <v>123438.26464492294</v>
      </c>
      <c r="AD28" s="157">
        <f>DD_projekcie!AE7</f>
        <v>125907.02993782138</v>
      </c>
      <c r="AE28" s="157">
        <f>DD_projekcie!AF7</f>
        <v>128425.17053657785</v>
      </c>
      <c r="AF28" s="157">
        <f>DD_projekcie!AG7</f>
        <v>129132.86988728699</v>
      </c>
      <c r="AG28" s="157">
        <f>DD_projekcie!AH7</f>
        <v>23636.604123928384</v>
      </c>
      <c r="AH28" s="157">
        <f>DD_projekcie!AI7</f>
        <v>1748.3747252763669</v>
      </c>
      <c r="AI28" s="157">
        <f>DD_projekcie!AJ7</f>
        <v>642.34373104810345</v>
      </c>
      <c r="AJ28" s="157">
        <f>DD_projekcie!AK7</f>
        <v>655.19060566906558</v>
      </c>
      <c r="AK28" s="157">
        <f>DD_projekcie!AL7</f>
        <v>668.29441778244677</v>
      </c>
      <c r="AL28" s="157">
        <f>DD_projekcie!AM7</f>
        <v>681.66030613809573</v>
      </c>
      <c r="AM28" s="157">
        <f>DD_projekcie!AN7</f>
        <v>695.2935122608576</v>
      </c>
      <c r="AN28" s="157">
        <f>DD_projekcie!AO7</f>
        <v>709.19938250607493</v>
      </c>
      <c r="AO28" s="157">
        <f>DD_projekcie!AP7</f>
        <v>723.38337015619641</v>
      </c>
      <c r="AP28" s="157">
        <f>DD_projekcie!AQ7</f>
        <v>737.85103755932005</v>
      </c>
      <c r="AQ28" s="157">
        <f>DD_projekcie!AR7</f>
        <v>752.60805831050664</v>
      </c>
      <c r="AR28" s="157">
        <f>DD_projekcie!AS7</f>
        <v>767.66021947671675</v>
      </c>
      <c r="AS28" s="157">
        <f>DD_projekcie!AT7</f>
        <v>783.01342386625106</v>
      </c>
      <c r="AT28" s="157">
        <f>DD_projekcie!AU7</f>
        <v>798.67369234357602</v>
      </c>
      <c r="AU28" s="157">
        <f>DD_projekcie!AV7</f>
        <v>814.64716619044771</v>
      </c>
      <c r="AV28" s="157">
        <f>DD_projekcie!AW7</f>
        <v>830.94010951425662</v>
      </c>
      <c r="AW28" s="157">
        <f>DD_projekcie!AX7</f>
        <v>847.55891170454186</v>
      </c>
      <c r="AX28" s="157">
        <f>DD_projekcie!AY7</f>
        <v>864.5100899386324</v>
      </c>
      <c r="AY28" s="157">
        <f>DD_projekcie!AZ7</f>
        <v>881.80029173740513</v>
      </c>
      <c r="AZ28" s="157">
        <f>DD_projekcie!BA7</f>
        <v>899.43629757215331</v>
      </c>
      <c r="BA28" s="157">
        <f>DD_projekcie!BB7</f>
        <v>917.42502352359634</v>
      </c>
      <c r="BB28" s="157">
        <f>DD_projekcie!BC7</f>
        <v>935.77352399406823</v>
      </c>
    </row>
    <row r="29" spans="1:54" x14ac:dyDescent="0.25">
      <c r="A29" s="202">
        <v>341000</v>
      </c>
      <c r="B29" s="198" t="s">
        <v>334</v>
      </c>
      <c r="C29" s="157">
        <f>EU_fondy!G13*1000</f>
        <v>2015349.0000000002</v>
      </c>
      <c r="D29" s="157">
        <f>EU_fondy!H13*1000</f>
        <v>2038644</v>
      </c>
      <c r="E29" s="157">
        <f>EU_fondy!I13*1000</f>
        <v>2609937.577561215</v>
      </c>
      <c r="F29" s="157">
        <f>EU_fondy!J13*1000</f>
        <v>2639276.6836717757</v>
      </c>
      <c r="G29" s="157">
        <f>EU_fondy!K13*1000</f>
        <v>1695276.007591438</v>
      </c>
      <c r="H29" s="157">
        <f>EU_fondy!L13*1000</f>
        <v>2293450.6962063494</v>
      </c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</row>
    <row r="30" spans="1:54" x14ac:dyDescent="0.25">
      <c r="A30" s="202">
        <v>636001</v>
      </c>
      <c r="B30" s="166" t="s">
        <v>186</v>
      </c>
      <c r="C30" s="157">
        <f>-EKRK_rozdelenie_podpoloziek!D15</f>
        <v>-106097</v>
      </c>
      <c r="D30" s="157">
        <f>-EKRK_rozdelenie_podpoloziek!E15</f>
        <v>-163087</v>
      </c>
      <c r="E30" s="157">
        <f>-EKRK_rozdelenie_podpoloziek!F15</f>
        <v>-169934.65243943295</v>
      </c>
      <c r="F30" s="157">
        <f>-EKRK_rozdelenie_podpoloziek!G15</f>
        <v>-171347.46263163738</v>
      </c>
      <c r="G30" s="157">
        <f>-EKRK_rozdelenie_podpoloziek!H15</f>
        <v>-172884.40052162693</v>
      </c>
      <c r="H30" s="157">
        <f>-EKRK_rozdelenie_podpoloziek!I15</f>
        <v>-174497.21210549175</v>
      </c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</row>
    <row r="31" spans="1:54" x14ac:dyDescent="0.25">
      <c r="A31" s="202" t="s">
        <v>218</v>
      </c>
      <c r="B31" s="166" t="s">
        <v>187</v>
      </c>
      <c r="C31" s="157">
        <f>-DD_projekcie!D3</f>
        <v>-52921.214</v>
      </c>
      <c r="D31" s="157">
        <f>-DD_projekcie!E3</f>
        <v>-119173.561</v>
      </c>
      <c r="E31" s="157">
        <f>-DD_projekcie!F3</f>
        <v>-125689.777</v>
      </c>
      <c r="F31" s="157">
        <f>-DD_projekcie!G3</f>
        <v>-126184.52237999999</v>
      </c>
      <c r="G31" s="157">
        <f>-DD_projekcie!H3</f>
        <v>-126694.11126000001</v>
      </c>
      <c r="H31" s="157">
        <f>-DD_projekcie!I3</f>
        <v>-127218.98670000001</v>
      </c>
      <c r="I31" s="157">
        <f>-DD_projekcie!J3</f>
        <v>-127300.69961999998</v>
      </c>
      <c r="J31" s="157">
        <f>-DD_projekcie!K3</f>
        <v>-127668.51486</v>
      </c>
      <c r="K31" s="157">
        <f>-DD_projekcie!L3</f>
        <v>-128044.05402</v>
      </c>
      <c r="L31" s="157">
        <f>-DD_projekcie!M3</f>
        <v>-128427.47916</v>
      </c>
      <c r="M31" s="157">
        <f>-DD_projekcie!N3</f>
        <v>-128818.95522</v>
      </c>
      <c r="N31" s="157">
        <f>-DD_projekcie!O3</f>
        <v>-129218.65260000002</v>
      </c>
      <c r="O31" s="157">
        <f>-DD_projekcie!P3</f>
        <v>-129626.74475999999</v>
      </c>
      <c r="P31" s="157">
        <f>-DD_projekcie!Q3</f>
        <v>-130043.40617999999</v>
      </c>
      <c r="Q31" s="157">
        <f>-DD_projekcie!R3</f>
        <v>-130468.81865999999</v>
      </c>
      <c r="R31" s="157">
        <f>-DD_projekcie!S3</f>
        <v>-130903.16381999999</v>
      </c>
      <c r="S31" s="157">
        <f>-DD_projekcie!T3</f>
        <v>-131346.62993999998</v>
      </c>
      <c r="T31" s="157">
        <f>-DD_projekcie!U3</f>
        <v>-131799.41021999999</v>
      </c>
      <c r="U31" s="157">
        <f>-DD_projekcie!V3</f>
        <v>-132261.69785999999</v>
      </c>
      <c r="V31" s="157">
        <f>-DD_projekcie!W3</f>
        <v>-132733.69235999999</v>
      </c>
      <c r="W31" s="157">
        <f>-DD_projekcie!X3</f>
        <v>-133215.60090000002</v>
      </c>
      <c r="X31" s="157">
        <f>-DD_projekcie!Y3</f>
        <v>-133707.62789999999</v>
      </c>
      <c r="Y31" s="157">
        <f>-DD_projekcie!Z3</f>
        <v>-134209.98887999999</v>
      </c>
      <c r="Z31" s="157">
        <f>-DD_projekcie!AA3</f>
        <v>-134722.89779999998</v>
      </c>
      <c r="AA31" s="157">
        <f>-DD_projekcie!AB3</f>
        <v>-135246.57935999997</v>
      </c>
      <c r="AB31" s="157">
        <f>-DD_projekcie!AC3</f>
        <v>-135781.25724000001</v>
      </c>
      <c r="AC31" s="157">
        <f>-DD_projekcie!AD3</f>
        <v>-136327.1643</v>
      </c>
      <c r="AD31" s="157">
        <f>-DD_projekcie!AE3</f>
        <v>-136884.53460000001</v>
      </c>
      <c r="AE31" s="157">
        <f>-DD_projekcie!AF3</f>
        <v>-137453.60934</v>
      </c>
      <c r="AF31" s="157">
        <f>-DD_projekcie!AG3</f>
        <v>-76483.844219999999</v>
      </c>
      <c r="AG31" s="157">
        <f>-DD_projekcie!AH3</f>
        <v>0</v>
      </c>
      <c r="AH31" s="157">
        <f>-DD_projekcie!AI3</f>
        <v>0</v>
      </c>
      <c r="AI31" s="157">
        <f>-DD_projekcie!AJ3</f>
        <v>0</v>
      </c>
      <c r="AJ31" s="157">
        <f>-DD_projekcie!AK3</f>
        <v>0</v>
      </c>
      <c r="AK31" s="157">
        <f>-DD_projekcie!AL3</f>
        <v>0</v>
      </c>
      <c r="AL31" s="157">
        <f>-DD_projekcie!AM3</f>
        <v>0</v>
      </c>
      <c r="AM31" s="157">
        <f>-DD_projekcie!AN3</f>
        <v>0</v>
      </c>
      <c r="AN31" s="157">
        <f>-DD_projekcie!AO3</f>
        <v>0</v>
      </c>
      <c r="AO31" s="157">
        <f>-DD_projekcie!AP3</f>
        <v>0</v>
      </c>
      <c r="AP31" s="157">
        <f>-DD_projekcie!AQ3</f>
        <v>0</v>
      </c>
      <c r="AQ31" s="157">
        <f>-DD_projekcie!AR3</f>
        <v>0</v>
      </c>
      <c r="AR31" s="157">
        <f>-DD_projekcie!AS3</f>
        <v>0</v>
      </c>
      <c r="AS31" s="157">
        <f>-DD_projekcie!AT3</f>
        <v>0</v>
      </c>
      <c r="AT31" s="157">
        <f>-DD_projekcie!AU3</f>
        <v>0</v>
      </c>
      <c r="AU31" s="157">
        <f>-DD_projekcie!AV3</f>
        <v>0</v>
      </c>
      <c r="AV31" s="157">
        <f>-DD_projekcie!AW3</f>
        <v>0</v>
      </c>
      <c r="AW31" s="157">
        <f>-DD_projekcie!AX3</f>
        <v>0</v>
      </c>
      <c r="AX31" s="157">
        <f>-DD_projekcie!AY3</f>
        <v>0</v>
      </c>
      <c r="AY31" s="157">
        <f>-DD_projekcie!AZ3</f>
        <v>0</v>
      </c>
      <c r="AZ31" s="157">
        <f>-DD_projekcie!BA3</f>
        <v>0</v>
      </c>
      <c r="BA31" s="157">
        <f>-DD_projekcie!BB3</f>
        <v>0</v>
      </c>
      <c r="BB31" s="157">
        <f>-DD_projekcie!BC3</f>
        <v>0</v>
      </c>
    </row>
    <row r="32" spans="1:54" x14ac:dyDescent="0.25">
      <c r="A32" s="202">
        <v>637004</v>
      </c>
      <c r="B32" s="166" t="s">
        <v>412</v>
      </c>
      <c r="C32" s="157">
        <f>-EKRK_rozdelenie_podpoloziek!D18</f>
        <v>-331190</v>
      </c>
      <c r="D32" s="157">
        <f>-EKRK_rozdelenie_podpoloziek!E18</f>
        <v>-337660</v>
      </c>
      <c r="E32" s="157">
        <f>-EKRK_rozdelenie_podpoloziek!F18</f>
        <v>-340164.80209549266</v>
      </c>
      <c r="F32" s="157">
        <f>-EKRK_rozdelenie_podpoloziek!G18</f>
        <v>-347102.99715135957</v>
      </c>
      <c r="G32" s="157">
        <f>-EKRK_rozdelenie_podpoloziek!H18</f>
        <v>-354867.09803726932</v>
      </c>
      <c r="H32" s="157">
        <f>-EKRK_rozdelenie_podpoloziek!I18</f>
        <v>-363089.08092357224</v>
      </c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</row>
    <row r="33" spans="1:54" x14ac:dyDescent="0.25">
      <c r="A33" s="202" t="s">
        <v>649</v>
      </c>
      <c r="B33" s="166" t="s">
        <v>651</v>
      </c>
      <c r="C33" s="157">
        <f>-DD_projekcie!D4</f>
        <v>-5788</v>
      </c>
      <c r="D33" s="157">
        <f>-DD_projekcie!E4</f>
        <v>-5788</v>
      </c>
      <c r="E33" s="157">
        <f>-DD_projekcie!F4</f>
        <v>-5788</v>
      </c>
      <c r="F33" s="157">
        <f>-DD_projekcie!G4</f>
        <v>-5788</v>
      </c>
      <c r="G33" s="157">
        <f>-DD_projekcie!H4</f>
        <v>-5788</v>
      </c>
      <c r="H33" s="157">
        <f>-DD_projekcie!I4</f>
        <v>-5788</v>
      </c>
      <c r="I33" s="157">
        <f>-DD_projekcie!J4</f>
        <v>-5788</v>
      </c>
      <c r="J33" s="157">
        <f>-DD_projekcie!K4</f>
        <v>-5788</v>
      </c>
      <c r="K33" s="157">
        <f>-DD_projekcie!L4</f>
        <v>-5788</v>
      </c>
      <c r="L33" s="157">
        <f>-DD_projekcie!M4</f>
        <v>-5788</v>
      </c>
      <c r="M33" s="157">
        <f>-DD_projekcie!N4</f>
        <v>-5788</v>
      </c>
      <c r="N33" s="157">
        <f>-DD_projekcie!O4</f>
        <v>-5788</v>
      </c>
      <c r="O33" s="157">
        <f>-DD_projekcie!P4</f>
        <v>-5788</v>
      </c>
      <c r="P33" s="157">
        <f>-DD_projekcie!Q4</f>
        <v>-5788</v>
      </c>
      <c r="Q33" s="157">
        <f>-DD_projekcie!R4</f>
        <v>-5788</v>
      </c>
      <c r="R33" s="157">
        <f>-DD_projekcie!S4</f>
        <v>-5788</v>
      </c>
      <c r="S33" s="157">
        <f>-DD_projekcie!T4</f>
        <v>-5788</v>
      </c>
      <c r="T33" s="157">
        <f>-DD_projekcie!U4</f>
        <v>-5788</v>
      </c>
      <c r="U33" s="157">
        <f>-DD_projekcie!V4</f>
        <v>-5788</v>
      </c>
      <c r="V33" s="157">
        <f>-DD_projekcie!W4</f>
        <v>-5788</v>
      </c>
      <c r="W33" s="157">
        <f>-DD_projekcie!X4</f>
        <v>-5788</v>
      </c>
      <c r="X33" s="157">
        <f>-DD_projekcie!Y4</f>
        <v>-5788</v>
      </c>
      <c r="Y33" s="157">
        <f>-DD_projekcie!Z4</f>
        <v>-5788</v>
      </c>
      <c r="Z33" s="157">
        <f>-DD_projekcie!AA4</f>
        <v>-5788</v>
      </c>
      <c r="AA33" s="157">
        <f>-DD_projekcie!AB4</f>
        <v>-5788</v>
      </c>
      <c r="AB33" s="157">
        <f>-DD_projekcie!AC4</f>
        <v>-5788</v>
      </c>
      <c r="AC33" s="157">
        <f>-DD_projekcie!AD4</f>
        <v>-5788</v>
      </c>
      <c r="AD33" s="157">
        <f>-DD_projekcie!AE4</f>
        <v>-5788</v>
      </c>
      <c r="AE33" s="157">
        <f>-DD_projekcie!AF4</f>
        <v>-5788</v>
      </c>
      <c r="AF33" s="157">
        <f>-DD_projekcie!AG4</f>
        <v>-5788</v>
      </c>
      <c r="AG33" s="157">
        <f>-DD_projekcie!AH4</f>
        <v>0</v>
      </c>
      <c r="AH33" s="157">
        <f>-DD_projekcie!AI4</f>
        <v>0</v>
      </c>
      <c r="AI33" s="157">
        <f>-DD_projekcie!AJ4</f>
        <v>0</v>
      </c>
      <c r="AJ33" s="157">
        <f>-DD_projekcie!AK4</f>
        <v>0</v>
      </c>
      <c r="AK33" s="157">
        <f>-DD_projekcie!AL4</f>
        <v>0</v>
      </c>
      <c r="AL33" s="157">
        <f>-DD_projekcie!AM4</f>
        <v>0</v>
      </c>
      <c r="AM33" s="157">
        <f>-DD_projekcie!AN4</f>
        <v>0</v>
      </c>
      <c r="AN33" s="157">
        <f>-DD_projekcie!AO4</f>
        <v>0</v>
      </c>
      <c r="AO33" s="157">
        <f>-DD_projekcie!AP4</f>
        <v>0</v>
      </c>
      <c r="AP33" s="157">
        <f>-DD_projekcie!AQ4</f>
        <v>0</v>
      </c>
      <c r="AQ33" s="157">
        <f>-DD_projekcie!AR4</f>
        <v>0</v>
      </c>
      <c r="AR33" s="157">
        <f>-DD_projekcie!AS4</f>
        <v>0</v>
      </c>
      <c r="AS33" s="157">
        <f>-DD_projekcie!AT4</f>
        <v>0</v>
      </c>
      <c r="AT33" s="157">
        <f>-DD_projekcie!AU4</f>
        <v>0</v>
      </c>
      <c r="AU33" s="157">
        <f>-DD_projekcie!AV4</f>
        <v>0</v>
      </c>
      <c r="AV33" s="157">
        <f>-DD_projekcie!AW4</f>
        <v>0</v>
      </c>
      <c r="AW33" s="157">
        <f>-DD_projekcie!AX4</f>
        <v>0</v>
      </c>
      <c r="AX33" s="157">
        <f>-DD_projekcie!AY4</f>
        <v>0</v>
      </c>
      <c r="AY33" s="157">
        <f>-DD_projekcie!AZ4</f>
        <v>0</v>
      </c>
      <c r="AZ33" s="157">
        <f>-DD_projekcie!BA4</f>
        <v>0</v>
      </c>
      <c r="BA33" s="157">
        <f>-DD_projekcie!BB4</f>
        <v>0</v>
      </c>
      <c r="BB33" s="157">
        <f>-DD_projekcie!BC4</f>
        <v>0</v>
      </c>
    </row>
    <row r="34" spans="1:54" x14ac:dyDescent="0.25">
      <c r="A34" s="202">
        <v>637008</v>
      </c>
      <c r="B34" s="166" t="s">
        <v>415</v>
      </c>
      <c r="C34" s="157">
        <f>-EKRK_rozdelenie_podpoloziek!D21</f>
        <v>-31008.017360000002</v>
      </c>
      <c r="D34" s="157">
        <f>-EKRK_rozdelenie_podpoloziek!E21</f>
        <v>-29191</v>
      </c>
      <c r="E34" s="157">
        <f>-EKRK_rozdelenie_podpoloziek!F21</f>
        <v>-9993.9059149638415</v>
      </c>
      <c r="F34" s="157">
        <f>-EKRK_rozdelenie_podpoloziek!G21</f>
        <v>-10201.275768893478</v>
      </c>
      <c r="G34" s="157">
        <f>-EKRK_rozdelenie_podpoloziek!H21</f>
        <v>-10433.330424843893</v>
      </c>
      <c r="H34" s="157">
        <f>-EKRK_rozdelenie_podpoloziek!I21</f>
        <v>-10679.0703293026</v>
      </c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</row>
    <row r="35" spans="1:54" x14ac:dyDescent="0.25">
      <c r="A35" s="202">
        <v>637011</v>
      </c>
      <c r="B35" s="166" t="s">
        <v>418</v>
      </c>
      <c r="C35" s="157">
        <f>-EKRK_rozdelenie_podpoloziek!D24</f>
        <v>-25257</v>
      </c>
      <c r="D35" s="157">
        <f>-EKRK_rozdelenie_podpoloziek!E24</f>
        <v>-22679</v>
      </c>
      <c r="E35" s="157">
        <f>-EKRK_rozdelenie_podpoloziek!F24</f>
        <v>-23297.305790371469</v>
      </c>
      <c r="F35" s="157">
        <f>-EKRK_rozdelenie_podpoloziek!G24</f>
        <v>-24158.771642411964</v>
      </c>
      <c r="G35" s="157">
        <f>-EKRK_rozdelenie_podpoloziek!H24</f>
        <v>-25191.156234416107</v>
      </c>
      <c r="H35" s="157">
        <f>-EKRK_rozdelenie_podpoloziek!I24</f>
        <v>-26352.327756174756</v>
      </c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</row>
    <row r="36" spans="1:54" x14ac:dyDescent="0.25">
      <c r="A36" s="202">
        <v>637012</v>
      </c>
      <c r="B36" s="166" t="s">
        <v>161</v>
      </c>
      <c r="C36" s="157">
        <f>-EKRK_rozdelenie_podpoloziek!D27</f>
        <v>-191853</v>
      </c>
      <c r="D36" s="157">
        <f>-EKRK_rozdelenie_podpoloziek!E27</f>
        <v>-168125</v>
      </c>
      <c r="E36" s="157">
        <f>-EKRK_rozdelenie_podpoloziek!F27</f>
        <v>-168125</v>
      </c>
      <c r="F36" s="157">
        <f>-EKRK_rozdelenie_podpoloziek!G27</f>
        <v>-168125</v>
      </c>
      <c r="G36" s="157">
        <f>-EKRK_rozdelenie_podpoloziek!H27</f>
        <v>-168125</v>
      </c>
      <c r="H36" s="157">
        <f>-EKRK_rozdelenie_podpoloziek!I27</f>
        <v>-168125</v>
      </c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</row>
    <row r="37" spans="1:54" x14ac:dyDescent="0.25">
      <c r="A37" s="202">
        <v>637034</v>
      </c>
      <c r="B37" s="166" t="s">
        <v>143</v>
      </c>
      <c r="C37" s="157">
        <f>-DD_projekcie!D38</f>
        <v>-3570710.1338200001</v>
      </c>
      <c r="D37" s="157">
        <f>-DD_projekcie!E38</f>
        <v>-3776722.9737399998</v>
      </c>
      <c r="E37" s="157">
        <f>-DD_projekcie!F38</f>
        <v>-3918510.6361400788</v>
      </c>
      <c r="F37" s="157">
        <f>-DD_projekcie!G38</f>
        <v>-4127617.659390281</v>
      </c>
      <c r="G37" s="157">
        <f>-DD_projekcie!H38</f>
        <v>-4376031.156885663</v>
      </c>
      <c r="H37" s="157">
        <f>-DD_projekcie!I38</f>
        <v>-4658650.6677112412</v>
      </c>
      <c r="I37" s="157">
        <f>-DD_projekcie!J38</f>
        <v>-4937231.1014394267</v>
      </c>
      <c r="J37" s="157">
        <f>-DD_projekcie!K38</f>
        <v>-5232144.2535680057</v>
      </c>
      <c r="K37" s="157">
        <f>-DD_projekcie!L38</f>
        <v>-5542224.7853955766</v>
      </c>
      <c r="L37" s="157">
        <f>-DD_projekcie!M38</f>
        <v>-5867245.3182542659</v>
      </c>
      <c r="M37" s="157">
        <f>-DD_projekcie!N38</f>
        <v>-6202124.0891489033</v>
      </c>
      <c r="N37" s="157">
        <f>-DD_projekcie!O38</f>
        <v>-6548773.0800898112</v>
      </c>
      <c r="O37" s="157">
        <f>-DD_projekcie!P38</f>
        <v>-6913071.8341950616</v>
      </c>
      <c r="P37" s="157">
        <f>-DD_projekcie!Q38</f>
        <v>-7290982.2677762602</v>
      </c>
      <c r="Q37" s="157">
        <f>-DD_projekcie!R38</f>
        <v>-7686966.6293984232</v>
      </c>
      <c r="R37" s="157">
        <f>-DD_projekcie!S38</f>
        <v>-8082165.2886134405</v>
      </c>
      <c r="S37" s="157">
        <f>-DD_projekcie!T38</f>
        <v>-8482002.07807732</v>
      </c>
      <c r="T37" s="157">
        <f>-DD_projekcie!U38</f>
        <v>-8883125.2062492594</v>
      </c>
      <c r="U37" s="157">
        <f>-DD_projekcie!V38</f>
        <v>-9272676.0096976757</v>
      </c>
      <c r="V37" s="157">
        <f>-DD_projekcie!W38</f>
        <v>-9651380.1870388351</v>
      </c>
      <c r="W37" s="157">
        <f>-DD_projekcie!X38</f>
        <v>-10032855.307792172</v>
      </c>
      <c r="X37" s="157">
        <f>-DD_projekcie!Y38</f>
        <v>-10438684.977114854</v>
      </c>
      <c r="Y37" s="157">
        <f>-DD_projekcie!Z38</f>
        <v>-10850423.029037526</v>
      </c>
      <c r="Z37" s="157">
        <f>-DD_projekcie!AA38</f>
        <v>-11265438.024358217</v>
      </c>
      <c r="AA37" s="157">
        <f>-DD_projekcie!AB38</f>
        <v>-11673334.209497029</v>
      </c>
      <c r="AB37" s="157">
        <f>-DD_projekcie!AC38</f>
        <v>-12091286.966521448</v>
      </c>
      <c r="AC37" s="157">
        <f>-DD_projekcie!AD38</f>
        <v>-12521605.907066202</v>
      </c>
      <c r="AD37" s="157">
        <f>-DD_projekcie!AE38</f>
        <v>-12967328.682313206</v>
      </c>
      <c r="AE37" s="157">
        <f>-DD_projekcie!AF38</f>
        <v>-13424339.716655323</v>
      </c>
      <c r="AF37" s="157">
        <f>-DD_projekcie!AG38</f>
        <v>-13894296.049757784</v>
      </c>
      <c r="AG37" s="157">
        <f>-DD_projekcie!AH38</f>
        <v>-14395756.971970992</v>
      </c>
      <c r="AH37" s="157">
        <f>-DD_projekcie!AI38</f>
        <v>-14910876.592836963</v>
      </c>
      <c r="AI37" s="157">
        <f>-DD_projekcie!AJ38</f>
        <v>-15420708.842265222</v>
      </c>
      <c r="AJ37" s="157">
        <f>-DD_projekcie!AK38</f>
        <v>-15933311.514947405</v>
      </c>
      <c r="AK37" s="157">
        <f>-DD_projekcie!AL38</f>
        <v>-16458845.274696615</v>
      </c>
      <c r="AL37" s="157">
        <f>-DD_projekcie!AM38</f>
        <v>-17008109.697331615</v>
      </c>
      <c r="AM37" s="157">
        <f>-DD_projekcie!AN38</f>
        <v>-17580502.242884677</v>
      </c>
      <c r="AN37" s="157">
        <f>-DD_projekcie!AO38</f>
        <v>-18198671.545994345</v>
      </c>
      <c r="AO37" s="157">
        <f>-DD_projekcie!AP38</f>
        <v>-18839056.100570455</v>
      </c>
      <c r="AP37" s="157">
        <f>-DD_projekcie!AQ38</f>
        <v>-19496688.027921531</v>
      </c>
      <c r="AQ37" s="157">
        <f>-DD_projekcie!AR38</f>
        <v>-20173320.92879054</v>
      </c>
      <c r="AR37" s="157">
        <f>-DD_projekcie!AS38</f>
        <v>-20890201.469190374</v>
      </c>
      <c r="AS37" s="157">
        <f>-DD_projekcie!AT38</f>
        <v>-21637978.708512332</v>
      </c>
      <c r="AT37" s="157">
        <f>-DD_projekcie!AU38</f>
        <v>-22407346.081782315</v>
      </c>
      <c r="AU37" s="157">
        <f>-DD_projekcie!AV38</f>
        <v>-23193038.965255674</v>
      </c>
      <c r="AV37" s="157">
        <f>-DD_projekcie!AW38</f>
        <v>-23992561.102491446</v>
      </c>
      <c r="AW37" s="157">
        <f>-DD_projekcie!AX38</f>
        <v>-24827226.57793865</v>
      </c>
      <c r="AX37" s="157">
        <f>-DD_projekcie!AY38</f>
        <v>-25650744.135960992</v>
      </c>
      <c r="AY37" s="157">
        <f>-DD_projekcie!AZ38</f>
        <v>-26450493.169025797</v>
      </c>
      <c r="AZ37" s="157">
        <f>-DD_projekcie!BA38</f>
        <v>-27244163.6682177</v>
      </c>
      <c r="BA37" s="157">
        <f>-DD_projekcie!BB38</f>
        <v>-28077028.279050712</v>
      </c>
      <c r="BB37" s="157">
        <f>-DD_projekcie!BC38</f>
        <v>-28932363.332618132</v>
      </c>
    </row>
    <row r="38" spans="1:54" x14ac:dyDescent="0.25">
      <c r="A38" s="202">
        <v>642008</v>
      </c>
      <c r="B38" s="166" t="s">
        <v>163</v>
      </c>
      <c r="C38" s="157">
        <f>C39</f>
        <v>-115682.5</v>
      </c>
      <c r="D38" s="157">
        <f t="shared" ref="D38:H38" si="1">D39</f>
        <v>-113526.85777757107</v>
      </c>
      <c r="E38" s="157">
        <f t="shared" si="1"/>
        <v>-99176.041418675159</v>
      </c>
      <c r="F38" s="157">
        <f t="shared" si="1"/>
        <v>-102820.25388163206</v>
      </c>
      <c r="G38" s="157">
        <f t="shared" si="1"/>
        <v>-105608.2221505355</v>
      </c>
      <c r="H38" s="157">
        <f t="shared" si="1"/>
        <v>-108229.04238717613</v>
      </c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</row>
    <row r="39" spans="1:54" x14ac:dyDescent="0.25">
      <c r="A39" s="202" t="s">
        <v>199</v>
      </c>
      <c r="B39" s="166" t="s">
        <v>164</v>
      </c>
      <c r="C39" s="157">
        <f>-DD_projekcie!D31</f>
        <v>-115682.5</v>
      </c>
      <c r="D39" s="157">
        <f>-DD_projekcie!E31</f>
        <v>-113526.85777757107</v>
      </c>
      <c r="E39" s="157">
        <f>-DD_projekcie!F31</f>
        <v>-99176.041418675159</v>
      </c>
      <c r="F39" s="157">
        <f>-DD_projekcie!G31</f>
        <v>-102820.25388163206</v>
      </c>
      <c r="G39" s="157">
        <f>-DD_projekcie!H31</f>
        <v>-105608.2221505355</v>
      </c>
      <c r="H39" s="157">
        <f>-DD_projekcie!I31</f>
        <v>-108229.04238717613</v>
      </c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</row>
    <row r="40" spans="1:54" x14ac:dyDescent="0.25">
      <c r="A40" s="202">
        <v>642015</v>
      </c>
      <c r="B40" s="166" t="s">
        <v>167</v>
      </c>
      <c r="C40" s="157">
        <f>-EKRK_rozdelenie_podpoloziek!D36</f>
        <v>-428160.538</v>
      </c>
      <c r="D40" s="157">
        <f>-EKRK_rozdelenie_podpoloziek!E36</f>
        <v>-399434.41599999997</v>
      </c>
      <c r="E40" s="157">
        <f>-EKRK_rozdelenie_podpoloziek!F36</f>
        <v>-416956.55690834683</v>
      </c>
      <c r="F40" s="157">
        <f>-EKRK_rozdelenie_podpoloziek!G36</f>
        <v>-432880.27446694346</v>
      </c>
      <c r="G40" s="157">
        <f>-EKRK_rozdelenie_podpoloziek!H36</f>
        <v>-451982.34765266033</v>
      </c>
      <c r="H40" s="157">
        <f>-EKRK_rozdelenie_podpoloziek!I36</f>
        <v>-473931.12997611868</v>
      </c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</row>
    <row r="41" spans="1:54" x14ac:dyDescent="0.25">
      <c r="A41" s="202">
        <v>642016</v>
      </c>
      <c r="B41" s="166" t="s">
        <v>137</v>
      </c>
      <c r="C41" s="157">
        <f>-DD_projekcie!D13</f>
        <v>0</v>
      </c>
      <c r="D41" s="157">
        <f>-DD_projekcie!E13</f>
        <v>-4992567</v>
      </c>
      <c r="E41" s="157">
        <f>-DD_projekcie!F13</f>
        <v>-5282517.8918284886</v>
      </c>
      <c r="F41" s="157">
        <f>-DD_projekcie!G13</f>
        <v>-5493762.2917383108</v>
      </c>
      <c r="G41" s="157">
        <f>-DD_projekcie!H13</f>
        <v>-5733734.9883155823</v>
      </c>
      <c r="H41" s="157">
        <f>-DD_projekcie!I13</f>
        <v>-6029601.5804963121</v>
      </c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</row>
    <row r="42" spans="1:54" x14ac:dyDescent="0.25">
      <c r="A42" s="202">
        <v>642018</v>
      </c>
      <c r="B42" s="166" t="s">
        <v>173</v>
      </c>
      <c r="C42" s="157">
        <f>-EKRK_rozdelenie_podpoloziek!D41</f>
        <v>-114529</v>
      </c>
      <c r="D42" s="157">
        <f>-EKRK_rozdelenie_podpoloziek!E41</f>
        <v>-125366</v>
      </c>
      <c r="E42" s="157">
        <f>-EKRK_rozdelenie_podpoloziek!F41</f>
        <v>-125567.46941436405</v>
      </c>
      <c r="F42" s="157">
        <f>-EKRK_rozdelenie_podpoloziek!G41</f>
        <v>-126963.59143023178</v>
      </c>
      <c r="G42" s="157">
        <f>-EKRK_rozdelenie_podpoloziek!H41</f>
        <v>-128204.2527381231</v>
      </c>
      <c r="H42" s="157">
        <f>-EKRK_rozdelenie_podpoloziek!I41</f>
        <v>-133939.73876642325</v>
      </c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</row>
    <row r="43" spans="1:54" x14ac:dyDescent="0.25">
      <c r="A43" s="203" t="s">
        <v>205</v>
      </c>
      <c r="B43" s="166" t="s">
        <v>174</v>
      </c>
      <c r="C43" s="157">
        <f>-DD_projekcie!D15</f>
        <v>0</v>
      </c>
      <c r="D43" s="157">
        <f>-DD_projekcie!E15</f>
        <v>-70600</v>
      </c>
      <c r="E43" s="157">
        <f>-DD_projekcie!F15</f>
        <v>-70801.469414364052</v>
      </c>
      <c r="F43" s="157">
        <f>-DD_projekcie!G15</f>
        <v>-72197.591430231783</v>
      </c>
      <c r="G43" s="157">
        <f>-DD_projekcie!H15</f>
        <v>-73438.252738123105</v>
      </c>
      <c r="H43" s="157">
        <f>-DD_projekcie!I15</f>
        <v>-79173.738766423252</v>
      </c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</row>
    <row r="44" spans="1:54" x14ac:dyDescent="0.25">
      <c r="A44" s="202">
        <v>642020</v>
      </c>
      <c r="B44" s="166" t="s">
        <v>140</v>
      </c>
      <c r="C44" s="157">
        <f>-DD_projekcie!D14</f>
        <v>0</v>
      </c>
      <c r="D44" s="157">
        <f>-DD_projekcie!E14</f>
        <v>-901256</v>
      </c>
      <c r="E44" s="157">
        <f>-DD_projekcie!F14</f>
        <v>-858272.70147294772</v>
      </c>
      <c r="F44" s="157">
        <f>-DD_projekcie!G14</f>
        <v>-894640.98944481905</v>
      </c>
      <c r="G44" s="157">
        <f>-DD_projekcie!H14</f>
        <v>-961247.81734128331</v>
      </c>
      <c r="H44" s="157">
        <f>-DD_projekcie!I14</f>
        <v>-1006562.6569834325</v>
      </c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</row>
    <row r="45" spans="1:54" x14ac:dyDescent="0.25">
      <c r="A45" s="202">
        <v>642026</v>
      </c>
      <c r="B45" s="166" t="s">
        <v>183</v>
      </c>
      <c r="C45" s="157">
        <f>-EKRK_rozdelenie_podpoloziek!D44</f>
        <v>-320901</v>
      </c>
      <c r="D45" s="157">
        <f>-EKRK_rozdelenie_podpoloziek!E44</f>
        <v>-287106</v>
      </c>
      <c r="E45" s="157">
        <f>-EKRK_rozdelenie_podpoloziek!F44</f>
        <v>-286187.11895476078</v>
      </c>
      <c r="F45" s="157">
        <f>-EKRK_rozdelenie_podpoloziek!G44</f>
        <v>-276012.59106559173</v>
      </c>
      <c r="G45" s="157">
        <f>-EKRK_rozdelenie_podpoloziek!H44</f>
        <v>-266626.73899383971</v>
      </c>
      <c r="H45" s="157">
        <f>-EKRK_rozdelenie_podpoloziek!I44</f>
        <v>-255159.51701157761</v>
      </c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</row>
    <row r="46" spans="1:54" x14ac:dyDescent="0.25">
      <c r="A46" s="202" t="s">
        <v>216</v>
      </c>
      <c r="B46" s="166" t="s">
        <v>184</v>
      </c>
      <c r="C46" s="157">
        <f>-DD_projekcie!D16</f>
        <v>0</v>
      </c>
      <c r="D46" s="157">
        <f>-DD_projekcie!E16</f>
        <v>-16300</v>
      </c>
      <c r="E46" s="157">
        <f>-DD_projekcie!F16</f>
        <v>-18869.294025850479</v>
      </c>
      <c r="F46" s="157">
        <f>-DD_projekcie!G16</f>
        <v>-22199.518091457994</v>
      </c>
      <c r="G46" s="157">
        <f>-DD_projekcie!H16</f>
        <v>-26114.540021317807</v>
      </c>
      <c r="H46" s="157">
        <f>-DD_projekcie!I16</f>
        <v>-30251.830220533688</v>
      </c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</row>
    <row r="47" spans="1:54" x14ac:dyDescent="0.25">
      <c r="A47" s="202">
        <v>642010</v>
      </c>
      <c r="B47" s="166" t="s">
        <v>963</v>
      </c>
      <c r="C47" s="157">
        <f>-EKRK_rozdelenie_podpoloziek!D33</f>
        <v>-22849.65739</v>
      </c>
      <c r="D47" s="157">
        <f>-EKRK_rozdelenie_podpoloziek!E33</f>
        <v>-7534.4414500000003</v>
      </c>
      <c r="E47" s="157">
        <f>-EKRK_rozdelenie_podpoloziek!F33</f>
        <v>-7722.6247040979861</v>
      </c>
      <c r="F47" s="157">
        <f>-EKRK_rozdelenie_podpoloziek!G33</f>
        <v>-7946.4757970155306</v>
      </c>
      <c r="G47" s="157">
        <f>-EKRK_rozdelenie_podpoloziek!H33</f>
        <v>-25819.842860817083</v>
      </c>
      <c r="H47" s="157">
        <f>-EKRK_rozdelenie_podpoloziek!I33</f>
        <v>-8592.4490632885609</v>
      </c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</row>
    <row r="48" spans="1:54" x14ac:dyDescent="0.25">
      <c r="A48" s="202">
        <v>642031</v>
      </c>
      <c r="B48" s="166" t="s">
        <v>176</v>
      </c>
      <c r="C48" s="157">
        <f>-EKRK_rozdelenie_podpoloziek!D47</f>
        <v>-1599294.03957</v>
      </c>
      <c r="D48" s="157">
        <f>-EKRK_rozdelenie_podpoloziek!E47</f>
        <v>-1541466.4968100002</v>
      </c>
      <c r="E48" s="157">
        <f>-EKRK_rozdelenie_podpoloziek!F47</f>
        <v>-1501016.4698074653</v>
      </c>
      <c r="F48" s="157">
        <f>-EKRK_rozdelenie_podpoloziek!G47</f>
        <v>-1541161.3578692703</v>
      </c>
      <c r="G48" s="157">
        <f>-EKRK_rozdelenie_podpoloziek!H47</f>
        <v>-1588076.8144649526</v>
      </c>
      <c r="H48" s="157">
        <f>-EKRK_rozdelenie_podpoloziek!I47</f>
        <v>-1648535.9951985604</v>
      </c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</row>
    <row r="49" spans="1:54" x14ac:dyDescent="0.25">
      <c r="A49" s="202">
        <v>644001</v>
      </c>
      <c r="B49" s="166" t="s">
        <v>180</v>
      </c>
      <c r="C49" s="157">
        <f>-EKRK_rozdelenie_podpoloziek!D51</f>
        <v>-464713</v>
      </c>
      <c r="D49" s="157">
        <f>-EKRK_rozdelenie_podpoloziek!E51</f>
        <v>-551783</v>
      </c>
      <c r="E49" s="157">
        <f>-EKRK_rozdelenie_podpoloziek!F51</f>
        <v>-553636.83391548705</v>
      </c>
      <c r="F49" s="157">
        <f>-EKRK_rozdelenie_podpoloziek!G51</f>
        <v>-575994.99620368984</v>
      </c>
      <c r="G49" s="157">
        <f>-EKRK_rozdelenie_podpoloziek!H51</f>
        <v>-592685.95903400891</v>
      </c>
      <c r="H49" s="157">
        <f>-EKRK_rozdelenie_podpoloziek!I51</f>
        <v>-608504.95237392548</v>
      </c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</row>
    <row r="50" spans="1:54" x14ac:dyDescent="0.25">
      <c r="A50" s="203" t="s">
        <v>210</v>
      </c>
      <c r="B50" s="166" t="s">
        <v>181</v>
      </c>
      <c r="C50" s="157">
        <f>-DD_projekcie!D8</f>
        <v>0</v>
      </c>
      <c r="D50" s="157">
        <f>-DD_projekcie!E8</f>
        <v>-59221.51491611667</v>
      </c>
      <c r="E50" s="157">
        <f>-DD_projekcie!F8</f>
        <v>-58115.207666514005</v>
      </c>
      <c r="F50" s="157">
        <f>-DD_projekcie!G8</f>
        <v>-70188.61567286255</v>
      </c>
      <c r="G50" s="157">
        <f>-DD_projekcie!H8</f>
        <v>-75370.05140472723</v>
      </c>
      <c r="H50" s="157">
        <f>-DD_projekcie!I8</f>
        <v>-79000.264638540713</v>
      </c>
      <c r="I50" s="157">
        <f>-DD_projekcie!J8</f>
        <v>-78838.299624781255</v>
      </c>
      <c r="J50" s="157">
        <f>-DD_projekcie!K8</f>
        <v>-64973.45025927775</v>
      </c>
      <c r="K50" s="157">
        <f>-DD_projekcie!L8</f>
        <v>-62542.062346138271</v>
      </c>
      <c r="L50" s="157">
        <f>-DD_projekcie!M8</f>
        <v>-59204.537207229012</v>
      </c>
      <c r="M50" s="157">
        <f>-DD_projekcie!N8</f>
        <v>-58125.133823683333</v>
      </c>
      <c r="N50" s="157">
        <f>-DD_projekcie!O8</f>
        <v>-57666.823295770904</v>
      </c>
      <c r="O50" s="157">
        <f>-DD_projekcie!P8</f>
        <v>-58168.580287400415</v>
      </c>
      <c r="P50" s="157">
        <f>-DD_projekcie!Q8</f>
        <v>-56593.375121649493</v>
      </c>
      <c r="Q50" s="157">
        <f>-DD_projekcie!R8</f>
        <v>-52908.065076090323</v>
      </c>
      <c r="R50" s="157">
        <f>-DD_projekcie!S8</f>
        <v>-53989.868206390427</v>
      </c>
      <c r="S50" s="157">
        <f>-DD_projekcie!T8</f>
        <v>-57266.873681307501</v>
      </c>
      <c r="T50" s="157">
        <f>-DD_projekcie!U8</f>
        <v>-59515.794155593248</v>
      </c>
      <c r="U50" s="157">
        <f>-DD_projekcie!V8</f>
        <v>-67947.166599904915</v>
      </c>
      <c r="V50" s="157">
        <f>-DD_projekcie!W8</f>
        <v>-105872.23871692477</v>
      </c>
      <c r="W50" s="157">
        <f>-DD_projekcie!X8</f>
        <v>-120410.02786093764</v>
      </c>
      <c r="X50" s="157">
        <f>-DD_projekcie!Y8</f>
        <v>-124271.04140369309</v>
      </c>
      <c r="Y50" s="157">
        <f>-DD_projekcie!Z8</f>
        <v>-82596.328653255157</v>
      </c>
      <c r="Z50" s="157">
        <f>-DD_projekcie!AA8</f>
        <v>-86925.137737956349</v>
      </c>
      <c r="AA50" s="157">
        <f>-DD_projekcie!AB8</f>
        <v>-96913.902535834495</v>
      </c>
      <c r="AB50" s="157">
        <f>-DD_projekcie!AC8</f>
        <v>-103235.78476988942</v>
      </c>
      <c r="AC50" s="157">
        <f>-DD_projekcie!AD8</f>
        <v>-105063.26806691063</v>
      </c>
      <c r="AD50" s="157">
        <f>-DD_projekcie!AE8</f>
        <v>-99464.957431322735</v>
      </c>
      <c r="AE50" s="157">
        <f>-DD_projekcie!AF8</f>
        <v>-94676.842858347372</v>
      </c>
      <c r="AF50" s="157">
        <f>-DD_projekcie!AG8</f>
        <v>-105609.52284874399</v>
      </c>
      <c r="AG50" s="157">
        <f>-DD_projekcie!AH8</f>
        <v>-104002.73431314225</v>
      </c>
      <c r="AH50" s="157">
        <f>-DD_projekcie!AI8</f>
        <v>-116319.33359423449</v>
      </c>
      <c r="AI50" s="157">
        <f>-DD_projekcie!AJ8</f>
        <v>-102610.07677075802</v>
      </c>
      <c r="AJ50" s="157">
        <f>-DD_projekcie!AK8</f>
        <v>-95699.108260677051</v>
      </c>
      <c r="AK50" s="157">
        <f>-DD_projekcie!AL8</f>
        <v>-69300.815892938612</v>
      </c>
      <c r="AL50" s="157">
        <f>-DD_projekcie!AM8</f>
        <v>-120491.39477290922</v>
      </c>
      <c r="AM50" s="157">
        <f>-DD_projekcie!AN8</f>
        <v>-112317.8658575358</v>
      </c>
      <c r="AN50" s="157">
        <f>-DD_projekcie!AO8</f>
        <v>-116896.23458390267</v>
      </c>
      <c r="AO50" s="157">
        <f>-DD_projekcie!AP8</f>
        <v>-128266.61144532895</v>
      </c>
      <c r="AP50" s="157">
        <f>-DD_projekcie!AQ8</f>
        <v>-136330.18025399782</v>
      </c>
      <c r="AQ50" s="157">
        <f>-DD_projekcie!AR8</f>
        <v>-136092.93650996152</v>
      </c>
      <c r="AR50" s="157">
        <f>-DD_projekcie!AS8</f>
        <v>-134530.87270051843</v>
      </c>
      <c r="AS50" s="157">
        <f>-DD_projekcie!AT8</f>
        <v>-125200.66069626283</v>
      </c>
      <c r="AT50" s="157">
        <f>-DD_projekcie!AU8</f>
        <v>-138424.10179567503</v>
      </c>
      <c r="AU50" s="157">
        <f>-DD_projekcie!AV8</f>
        <v>-134960.6417422111</v>
      </c>
      <c r="AV50" s="157">
        <f>-DD_projekcie!AW8</f>
        <v>-150659.84357926954</v>
      </c>
      <c r="AW50" s="157">
        <f>-DD_projekcie!AX8</f>
        <v>-130588.39665290446</v>
      </c>
      <c r="AX50" s="157">
        <f>-DD_projekcie!AY8</f>
        <v>-121703.83268632556</v>
      </c>
      <c r="AY50" s="157">
        <f>-DD_projekcie!AZ8</f>
        <v>-150078.57901920858</v>
      </c>
      <c r="AZ50" s="157">
        <f>-DD_projekcie!BA8</f>
        <v>-164325.68458835155</v>
      </c>
      <c r="BA50" s="157">
        <f>-DD_projekcie!BB8</f>
        <v>-135767.77497359421</v>
      </c>
      <c r="BB50" s="157">
        <f>-DD_projekcie!BC8</f>
        <v>-124695.05927051383</v>
      </c>
    </row>
    <row r="51" spans="1:54" x14ac:dyDescent="0.25">
      <c r="A51" s="202">
        <v>644002</v>
      </c>
      <c r="B51" s="166" t="s">
        <v>182</v>
      </c>
      <c r="C51" s="157">
        <f>-EKRK_rozdelenie_podpoloziek!D55</f>
        <v>-141922</v>
      </c>
      <c r="D51" s="157">
        <f>-EKRK_rozdelenie_podpoloziek!E55</f>
        <v>-161737</v>
      </c>
      <c r="E51" s="157">
        <f>-EKRK_rozdelenie_podpoloziek!F55</f>
        <v>-162931.87802876128</v>
      </c>
      <c r="F51" s="157">
        <f>-EKRK_rozdelenie_podpoloziek!G55</f>
        <v>-166312.65427728652</v>
      </c>
      <c r="G51" s="157">
        <f>-EKRK_rozdelenie_podpoloziek!H55</f>
        <v>-170095.86989098444</v>
      </c>
      <c r="H51" s="157">
        <f>-EKRK_rozdelenie_podpoloziek!I55</f>
        <v>-174102.19779528416</v>
      </c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</row>
    <row r="52" spans="1:54" x14ac:dyDescent="0.25">
      <c r="A52" s="203">
        <v>651000</v>
      </c>
      <c r="B52" s="166" t="s">
        <v>673</v>
      </c>
      <c r="C52" s="157">
        <f>-uroky!M14*1000</f>
        <v>0</v>
      </c>
      <c r="D52" s="157">
        <f>-uroky!N14*1000</f>
        <v>-1413357.0068050039</v>
      </c>
      <c r="E52" s="157">
        <f ca="1">-uroky!O14*1000</f>
        <v>-1438231.9833565184</v>
      </c>
      <c r="F52" s="157">
        <f ca="1">-uroky!P14*1000</f>
        <v>-1494981.9640816208</v>
      </c>
      <c r="G52" s="157">
        <f ca="1">-uroky!Q14*1000</f>
        <v>-1598088.9665260646</v>
      </c>
      <c r="H52" s="157">
        <f ca="1">-uroky!R14*1000</f>
        <v>-1738683.6198952391</v>
      </c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</row>
    <row r="53" spans="1:54" x14ac:dyDescent="0.25">
      <c r="A53" s="200">
        <v>723001</v>
      </c>
      <c r="B53" s="201" t="s">
        <v>180</v>
      </c>
      <c r="C53" s="157">
        <f>-EKRK_rozdelenie_podpoloziek!D58</f>
        <v>-129136.13923999992</v>
      </c>
      <c r="D53" s="157">
        <f>-EKRK_rozdelenie_podpoloziek!E58</f>
        <v>-94182</v>
      </c>
      <c r="E53" s="157">
        <f>-EKRK_rozdelenie_podpoloziek!F58</f>
        <v>-97299.539084536227</v>
      </c>
      <c r="F53" s="157">
        <f>-EKRK_rozdelenie_podpoloziek!G58</f>
        <v>-101755.06210696237</v>
      </c>
      <c r="G53" s="157">
        <f>-EKRK_rozdelenie_podpoloziek!H58</f>
        <v>-106956.25033579464</v>
      </c>
      <c r="H53" s="157">
        <f>-EKRK_rozdelenie_podpoloziek!I58</f>
        <v>-113291.01256609241</v>
      </c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</row>
    <row r="54" spans="1:54" x14ac:dyDescent="0.25">
      <c r="A54" s="203" t="s">
        <v>214</v>
      </c>
      <c r="B54" s="166" t="s">
        <v>181</v>
      </c>
      <c r="C54" s="157">
        <f>-DD_projekcie!D9</f>
        <v>0</v>
      </c>
      <c r="D54" s="157">
        <f>-DD_projekcie!E9</f>
        <v>-58.545449999999995</v>
      </c>
      <c r="E54" s="157">
        <f>-DD_projekcie!F9</f>
        <v>-107.07909000000001</v>
      </c>
      <c r="F54" s="157">
        <f>-DD_projekcie!G9</f>
        <v>-263.99992205999996</v>
      </c>
      <c r="G54" s="157">
        <f>-DD_projekcie!H9</f>
        <v>-346.64049800999999</v>
      </c>
      <c r="H54" s="157">
        <f>-DD_projekcie!I9</f>
        <v>-809.38594155959993</v>
      </c>
      <c r="I54" s="157">
        <f>-DD_projekcie!J9</f>
        <v>-2574.9740519164798</v>
      </c>
      <c r="J54" s="157">
        <f>-DD_projekcie!K9</f>
        <v>-4250.7751290065853</v>
      </c>
      <c r="K54" s="157">
        <f>-DD_projekcie!L9</f>
        <v>-6873.1224028572105</v>
      </c>
      <c r="L54" s="157">
        <f>-DD_projekcie!M9</f>
        <v>-11141.269998637843</v>
      </c>
      <c r="M54" s="157">
        <f>-DD_projekcie!N9</f>
        <v>-14812.355741484986</v>
      </c>
      <c r="N54" s="157">
        <f>-DD_projekcie!O9</f>
        <v>-17571.23570016176</v>
      </c>
      <c r="O54" s="157">
        <f>-DD_projekcie!P9</f>
        <v>-21584.004017189589</v>
      </c>
      <c r="P54" s="157">
        <f>-DD_projekcie!Q9</f>
        <v>-27038.043292261864</v>
      </c>
      <c r="Q54" s="157">
        <f>-DD_projekcie!R9</f>
        <v>-30706.974454047126</v>
      </c>
      <c r="R54" s="157">
        <f>-DD_projekcie!S9</f>
        <v>-34687.980914011983</v>
      </c>
      <c r="S54" s="157">
        <f>-DD_projekcie!T9</f>
        <v>-38368.718048229333</v>
      </c>
      <c r="T54" s="157">
        <f>-DD_projekcie!U9</f>
        <v>-41803.702346782142</v>
      </c>
      <c r="U54" s="157">
        <f>-DD_projekcie!V9</f>
        <v>-46282.793880916877</v>
      </c>
      <c r="V54" s="157">
        <f>-DD_projekcie!W9</f>
        <v>-49967.248904389249</v>
      </c>
      <c r="W54" s="157">
        <f>-DD_projekcie!X9</f>
        <v>-55418.413571348508</v>
      </c>
      <c r="X54" s="157">
        <f>-DD_projekcie!Y9</f>
        <v>-61717.370165041983</v>
      </c>
      <c r="Y54" s="157">
        <f>-DD_projekcie!Z9</f>
        <v>-68459.590823534221</v>
      </c>
      <c r="Z54" s="157">
        <f>-DD_projekcie!AA9</f>
        <v>-77262.888529594318</v>
      </c>
      <c r="AA54" s="157">
        <f>-DD_projekcie!AB9</f>
        <v>-91375.975788977201</v>
      </c>
      <c r="AB54" s="157">
        <f>-DD_projekcie!AC9</f>
        <v>-102817.91373592065</v>
      </c>
      <c r="AC54" s="157">
        <f>-DD_projekcie!AD9</f>
        <v>-107859.21737415527</v>
      </c>
      <c r="AD54" s="157">
        <f>-DD_projekcie!AE9</f>
        <v>-111996.74223818359</v>
      </c>
      <c r="AE54" s="157">
        <f>-DD_projekcie!AF9</f>
        <v>-116469.50364413447</v>
      </c>
      <c r="AF54" s="157">
        <f>-DD_projekcie!AG9</f>
        <v>-124282.11531688595</v>
      </c>
      <c r="AG54" s="157">
        <f>-DD_projekcie!AH9</f>
        <v>-132109.97789180485</v>
      </c>
      <c r="AH54" s="157">
        <f>-DD_projekcie!AI9</f>
        <v>-141121.47552689011</v>
      </c>
      <c r="AI54" s="157">
        <f>-DD_projekcie!AJ9</f>
        <v>-149457.47501127928</v>
      </c>
      <c r="AJ54" s="157">
        <f>-DD_projekcie!AK9</f>
        <v>-157592.1211747005</v>
      </c>
      <c r="AK54" s="157">
        <f>-DD_projekcie!AL9</f>
        <v>-166367.35646394003</v>
      </c>
      <c r="AL54" s="157">
        <f>-DD_projekcie!AM9</f>
        <v>-176581.43988709789</v>
      </c>
      <c r="AM54" s="157">
        <f>-DD_projekcie!AN9</f>
        <v>-179879.76172840252</v>
      </c>
      <c r="AN54" s="157">
        <f>-DD_projekcie!AO9</f>
        <v>-181869.25734175043</v>
      </c>
      <c r="AO54" s="157">
        <f>-DD_projekcie!AP9</f>
        <v>-185195.96781185988</v>
      </c>
      <c r="AP54" s="157">
        <f>-DD_projekcie!AQ9</f>
        <v>-182297.54322617338</v>
      </c>
      <c r="AQ54" s="157">
        <f>-DD_projekcie!AR9</f>
        <v>-177609.61594287137</v>
      </c>
      <c r="AR54" s="157">
        <f>-DD_projekcie!AS9</f>
        <v>-179758.75960866449</v>
      </c>
      <c r="AS54" s="157">
        <f>-DD_projekcie!AT9</f>
        <v>-183353.93480083777</v>
      </c>
      <c r="AT54" s="157">
        <f>-DD_projekcie!AU9</f>
        <v>-187021.01349685452</v>
      </c>
      <c r="AU54" s="157">
        <f>-DD_projekcie!AV9</f>
        <v>-183954.34634319786</v>
      </c>
      <c r="AV54" s="157">
        <f>-DD_projekcie!AW9</f>
        <v>-180148.86271080642</v>
      </c>
      <c r="AW54" s="157">
        <f>-DD_projekcie!AX9</f>
        <v>-172305.74436231653</v>
      </c>
      <c r="AX54" s="157">
        <f>-DD_projekcie!AY9</f>
        <v>-167634.12295279116</v>
      </c>
      <c r="AY54" s="157">
        <f>-DD_projekcie!AZ9</f>
        <v>-158816.25043309585</v>
      </c>
      <c r="AZ54" s="157">
        <f>-DD_projekcie!BA9</f>
        <v>-147985.44960309964</v>
      </c>
      <c r="BA54" s="157">
        <f>-DD_projekcie!BB9</f>
        <v>-139269.38078922496</v>
      </c>
      <c r="BB54" s="157">
        <f>-DD_projekcie!BC9</f>
        <v>-135500.7380514153</v>
      </c>
    </row>
    <row r="55" spans="1:54" x14ac:dyDescent="0.25">
      <c r="A55" s="69"/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</row>
    <row r="56" spans="1:54" x14ac:dyDescent="0.25">
      <c r="A56" s="69"/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</row>
    <row r="57" spans="1:54" x14ac:dyDescent="0.25">
      <c r="A57" s="69"/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</row>
    <row r="58" spans="1:54" x14ac:dyDescent="0.25">
      <c r="A58" s="69"/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</row>
    <row r="59" spans="1:54" x14ac:dyDescent="0.25">
      <c r="A59" s="6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</row>
    <row r="60" spans="1:54" x14ac:dyDescent="0.25">
      <c r="A60" s="69"/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</row>
    <row r="61" spans="1:54" x14ac:dyDescent="0.25">
      <c r="A61" s="69"/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</row>
    <row r="62" spans="1:54" x14ac:dyDescent="0.25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</row>
    <row r="63" spans="1:54" x14ac:dyDescent="0.25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</row>
    <row r="64" spans="1:54" x14ac:dyDescent="0.25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</row>
    <row r="65" spans="1:54" x14ac:dyDescent="0.25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</row>
    <row r="66" spans="1:54" x14ac:dyDescent="0.25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</row>
    <row r="67" spans="1:54" x14ac:dyDescent="0.25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</row>
    <row r="68" spans="1:54" x14ac:dyDescent="0.25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</row>
    <row r="69" spans="1:54" x14ac:dyDescent="0.25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</row>
    <row r="70" spans="1:54" x14ac:dyDescent="0.25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</row>
    <row r="71" spans="1:54" x14ac:dyDescent="0.25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</row>
    <row r="72" spans="1:54" x14ac:dyDescent="0.25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</row>
    <row r="73" spans="1:54" x14ac:dyDescent="0.25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</row>
    <row r="74" spans="1:54" x14ac:dyDescent="0.25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</row>
    <row r="75" spans="1:54" x14ac:dyDescent="0.25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</row>
    <row r="76" spans="1:54" x14ac:dyDescent="0.25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</row>
    <row r="77" spans="1:54" x14ac:dyDescent="0.25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</row>
    <row r="78" spans="1:54" x14ac:dyDescent="0.25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</row>
    <row r="79" spans="1:54" x14ac:dyDescent="0.25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</row>
    <row r="80" spans="1:54" x14ac:dyDescent="0.25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</row>
    <row r="81" spans="1:54" x14ac:dyDescent="0.25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</row>
    <row r="82" spans="1:54" x14ac:dyDescent="0.25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</row>
    <row r="83" spans="1:54" x14ac:dyDescent="0.25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</row>
    <row r="84" spans="1:54" x14ac:dyDescent="0.25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</row>
    <row r="85" spans="1:54" x14ac:dyDescent="0.25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</row>
    <row r="86" spans="1:54" x14ac:dyDescent="0.25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</row>
    <row r="87" spans="1:54" x14ac:dyDescent="0.25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</row>
    <row r="88" spans="1:54" x14ac:dyDescent="0.25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/>
      <c r="AZ88" s="69"/>
      <c r="BA88" s="69"/>
      <c r="BB88" s="69"/>
    </row>
    <row r="89" spans="1:54" x14ac:dyDescent="0.25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</row>
    <row r="90" spans="1:54" x14ac:dyDescent="0.25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69"/>
    </row>
    <row r="91" spans="1:54" x14ac:dyDescent="0.25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</row>
    <row r="92" spans="1:54" x14ac:dyDescent="0.25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69"/>
    </row>
    <row r="93" spans="1:54" x14ac:dyDescent="0.25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</row>
    <row r="94" spans="1:54" x14ac:dyDescent="0.25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</row>
    <row r="95" spans="1:54" x14ac:dyDescent="0.25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</row>
    <row r="96" spans="1:54" x14ac:dyDescent="0.25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  <c r="AX96" s="69"/>
      <c r="AY96" s="69"/>
      <c r="AZ96" s="69"/>
      <c r="BA96" s="69"/>
      <c r="BB96" s="69"/>
    </row>
    <row r="97" spans="1:54" x14ac:dyDescent="0.25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</row>
    <row r="98" spans="1:54" x14ac:dyDescent="0.25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  <c r="AX98" s="69"/>
      <c r="AY98" s="69"/>
      <c r="AZ98" s="69"/>
      <c r="BA98" s="69"/>
      <c r="BB98" s="69"/>
    </row>
    <row r="99" spans="1:54" x14ac:dyDescent="0.25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</row>
    <row r="100" spans="1:54" x14ac:dyDescent="0.25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</row>
    <row r="101" spans="1:54" x14ac:dyDescent="0.25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</row>
    <row r="102" spans="1:54" x14ac:dyDescent="0.25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</row>
    <row r="103" spans="1:54" x14ac:dyDescent="0.25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</row>
    <row r="104" spans="1:54" x14ac:dyDescent="0.25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</row>
    <row r="105" spans="1:54" x14ac:dyDescent="0.25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</row>
    <row r="106" spans="1:54" x14ac:dyDescent="0.25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</row>
    <row r="107" spans="1:54" x14ac:dyDescent="0.25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</row>
    <row r="108" spans="1:54" x14ac:dyDescent="0.25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</row>
    <row r="109" spans="1:54" x14ac:dyDescent="0.25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</row>
    <row r="110" spans="1:54" x14ac:dyDescent="0.25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/>
      <c r="AZ110" s="69"/>
      <c r="BA110" s="69"/>
      <c r="BB110" s="69"/>
    </row>
    <row r="111" spans="1:54" x14ac:dyDescent="0.25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  <c r="AX111" s="69"/>
      <c r="AY111" s="69"/>
      <c r="AZ111" s="69"/>
      <c r="BA111" s="69"/>
      <c r="BB111" s="69"/>
    </row>
    <row r="112" spans="1:54" x14ac:dyDescent="0.25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  <c r="AX112" s="69"/>
      <c r="AY112" s="69"/>
      <c r="AZ112" s="69"/>
      <c r="BA112" s="69"/>
      <c r="BB112" s="69"/>
    </row>
    <row r="113" spans="1:54" x14ac:dyDescent="0.25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  <c r="AX113" s="69"/>
      <c r="AY113" s="69"/>
      <c r="AZ113" s="69"/>
      <c r="BA113" s="69"/>
      <c r="BB113" s="69"/>
    </row>
    <row r="114" spans="1:54" x14ac:dyDescent="0.25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</row>
    <row r="115" spans="1:54" x14ac:dyDescent="0.25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</row>
    <row r="116" spans="1:54" x14ac:dyDescent="0.25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</row>
    <row r="117" spans="1:54" x14ac:dyDescent="0.25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</row>
    <row r="118" spans="1:54" x14ac:dyDescent="0.25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  <c r="AX118" s="69"/>
      <c r="AY118" s="69"/>
      <c r="AZ118" s="69"/>
      <c r="BA118" s="69"/>
      <c r="BB118" s="69"/>
    </row>
    <row r="119" spans="1:54" x14ac:dyDescent="0.25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  <c r="AX119" s="69"/>
      <c r="AY119" s="69"/>
      <c r="AZ119" s="69"/>
      <c r="BA119" s="69"/>
      <c r="BB119" s="69"/>
    </row>
    <row r="120" spans="1:54" x14ac:dyDescent="0.25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  <c r="AX120" s="69"/>
      <c r="AY120" s="69"/>
      <c r="AZ120" s="69"/>
      <c r="BA120" s="69"/>
      <c r="BB120" s="69"/>
    </row>
    <row r="121" spans="1:54" x14ac:dyDescent="0.25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69"/>
      <c r="BB121" s="69"/>
    </row>
    <row r="122" spans="1:54" x14ac:dyDescent="0.25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</row>
    <row r="123" spans="1:54" x14ac:dyDescent="0.25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</row>
    <row r="124" spans="1:54" x14ac:dyDescent="0.25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</row>
    <row r="125" spans="1:54" x14ac:dyDescent="0.25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</row>
    <row r="126" spans="1:54" x14ac:dyDescent="0.25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</row>
    <row r="127" spans="1:54" x14ac:dyDescent="0.25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</row>
    <row r="128" spans="1:54" x14ac:dyDescent="0.25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</row>
    <row r="129" spans="1:54" x14ac:dyDescent="0.25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</row>
    <row r="130" spans="1:54" x14ac:dyDescent="0.25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</row>
    <row r="131" spans="1:54" x14ac:dyDescent="0.25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</row>
    <row r="132" spans="1:54" x14ac:dyDescent="0.25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</row>
    <row r="133" spans="1:54" x14ac:dyDescent="0.25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</row>
    <row r="134" spans="1:54" x14ac:dyDescent="0.25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</row>
    <row r="135" spans="1:54" x14ac:dyDescent="0.25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</row>
    <row r="136" spans="1:54" x14ac:dyDescent="0.25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</row>
    <row r="137" spans="1:54" x14ac:dyDescent="0.25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</row>
    <row r="138" spans="1:54" x14ac:dyDescent="0.25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</row>
    <row r="139" spans="1:54" x14ac:dyDescent="0.25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</row>
    <row r="140" spans="1:54" x14ac:dyDescent="0.25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</row>
    <row r="141" spans="1:54" x14ac:dyDescent="0.25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</row>
    <row r="142" spans="1:54" x14ac:dyDescent="0.25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</row>
    <row r="143" spans="1:54" x14ac:dyDescent="0.25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</row>
    <row r="144" spans="1:54" x14ac:dyDescent="0.25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</row>
    <row r="145" spans="1:54" x14ac:dyDescent="0.25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</row>
    <row r="146" spans="1:54" x14ac:dyDescent="0.25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</row>
    <row r="147" spans="1:54" x14ac:dyDescent="0.25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</row>
    <row r="148" spans="1:54" x14ac:dyDescent="0.25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</row>
    <row r="149" spans="1:54" x14ac:dyDescent="0.25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</row>
    <row r="150" spans="1:54" x14ac:dyDescent="0.25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</row>
    <row r="151" spans="1:54" x14ac:dyDescent="0.25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</row>
    <row r="152" spans="1:54" x14ac:dyDescent="0.25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  <c r="AX152" s="69"/>
      <c r="AY152" s="69"/>
      <c r="AZ152" s="69"/>
      <c r="BA152" s="69"/>
      <c r="BB152" s="69"/>
    </row>
    <row r="153" spans="1:54" x14ac:dyDescent="0.25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</row>
    <row r="154" spans="1:54" x14ac:dyDescent="0.25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</row>
    <row r="155" spans="1:54" x14ac:dyDescent="0.25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</row>
    <row r="156" spans="1:54" x14ac:dyDescent="0.25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</row>
    <row r="157" spans="1:54" x14ac:dyDescent="0.25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  <c r="AX157" s="69"/>
      <c r="AY157" s="69"/>
      <c r="AZ157" s="69"/>
      <c r="BA157" s="69"/>
      <c r="BB157" s="69"/>
    </row>
    <row r="158" spans="1:54" x14ac:dyDescent="0.25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  <c r="AX158" s="69"/>
      <c r="AY158" s="69"/>
      <c r="AZ158" s="69"/>
      <c r="BA158" s="69"/>
      <c r="BB158" s="69"/>
    </row>
    <row r="159" spans="1:54" x14ac:dyDescent="0.25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</row>
    <row r="160" spans="1:54" x14ac:dyDescent="0.25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</row>
    <row r="161" spans="1:54" x14ac:dyDescent="0.25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</row>
    <row r="162" spans="1:54" x14ac:dyDescent="0.25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</row>
    <row r="163" spans="1:54" x14ac:dyDescent="0.25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</row>
    <row r="164" spans="1:54" x14ac:dyDescent="0.25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/>
      <c r="AY164" s="69"/>
      <c r="AZ164" s="69"/>
      <c r="BA164" s="69"/>
      <c r="BB164" s="69"/>
    </row>
    <row r="165" spans="1:54" x14ac:dyDescent="0.25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/>
      <c r="AZ165" s="69"/>
      <c r="BA165" s="69"/>
      <c r="BB165" s="69"/>
    </row>
    <row r="166" spans="1:54" x14ac:dyDescent="0.25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</row>
    <row r="167" spans="1:54" x14ac:dyDescent="0.25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</row>
    <row r="168" spans="1:54" x14ac:dyDescent="0.25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</row>
    <row r="169" spans="1:54" x14ac:dyDescent="0.25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</row>
    <row r="170" spans="1:54" x14ac:dyDescent="0.25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</row>
    <row r="171" spans="1:54" x14ac:dyDescent="0.25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/>
      <c r="BA171" s="69"/>
      <c r="BB171" s="69"/>
    </row>
    <row r="172" spans="1:54" x14ac:dyDescent="0.25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  <c r="AY172" s="69"/>
      <c r="AZ172" s="69"/>
      <c r="BA172" s="69"/>
      <c r="BB172" s="69"/>
    </row>
    <row r="173" spans="1:54" x14ac:dyDescent="0.25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  <c r="AX173" s="69"/>
      <c r="AY173" s="69"/>
      <c r="AZ173" s="69"/>
      <c r="BA173" s="69"/>
      <c r="BB173" s="69"/>
    </row>
    <row r="174" spans="1:54" x14ac:dyDescent="0.25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  <c r="AX174" s="69"/>
      <c r="AY174" s="69"/>
      <c r="AZ174" s="69"/>
      <c r="BA174" s="69"/>
      <c r="BB174" s="69"/>
    </row>
    <row r="175" spans="1:54" x14ac:dyDescent="0.25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</row>
    <row r="176" spans="1:54" x14ac:dyDescent="0.25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/>
      <c r="AZ176" s="69"/>
      <c r="BA176" s="69"/>
      <c r="BB176" s="69"/>
    </row>
    <row r="177" spans="1:54" x14ac:dyDescent="0.25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</row>
    <row r="178" spans="1:54" x14ac:dyDescent="0.25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  <c r="AX178" s="69"/>
      <c r="AY178" s="69"/>
      <c r="AZ178" s="69"/>
      <c r="BA178" s="69"/>
      <c r="BB178" s="69"/>
    </row>
    <row r="179" spans="1:54" x14ac:dyDescent="0.25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  <c r="AX179" s="69"/>
      <c r="AY179" s="69"/>
      <c r="AZ179" s="69"/>
      <c r="BA179" s="69"/>
      <c r="BB179" s="69"/>
    </row>
    <row r="180" spans="1:54" x14ac:dyDescent="0.25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</row>
    <row r="181" spans="1:54" x14ac:dyDescent="0.25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  <c r="AX181" s="69"/>
      <c r="AY181" s="69"/>
      <c r="AZ181" s="69"/>
      <c r="BA181" s="69"/>
      <c r="BB181" s="69"/>
    </row>
    <row r="182" spans="1:54" x14ac:dyDescent="0.25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/>
      <c r="AY182" s="69"/>
      <c r="AZ182" s="69"/>
      <c r="BA182" s="69"/>
      <c r="BB182" s="69"/>
    </row>
    <row r="183" spans="1:54" x14ac:dyDescent="0.25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/>
      <c r="AY183" s="69"/>
      <c r="AZ183" s="69"/>
      <c r="BA183" s="69"/>
      <c r="BB183" s="69"/>
    </row>
    <row r="184" spans="1:54" x14ac:dyDescent="0.25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</row>
    <row r="185" spans="1:54" x14ac:dyDescent="0.25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</row>
    <row r="186" spans="1:54" x14ac:dyDescent="0.25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</row>
    <row r="187" spans="1:54" x14ac:dyDescent="0.25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</row>
    <row r="188" spans="1:54" x14ac:dyDescent="0.25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</row>
    <row r="189" spans="1:54" x14ac:dyDescent="0.25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</row>
    <row r="190" spans="1:54" x14ac:dyDescent="0.25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</row>
    <row r="191" spans="1:54" x14ac:dyDescent="0.25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69"/>
      <c r="AZ191" s="69"/>
      <c r="BA191" s="69"/>
      <c r="BB191" s="69"/>
    </row>
    <row r="192" spans="1:54" x14ac:dyDescent="0.25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69"/>
      <c r="AZ192" s="69"/>
      <c r="BA192" s="69"/>
      <c r="BB192" s="69"/>
    </row>
    <row r="193" spans="1:54" x14ac:dyDescent="0.25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</row>
    <row r="194" spans="1:54" x14ac:dyDescent="0.25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</row>
    <row r="195" spans="1:54" x14ac:dyDescent="0.25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</row>
    <row r="196" spans="1:54" x14ac:dyDescent="0.25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</row>
    <row r="197" spans="1:54" x14ac:dyDescent="0.25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</row>
    <row r="198" spans="1:54" x14ac:dyDescent="0.25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</row>
    <row r="199" spans="1:54" x14ac:dyDescent="0.25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/>
      <c r="AY199" s="69"/>
      <c r="AZ199" s="69"/>
      <c r="BA199" s="69"/>
      <c r="BB199" s="69"/>
    </row>
    <row r="200" spans="1:54" x14ac:dyDescent="0.25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</row>
    <row r="201" spans="1:54" x14ac:dyDescent="0.25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/>
    </row>
    <row r="202" spans="1:54" x14ac:dyDescent="0.25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</row>
    <row r="203" spans="1:54" x14ac:dyDescent="0.25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</row>
    <row r="204" spans="1:54" x14ac:dyDescent="0.25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  <c r="AX204" s="69"/>
      <c r="AY204" s="69"/>
      <c r="AZ204" s="69"/>
      <c r="BA204" s="69"/>
      <c r="BB204" s="69"/>
    </row>
    <row r="205" spans="1:54" x14ac:dyDescent="0.25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  <c r="AX205" s="69"/>
      <c r="AY205" s="69"/>
      <c r="AZ205" s="69"/>
      <c r="BA205" s="69"/>
      <c r="BB205" s="69"/>
    </row>
    <row r="206" spans="1:54" x14ac:dyDescent="0.25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  <c r="AX206" s="69"/>
      <c r="AY206" s="69"/>
      <c r="AZ206" s="69"/>
      <c r="BA206" s="69"/>
      <c r="BB206" s="69"/>
    </row>
    <row r="207" spans="1:54" x14ac:dyDescent="0.25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</row>
    <row r="208" spans="1:54" x14ac:dyDescent="0.25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/>
      <c r="AZ208" s="69"/>
      <c r="BA208" s="69"/>
      <c r="BB208" s="69"/>
    </row>
    <row r="209" spans="1:54" x14ac:dyDescent="0.25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</row>
    <row r="210" spans="1:54" x14ac:dyDescent="0.25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</row>
    <row r="211" spans="1:54" x14ac:dyDescent="0.25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/>
      <c r="AY211" s="69"/>
      <c r="AZ211" s="69"/>
      <c r="BA211" s="69"/>
      <c r="BB211" s="69"/>
    </row>
    <row r="212" spans="1:54" x14ac:dyDescent="0.25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  <c r="AY212" s="69"/>
      <c r="AZ212" s="69"/>
      <c r="BA212" s="69"/>
      <c r="BB212" s="69"/>
    </row>
    <row r="213" spans="1:54" x14ac:dyDescent="0.25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</row>
    <row r="214" spans="1:54" x14ac:dyDescent="0.25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  <c r="AX214" s="69"/>
      <c r="AY214" s="69"/>
      <c r="AZ214" s="69"/>
      <c r="BA214" s="69"/>
      <c r="BB214" s="69"/>
    </row>
    <row r="215" spans="1:54" x14ac:dyDescent="0.25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</row>
    <row r="216" spans="1:54" x14ac:dyDescent="0.25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</row>
    <row r="217" spans="1:54" x14ac:dyDescent="0.25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</row>
    <row r="218" spans="1:54" x14ac:dyDescent="0.25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/>
      <c r="AY218" s="69"/>
      <c r="AZ218" s="69"/>
      <c r="BA218" s="69"/>
      <c r="BB218" s="69"/>
    </row>
    <row r="219" spans="1:54" x14ac:dyDescent="0.25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  <c r="AY219" s="69"/>
      <c r="AZ219" s="69"/>
      <c r="BA219" s="69"/>
      <c r="BB219" s="69"/>
    </row>
    <row r="220" spans="1:54" x14ac:dyDescent="0.25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</row>
    <row r="221" spans="1:54" x14ac:dyDescent="0.25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</row>
    <row r="222" spans="1:54" x14ac:dyDescent="0.25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</row>
    <row r="223" spans="1:54" x14ac:dyDescent="0.25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69"/>
      <c r="AZ223" s="69"/>
      <c r="BA223" s="69"/>
      <c r="BB223" s="69"/>
    </row>
    <row r="224" spans="1:54" x14ac:dyDescent="0.25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  <c r="AX224" s="69"/>
      <c r="AY224" s="69"/>
      <c r="AZ224" s="69"/>
      <c r="BA224" s="69"/>
      <c r="BB224" s="69"/>
    </row>
    <row r="225" spans="1:54" x14ac:dyDescent="0.25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</row>
    <row r="226" spans="1:54" x14ac:dyDescent="0.25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  <c r="AX226" s="69"/>
      <c r="AY226" s="69"/>
      <c r="AZ226" s="69"/>
      <c r="BA226" s="69"/>
      <c r="BB226" s="69"/>
    </row>
    <row r="227" spans="1:54" x14ac:dyDescent="0.25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/>
      <c r="AZ227" s="69"/>
      <c r="BA227" s="69"/>
      <c r="BB227" s="69"/>
    </row>
    <row r="228" spans="1:54" x14ac:dyDescent="0.25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  <c r="AX228" s="69"/>
      <c r="AY228" s="69"/>
      <c r="AZ228" s="69"/>
      <c r="BA228" s="69"/>
      <c r="BB228" s="69"/>
    </row>
    <row r="229" spans="1:54" x14ac:dyDescent="0.25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</row>
    <row r="230" spans="1:54" x14ac:dyDescent="0.25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  <c r="AX230" s="69"/>
      <c r="AY230" s="69"/>
      <c r="AZ230" s="69"/>
      <c r="BA230" s="69"/>
      <c r="BB230" s="69"/>
    </row>
    <row r="231" spans="1:54" x14ac:dyDescent="0.25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  <c r="AX231" s="69"/>
      <c r="AY231" s="69"/>
      <c r="AZ231" s="69"/>
      <c r="BA231" s="69"/>
      <c r="BB231" s="69"/>
    </row>
    <row r="232" spans="1:54" x14ac:dyDescent="0.25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  <c r="AX232" s="69"/>
      <c r="AY232" s="69"/>
      <c r="AZ232" s="69"/>
      <c r="BA232" s="69"/>
      <c r="BB232" s="69"/>
    </row>
    <row r="233" spans="1:54" x14ac:dyDescent="0.25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  <c r="AX233" s="69"/>
      <c r="AY233" s="69"/>
      <c r="AZ233" s="69"/>
      <c r="BA233" s="69"/>
      <c r="BB233" s="69"/>
    </row>
    <row r="234" spans="1:54" x14ac:dyDescent="0.25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  <c r="AX234" s="69"/>
      <c r="AY234" s="69"/>
      <c r="AZ234" s="69"/>
      <c r="BA234" s="69"/>
      <c r="BB234" s="69"/>
    </row>
    <row r="235" spans="1:54" x14ac:dyDescent="0.25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  <c r="AX235" s="69"/>
      <c r="AY235" s="69"/>
      <c r="AZ235" s="69"/>
      <c r="BA235" s="69"/>
      <c r="BB235" s="69"/>
    </row>
    <row r="236" spans="1:54" x14ac:dyDescent="0.25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  <c r="AY236" s="69"/>
      <c r="AZ236" s="69"/>
      <c r="BA236" s="69"/>
      <c r="BB236" s="69"/>
    </row>
    <row r="237" spans="1:54" x14ac:dyDescent="0.25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  <c r="AY237" s="69"/>
      <c r="AZ237" s="69"/>
      <c r="BA237" s="69"/>
      <c r="BB237" s="69"/>
    </row>
    <row r="238" spans="1:54" x14ac:dyDescent="0.25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  <c r="AX238" s="69"/>
      <c r="AY238" s="69"/>
      <c r="AZ238" s="69"/>
      <c r="BA238" s="69"/>
      <c r="BB238" s="69"/>
    </row>
    <row r="239" spans="1:54" x14ac:dyDescent="0.25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  <c r="AX239" s="69"/>
      <c r="AY239" s="69"/>
      <c r="AZ239" s="69"/>
      <c r="BA239" s="69"/>
      <c r="BB239" s="69"/>
    </row>
    <row r="240" spans="1:54" x14ac:dyDescent="0.25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  <c r="AX240" s="69"/>
      <c r="AY240" s="69"/>
      <c r="AZ240" s="69"/>
      <c r="BA240" s="69"/>
      <c r="BB240" s="69"/>
    </row>
    <row r="241" spans="1:54" x14ac:dyDescent="0.25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  <c r="AX241" s="69"/>
      <c r="AY241" s="69"/>
      <c r="AZ241" s="69"/>
      <c r="BA241" s="69"/>
      <c r="BB241" s="69"/>
    </row>
    <row r="242" spans="1:54" x14ac:dyDescent="0.25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  <c r="AX242" s="69"/>
      <c r="AY242" s="69"/>
      <c r="AZ242" s="69"/>
      <c r="BA242" s="69"/>
      <c r="BB242" s="69"/>
    </row>
    <row r="243" spans="1:54" x14ac:dyDescent="0.25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  <c r="AX243" s="69"/>
      <c r="AY243" s="69"/>
      <c r="AZ243" s="69"/>
      <c r="BA243" s="69"/>
      <c r="BB243" s="69"/>
    </row>
    <row r="244" spans="1:54" x14ac:dyDescent="0.25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  <c r="AX244" s="69"/>
      <c r="AY244" s="69"/>
      <c r="AZ244" s="69"/>
      <c r="BA244" s="69"/>
      <c r="BB244" s="69"/>
    </row>
    <row r="245" spans="1:54" x14ac:dyDescent="0.25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  <c r="AX245" s="69"/>
      <c r="AY245" s="69"/>
      <c r="AZ245" s="69"/>
      <c r="BA245" s="69"/>
      <c r="BB245" s="69"/>
    </row>
    <row r="246" spans="1:54" x14ac:dyDescent="0.25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  <c r="AX246" s="69"/>
      <c r="AY246" s="69"/>
      <c r="AZ246" s="69"/>
      <c r="BA246" s="69"/>
      <c r="BB246" s="69"/>
    </row>
    <row r="247" spans="1:54" x14ac:dyDescent="0.25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  <c r="AX247" s="69"/>
      <c r="AY247" s="69"/>
      <c r="AZ247" s="69"/>
      <c r="BA247" s="69"/>
      <c r="BB247" s="69"/>
    </row>
    <row r="248" spans="1:54" x14ac:dyDescent="0.25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  <c r="AX248" s="69"/>
      <c r="AY248" s="69"/>
      <c r="AZ248" s="69"/>
      <c r="BA248" s="69"/>
      <c r="BB248" s="69"/>
    </row>
    <row r="249" spans="1:54" x14ac:dyDescent="0.25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  <c r="AX249" s="69"/>
      <c r="AY249" s="69"/>
      <c r="AZ249" s="69"/>
      <c r="BA249" s="69"/>
      <c r="BB249" s="69"/>
    </row>
    <row r="250" spans="1:54" x14ac:dyDescent="0.25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  <c r="AX250" s="69"/>
      <c r="AY250" s="69"/>
      <c r="AZ250" s="69"/>
      <c r="BA250" s="69"/>
      <c r="BB250" s="69"/>
    </row>
    <row r="251" spans="1:54" x14ac:dyDescent="0.25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  <c r="AL251" s="69"/>
      <c r="AM251" s="69"/>
      <c r="AN251" s="69"/>
      <c r="AO251" s="69"/>
      <c r="AP251" s="69"/>
      <c r="AQ251" s="69"/>
      <c r="AR251" s="69"/>
      <c r="AS251" s="69"/>
      <c r="AT251" s="69"/>
      <c r="AU251" s="69"/>
      <c r="AV251" s="69"/>
      <c r="AW251" s="69"/>
      <c r="AX251" s="69"/>
      <c r="AY251" s="69"/>
      <c r="AZ251" s="69"/>
      <c r="BA251" s="69"/>
      <c r="BB251" s="69"/>
    </row>
    <row r="252" spans="1:54" x14ac:dyDescent="0.25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  <c r="AX252" s="69"/>
      <c r="AY252" s="69"/>
      <c r="AZ252" s="69"/>
      <c r="BA252" s="69"/>
      <c r="BB252" s="69"/>
    </row>
    <row r="253" spans="1:54" x14ac:dyDescent="0.25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  <c r="AX253" s="69"/>
      <c r="AY253" s="69"/>
      <c r="AZ253" s="69"/>
      <c r="BA253" s="69"/>
      <c r="BB253" s="69"/>
    </row>
    <row r="254" spans="1:54" x14ac:dyDescent="0.25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  <c r="AL254" s="69"/>
      <c r="AM254" s="69"/>
      <c r="AN254" s="69"/>
      <c r="AO254" s="69"/>
      <c r="AP254" s="69"/>
      <c r="AQ254" s="69"/>
      <c r="AR254" s="69"/>
      <c r="AS254" s="69"/>
      <c r="AT254" s="69"/>
      <c r="AU254" s="69"/>
      <c r="AV254" s="69"/>
      <c r="AW254" s="69"/>
      <c r="AX254" s="69"/>
      <c r="AY254" s="69"/>
      <c r="AZ254" s="69"/>
      <c r="BA254" s="69"/>
      <c r="BB254" s="69"/>
    </row>
    <row r="255" spans="1:54" x14ac:dyDescent="0.25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  <c r="AX255" s="69"/>
      <c r="AY255" s="69"/>
      <c r="AZ255" s="69"/>
      <c r="BA255" s="69"/>
      <c r="BB255" s="69"/>
    </row>
    <row r="256" spans="1:54" x14ac:dyDescent="0.25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  <c r="AX256" s="69"/>
      <c r="AY256" s="69"/>
      <c r="AZ256" s="69"/>
      <c r="BA256" s="69"/>
      <c r="BB256" s="69"/>
    </row>
    <row r="257" spans="1:54" x14ac:dyDescent="0.25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  <c r="AX257" s="69"/>
      <c r="AY257" s="69"/>
      <c r="AZ257" s="69"/>
      <c r="BA257" s="69"/>
      <c r="BB257" s="69"/>
    </row>
    <row r="258" spans="1:54" x14ac:dyDescent="0.25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  <c r="AX258" s="69"/>
      <c r="AY258" s="69"/>
      <c r="AZ258" s="69"/>
      <c r="BA258" s="69"/>
      <c r="BB258" s="69"/>
    </row>
    <row r="259" spans="1:54" x14ac:dyDescent="0.25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  <c r="AX259" s="69"/>
      <c r="AY259" s="69"/>
      <c r="AZ259" s="69"/>
      <c r="BA259" s="69"/>
      <c r="BB259" s="69"/>
    </row>
    <row r="260" spans="1:54" x14ac:dyDescent="0.25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  <c r="AX260" s="69"/>
      <c r="AY260" s="69"/>
      <c r="AZ260" s="69"/>
      <c r="BA260" s="69"/>
      <c r="BB260" s="69"/>
    </row>
    <row r="261" spans="1:54" x14ac:dyDescent="0.25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  <c r="AX261" s="69"/>
      <c r="AY261" s="69"/>
      <c r="AZ261" s="69"/>
      <c r="BA261" s="69"/>
      <c r="BB261" s="69"/>
    </row>
    <row r="262" spans="1:54" x14ac:dyDescent="0.25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  <c r="AX262" s="69"/>
      <c r="AY262" s="69"/>
      <c r="AZ262" s="69"/>
      <c r="BA262" s="69"/>
      <c r="BB262" s="69"/>
    </row>
    <row r="263" spans="1:54" x14ac:dyDescent="0.25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/>
      <c r="AX263" s="69"/>
      <c r="AY263" s="69"/>
      <c r="AZ263" s="69"/>
      <c r="BA263" s="69"/>
      <c r="BB263" s="69"/>
    </row>
    <row r="264" spans="1:54" x14ac:dyDescent="0.25">
      <c r="A264" s="69"/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  <c r="AX264" s="69"/>
      <c r="AY264" s="69"/>
      <c r="AZ264" s="69"/>
      <c r="BA264" s="69"/>
      <c r="BB264" s="69"/>
    </row>
    <row r="265" spans="1:54" x14ac:dyDescent="0.25">
      <c r="A265" s="69"/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  <c r="AX265" s="69"/>
      <c r="AY265" s="69"/>
      <c r="AZ265" s="69"/>
      <c r="BA265" s="69"/>
      <c r="BB265" s="69"/>
    </row>
    <row r="266" spans="1:54" x14ac:dyDescent="0.25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  <c r="AX266" s="69"/>
      <c r="AY266" s="69"/>
      <c r="AZ266" s="69"/>
      <c r="BA266" s="69"/>
      <c r="BB266" s="69"/>
    </row>
    <row r="267" spans="1:54" x14ac:dyDescent="0.25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  <c r="AX267" s="69"/>
      <c r="AY267" s="69"/>
      <c r="AZ267" s="69"/>
      <c r="BA267" s="69"/>
      <c r="BB267" s="69"/>
    </row>
    <row r="268" spans="1:54" x14ac:dyDescent="0.25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  <c r="AX268" s="69"/>
      <c r="AY268" s="69"/>
      <c r="AZ268" s="69"/>
      <c r="BA268" s="69"/>
      <c r="BB268" s="69"/>
    </row>
    <row r="269" spans="1:54" x14ac:dyDescent="0.25">
      <c r="A269" s="69"/>
      <c r="B269" s="69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  <c r="AX269" s="69"/>
      <c r="AY269" s="69"/>
      <c r="AZ269" s="69"/>
      <c r="BA269" s="69"/>
      <c r="BB269" s="69"/>
    </row>
    <row r="270" spans="1:54" x14ac:dyDescent="0.25">
      <c r="A270" s="69"/>
      <c r="B270" s="69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  <c r="AV270" s="69"/>
      <c r="AW270" s="69"/>
      <c r="AX270" s="69"/>
      <c r="AY270" s="69"/>
      <c r="AZ270" s="69"/>
      <c r="BA270" s="69"/>
      <c r="BB270" s="69"/>
    </row>
    <row r="271" spans="1:54" x14ac:dyDescent="0.25">
      <c r="A271" s="69"/>
      <c r="B271" s="69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/>
      <c r="AU271" s="69"/>
      <c r="AV271" s="69"/>
      <c r="AW271" s="69"/>
      <c r="AX271" s="69"/>
      <c r="AY271" s="69"/>
      <c r="AZ271" s="69"/>
      <c r="BA271" s="69"/>
      <c r="BB271" s="69"/>
    </row>
    <row r="272" spans="1:54" x14ac:dyDescent="0.25">
      <c r="A272" s="69"/>
      <c r="B272" s="69"/>
      <c r="C272" s="69"/>
      <c r="D272" s="69"/>
      <c r="E272" s="69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  <c r="AP272" s="69"/>
      <c r="AQ272" s="69"/>
      <c r="AR272" s="69"/>
      <c r="AS272" s="69"/>
      <c r="AT272" s="69"/>
      <c r="AU272" s="69"/>
      <c r="AV272" s="69"/>
      <c r="AW272" s="69"/>
      <c r="AX272" s="69"/>
      <c r="AY272" s="69"/>
      <c r="AZ272" s="69"/>
      <c r="BA272" s="69"/>
      <c r="BB272" s="6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7">
    <tabColor theme="0" tint="-0.499984740745262"/>
    <pageSetUpPr fitToPage="1"/>
  </sheetPr>
  <dimension ref="A1:C41"/>
  <sheetViews>
    <sheetView showGridLines="0" workbookViewId="0"/>
  </sheetViews>
  <sheetFormatPr defaultRowHeight="18" customHeight="1" x14ac:dyDescent="0.25"/>
  <cols>
    <col min="1" max="1" width="9.140625" style="431"/>
    <col min="2" max="2" width="204.5703125" style="428" bestFit="1" customWidth="1"/>
    <col min="3" max="16384" width="9.140625" style="14"/>
  </cols>
  <sheetData>
    <row r="1" spans="1:3" ht="18" customHeight="1" x14ac:dyDescent="0.25">
      <c r="A1" s="429" t="s">
        <v>574</v>
      </c>
      <c r="B1" s="424" t="s">
        <v>575</v>
      </c>
    </row>
    <row r="2" spans="1:3" ht="15" x14ac:dyDescent="0.25">
      <c r="A2" s="391">
        <v>1</v>
      </c>
      <c r="B2" s="425" t="s">
        <v>968</v>
      </c>
    </row>
    <row r="3" spans="1:3" ht="15" x14ac:dyDescent="0.25">
      <c r="A3" s="391">
        <v>2</v>
      </c>
      <c r="B3" s="425" t="s">
        <v>530</v>
      </c>
    </row>
    <row r="4" spans="1:3" ht="15" x14ac:dyDescent="0.25">
      <c r="A4" s="391" t="s">
        <v>662</v>
      </c>
      <c r="B4" s="425" t="s">
        <v>661</v>
      </c>
      <c r="C4" s="28"/>
    </row>
    <row r="5" spans="1:3" ht="15" x14ac:dyDescent="0.25">
      <c r="A5" s="391">
        <v>6</v>
      </c>
      <c r="B5" s="425" t="s">
        <v>553</v>
      </c>
    </row>
    <row r="6" spans="1:3" ht="15" x14ac:dyDescent="0.25">
      <c r="A6" s="391">
        <v>7</v>
      </c>
      <c r="B6" s="425" t="s">
        <v>594</v>
      </c>
    </row>
    <row r="7" spans="1:3" ht="15" customHeight="1" x14ac:dyDescent="0.25">
      <c r="A7" s="391">
        <v>8</v>
      </c>
      <c r="B7" s="425" t="s">
        <v>595</v>
      </c>
    </row>
    <row r="8" spans="1:3" ht="15" x14ac:dyDescent="0.25">
      <c r="A8" s="391">
        <v>9</v>
      </c>
      <c r="B8" s="425" t="s">
        <v>550</v>
      </c>
    </row>
    <row r="9" spans="1:3" ht="15" x14ac:dyDescent="0.25">
      <c r="A9" s="391">
        <v>21</v>
      </c>
      <c r="B9" s="425" t="s">
        <v>591</v>
      </c>
    </row>
    <row r="10" spans="1:3" ht="15" x14ac:dyDescent="0.25">
      <c r="A10" s="391">
        <v>22</v>
      </c>
      <c r="B10" s="425" t="s">
        <v>527</v>
      </c>
    </row>
    <row r="11" spans="1:3" ht="15" x14ac:dyDescent="0.25">
      <c r="A11" s="391">
        <v>23</v>
      </c>
      <c r="B11" s="425" t="s">
        <v>532</v>
      </c>
    </row>
    <row r="12" spans="1:3" ht="15" x14ac:dyDescent="0.25">
      <c r="A12" s="391">
        <v>24</v>
      </c>
      <c r="B12" s="425" t="s">
        <v>590</v>
      </c>
    </row>
    <row r="13" spans="1:3" ht="15" x14ac:dyDescent="0.25">
      <c r="A13" s="391">
        <v>25</v>
      </c>
      <c r="B13" s="425" t="s">
        <v>552</v>
      </c>
    </row>
    <row r="14" spans="1:3" ht="15" x14ac:dyDescent="0.25">
      <c r="A14" s="391">
        <v>26</v>
      </c>
      <c r="B14" s="425" t="s">
        <v>589</v>
      </c>
    </row>
    <row r="15" spans="1:3" ht="15" x14ac:dyDescent="0.25">
      <c r="A15" s="391">
        <v>27</v>
      </c>
      <c r="B15" s="425" t="s">
        <v>588</v>
      </c>
    </row>
    <row r="16" spans="1:3" ht="15" x14ac:dyDescent="0.25">
      <c r="A16" s="391">
        <v>29</v>
      </c>
      <c r="B16" s="425" t="s">
        <v>569</v>
      </c>
    </row>
    <row r="17" spans="1:2" ht="15" x14ac:dyDescent="0.25">
      <c r="A17" s="391">
        <v>30</v>
      </c>
      <c r="B17" s="425" t="s">
        <v>587</v>
      </c>
    </row>
    <row r="18" spans="1:2" ht="15" x14ac:dyDescent="0.25">
      <c r="A18" s="391">
        <v>31</v>
      </c>
      <c r="B18" s="425" t="s">
        <v>533</v>
      </c>
    </row>
    <row r="19" spans="1:2" ht="15" x14ac:dyDescent="0.25">
      <c r="A19" s="391">
        <v>32</v>
      </c>
      <c r="B19" s="425" t="s">
        <v>592</v>
      </c>
    </row>
    <row r="20" spans="1:2" ht="15" x14ac:dyDescent="0.25">
      <c r="A20" s="391">
        <v>33</v>
      </c>
      <c r="B20" s="425" t="s">
        <v>531</v>
      </c>
    </row>
    <row r="21" spans="1:2" ht="15" x14ac:dyDescent="0.25">
      <c r="A21" s="391">
        <v>34</v>
      </c>
      <c r="B21" s="426" t="s">
        <v>593</v>
      </c>
    </row>
    <row r="22" spans="1:2" ht="15" x14ac:dyDescent="0.25">
      <c r="A22" s="391">
        <v>35</v>
      </c>
      <c r="B22" s="426" t="s">
        <v>596</v>
      </c>
    </row>
    <row r="23" spans="1:2" ht="15" x14ac:dyDescent="0.25">
      <c r="A23" s="391">
        <v>36</v>
      </c>
      <c r="B23" s="425" t="s">
        <v>1117</v>
      </c>
    </row>
    <row r="24" spans="1:2" ht="15" x14ac:dyDescent="0.25">
      <c r="A24" s="391">
        <v>37</v>
      </c>
      <c r="B24" s="425" t="s">
        <v>547</v>
      </c>
    </row>
    <row r="25" spans="1:2" ht="15" x14ac:dyDescent="0.25">
      <c r="A25" s="391">
        <v>38</v>
      </c>
      <c r="B25" s="425" t="s">
        <v>586</v>
      </c>
    </row>
    <row r="26" spans="1:2" ht="15" x14ac:dyDescent="0.25">
      <c r="A26" s="391">
        <v>39</v>
      </c>
      <c r="B26" s="425" t="s">
        <v>549</v>
      </c>
    </row>
    <row r="27" spans="1:2" ht="15" x14ac:dyDescent="0.25">
      <c r="A27" s="391">
        <v>40</v>
      </c>
      <c r="B27" s="425" t="s">
        <v>585</v>
      </c>
    </row>
    <row r="28" spans="1:2" ht="15" x14ac:dyDescent="0.25">
      <c r="A28" s="391">
        <v>43</v>
      </c>
      <c r="B28" s="425" t="s">
        <v>584</v>
      </c>
    </row>
    <row r="29" spans="1:2" ht="15" x14ac:dyDescent="0.25">
      <c r="A29" s="391">
        <v>44</v>
      </c>
      <c r="B29" s="425" t="s">
        <v>566</v>
      </c>
    </row>
    <row r="30" spans="1:2" ht="15" x14ac:dyDescent="0.25">
      <c r="A30" s="391">
        <v>45</v>
      </c>
      <c r="B30" s="426" t="s">
        <v>583</v>
      </c>
    </row>
    <row r="31" spans="1:2" ht="15" x14ac:dyDescent="0.25">
      <c r="A31" s="391">
        <v>46</v>
      </c>
      <c r="B31" s="425" t="s">
        <v>582</v>
      </c>
    </row>
    <row r="32" spans="1:2" ht="15" x14ac:dyDescent="0.25">
      <c r="A32" s="391">
        <v>47</v>
      </c>
      <c r="B32" s="426" t="s">
        <v>581</v>
      </c>
    </row>
    <row r="33" spans="1:2" ht="15" x14ac:dyDescent="0.25">
      <c r="A33" s="391">
        <v>48</v>
      </c>
      <c r="B33" s="425" t="s">
        <v>597</v>
      </c>
    </row>
    <row r="34" spans="1:2" ht="15" x14ac:dyDescent="0.25">
      <c r="A34" s="391">
        <v>49</v>
      </c>
      <c r="B34" s="425" t="s">
        <v>598</v>
      </c>
    </row>
    <row r="35" spans="1:2" ht="15" x14ac:dyDescent="0.25">
      <c r="A35" s="391">
        <v>50</v>
      </c>
      <c r="B35" s="425" t="s">
        <v>580</v>
      </c>
    </row>
    <row r="36" spans="1:2" ht="15" x14ac:dyDescent="0.25">
      <c r="A36" s="391">
        <v>51</v>
      </c>
      <c r="B36" s="425" t="s">
        <v>579</v>
      </c>
    </row>
    <row r="37" spans="1:2" ht="15" x14ac:dyDescent="0.25">
      <c r="A37" s="391">
        <v>52</v>
      </c>
      <c r="B37" s="89" t="s">
        <v>578</v>
      </c>
    </row>
    <row r="38" spans="1:2" ht="15" x14ac:dyDescent="0.25">
      <c r="A38" s="391">
        <v>53</v>
      </c>
      <c r="B38" s="89" t="s">
        <v>577</v>
      </c>
    </row>
    <row r="39" spans="1:2" ht="15" x14ac:dyDescent="0.25">
      <c r="A39" s="391">
        <v>54</v>
      </c>
      <c r="B39" s="89" t="s">
        <v>576</v>
      </c>
    </row>
    <row r="40" spans="1:2" ht="15" x14ac:dyDescent="0.25">
      <c r="A40" s="400">
        <v>55</v>
      </c>
      <c r="B40" s="432" t="s">
        <v>542</v>
      </c>
    </row>
    <row r="41" spans="1:2" ht="18" customHeight="1" x14ac:dyDescent="0.25">
      <c r="A41" s="430"/>
      <c r="B41" s="427"/>
    </row>
  </sheetData>
  <sortState ref="B2:B395">
    <sortCondition ref="B1"/>
  </sortState>
  <pageMargins left="0.7" right="0.7" top="0.75" bottom="0.75" header="0.3" footer="0.3"/>
  <pageSetup paperSize="9" scale="87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Q42"/>
  <sheetViews>
    <sheetView showGridLines="0" workbookViewId="0">
      <selection sqref="A1:H1"/>
    </sheetView>
  </sheetViews>
  <sheetFormatPr defaultRowHeight="15" x14ac:dyDescent="0.25"/>
  <cols>
    <col min="1" max="1" width="45" customWidth="1"/>
    <col min="2" max="8" width="12" style="45" customWidth="1"/>
    <col min="10" max="10" width="49" customWidth="1"/>
    <col min="11" max="11" width="12" style="39" customWidth="1"/>
    <col min="12" max="17" width="12" customWidth="1"/>
  </cols>
  <sheetData>
    <row r="1" spans="1:17" s="39" customFormat="1" x14ac:dyDescent="0.25">
      <c r="A1" s="444" t="s">
        <v>1127</v>
      </c>
      <c r="B1" s="444"/>
      <c r="C1" s="444"/>
      <c r="D1" s="444"/>
      <c r="E1" s="444"/>
      <c r="F1" s="444"/>
      <c r="G1" s="444"/>
      <c r="H1" s="444"/>
      <c r="I1" s="69"/>
      <c r="J1" s="444" t="s">
        <v>1128</v>
      </c>
      <c r="K1" s="444"/>
      <c r="L1" s="444"/>
      <c r="M1" s="444"/>
      <c r="N1" s="444"/>
      <c r="O1" s="444"/>
      <c r="P1" s="444"/>
      <c r="Q1" s="444"/>
    </row>
    <row r="2" spans="1:17" s="39" customFormat="1" x14ac:dyDescent="0.25">
      <c r="A2" s="148"/>
      <c r="B2" s="149"/>
      <c r="C2" s="149">
        <v>2013</v>
      </c>
      <c r="D2" s="149" t="s">
        <v>1116</v>
      </c>
      <c r="E2" s="149">
        <v>2014</v>
      </c>
      <c r="F2" s="149">
        <v>2015</v>
      </c>
      <c r="G2" s="149">
        <v>2016</v>
      </c>
      <c r="H2" s="149">
        <v>2017</v>
      </c>
      <c r="I2" s="69"/>
      <c r="J2" s="148"/>
      <c r="K2" s="149"/>
      <c r="L2" s="149">
        <v>2013</v>
      </c>
      <c r="M2" s="149" t="s">
        <v>1116</v>
      </c>
      <c r="N2" s="149">
        <v>2014</v>
      </c>
      <c r="O2" s="149">
        <v>2015</v>
      </c>
      <c r="P2" s="149">
        <v>2016</v>
      </c>
      <c r="Q2" s="149">
        <v>2017</v>
      </c>
    </row>
    <row r="3" spans="1:17" s="39" customFormat="1" x14ac:dyDescent="0.25">
      <c r="A3" s="70" t="s">
        <v>1023</v>
      </c>
      <c r="B3" s="70" t="s">
        <v>1143</v>
      </c>
      <c r="C3" s="71">
        <f>SUM(C4:C12)</f>
        <v>25925825.131030004</v>
      </c>
      <c r="D3" s="71">
        <f t="shared" ref="D3:H3" si="0">SUM(D4:D12)</f>
        <v>25353941.538890004</v>
      </c>
      <c r="E3" s="71">
        <f t="shared" si="0"/>
        <v>26366661.905971747</v>
      </c>
      <c r="F3" s="71">
        <f t="shared" si="0"/>
        <v>26741451.565368768</v>
      </c>
      <c r="G3" s="71">
        <f t="shared" si="0"/>
        <v>27329002.225651477</v>
      </c>
      <c r="H3" s="71">
        <f t="shared" si="0"/>
        <v>28634441.398566242</v>
      </c>
      <c r="I3" s="69"/>
      <c r="J3" s="70" t="s">
        <v>1023</v>
      </c>
      <c r="K3" s="72" t="s">
        <v>1143</v>
      </c>
      <c r="L3" s="73">
        <f>C3/DD_projekcie!E$59/10</f>
        <v>35.933414508120258</v>
      </c>
      <c r="M3" s="73">
        <f>D3/DD_projekcie!E$59/10</f>
        <v>35.140778977220066</v>
      </c>
      <c r="N3" s="73">
        <f>E3/DD_projekcie!F$59/10</f>
        <v>35.395264562182568</v>
      </c>
      <c r="O3" s="73">
        <f>F3/DD_projekcie!G$59/10</f>
        <v>34.377933478611062</v>
      </c>
      <c r="P3" s="73">
        <f>G3/DD_projekcie!H$59/10</f>
        <v>33.446448489809569</v>
      </c>
      <c r="Q3" s="73">
        <f>H3/DD_projekcie!I$59/10</f>
        <v>33.21465257550274</v>
      </c>
    </row>
    <row r="4" spans="1:17" x14ac:dyDescent="0.25">
      <c r="A4" s="68" t="s">
        <v>1129</v>
      </c>
      <c r="B4" s="68" t="s">
        <v>1008</v>
      </c>
      <c r="C4" s="74">
        <f>sumarizacia!Q6+sumarizacia!Q7+sumarizacia!Q8+sumarizacia!Q9+sumarizacia!Q11</f>
        <v>7518371.2181400005</v>
      </c>
      <c r="D4" s="74">
        <f>sumarizacia!R6+sumarizacia!R7+sumarizacia!R8+sumarizacia!R9+sumarizacia!R11</f>
        <v>7314399.2589499988</v>
      </c>
      <c r="E4" s="74">
        <f>sumarizacia!S6+sumarizacia!S7+sumarizacia!S8+sumarizacia!S9+sumarizacia!S11</f>
        <v>7572737.4412490791</v>
      </c>
      <c r="F4" s="74">
        <f>sumarizacia!T6+sumarizacia!T7+sumarizacia!T8+sumarizacia!T9+sumarizacia!T11</f>
        <v>7474791.3480218509</v>
      </c>
      <c r="G4" s="74">
        <f>sumarizacia!U6+sumarizacia!U7+sumarizacia!U8+sumarizacia!U9+sumarizacia!U11</f>
        <v>7689503.2418430932</v>
      </c>
      <c r="H4" s="74">
        <f>sumarizacia!V6+sumarizacia!V7+sumarizacia!V8+sumarizacia!V9+sumarizacia!V11</f>
        <v>7931872.0659983531</v>
      </c>
      <c r="I4" s="69"/>
      <c r="J4" s="68" t="s">
        <v>1129</v>
      </c>
      <c r="K4" s="68" t="s">
        <v>1008</v>
      </c>
      <c r="L4" s="75">
        <f>C4/DD_projekcie!E$59/10</f>
        <v>10.420526561524813</v>
      </c>
      <c r="M4" s="75">
        <f>D4/DD_projekcie!E$59/10</f>
        <v>10.137819688336991</v>
      </c>
      <c r="N4" s="75">
        <f>E4/DD_projekcie!F$59/10</f>
        <v>10.165831615273563</v>
      </c>
      <c r="O4" s="75">
        <f>F4/DD_projekcie!G$59/10</f>
        <v>9.6093467140570716</v>
      </c>
      <c r="P4" s="75">
        <f>G4/DD_projekcie!H$59/10</f>
        <v>9.4107560886042485</v>
      </c>
      <c r="Q4" s="75">
        <f>H4/DD_projekcie!I$59/10</f>
        <v>9.2006116438039491</v>
      </c>
    </row>
    <row r="5" spans="1:17" x14ac:dyDescent="0.25">
      <c r="A5" s="68" t="s">
        <v>1130</v>
      </c>
      <c r="B5" s="68" t="s">
        <v>1012</v>
      </c>
      <c r="C5" s="74">
        <f>sumarizacia!Q20+sumarizacia!Q21</f>
        <v>4220846.8380799983</v>
      </c>
      <c r="D5" s="74">
        <f>sumarizacia!R20+sumarizacia!R21</f>
        <v>4184810.2051299997</v>
      </c>
      <c r="E5" s="74">
        <f>sumarizacia!S20+sumarizacia!S21</f>
        <v>4351859.9727125419</v>
      </c>
      <c r="F5" s="74">
        <f>sumarizacia!T20+sumarizacia!T21</f>
        <v>4535991.7019670466</v>
      </c>
      <c r="G5" s="74">
        <f>sumarizacia!U20+sumarizacia!U21</f>
        <v>4784412.1295531616</v>
      </c>
      <c r="H5" s="74">
        <f>sumarizacia!V20+sumarizacia!V21</f>
        <v>5004125.5842722282</v>
      </c>
      <c r="I5" s="69"/>
      <c r="J5" s="68" t="s">
        <v>1130</v>
      </c>
      <c r="K5" s="68" t="s">
        <v>1012</v>
      </c>
      <c r="L5" s="75">
        <f>C5/DD_projekcie!E$59/10</f>
        <v>5.8501296773188436</v>
      </c>
      <c r="M5" s="75">
        <f>D5/DD_projekcie!E$59/10</f>
        <v>5.8001825970340422</v>
      </c>
      <c r="N5" s="75">
        <f>E5/DD_projekcie!F$59/10</f>
        <v>5.8420453685434417</v>
      </c>
      <c r="O5" s="75">
        <f>F5/DD_projekcie!G$59/10</f>
        <v>5.8313222305292047</v>
      </c>
      <c r="P5" s="75">
        <f>G5/DD_projekcie!H$59/10</f>
        <v>5.855376369903504</v>
      </c>
      <c r="Q5" s="75">
        <f>H5/DD_projekcie!I$59/10</f>
        <v>5.8045585877609973</v>
      </c>
    </row>
    <row r="6" spans="1:17" x14ac:dyDescent="0.25">
      <c r="A6" s="68" t="s">
        <v>1131</v>
      </c>
      <c r="B6" s="68" t="s">
        <v>1013</v>
      </c>
      <c r="C6" s="74">
        <f>sumarizacia!Q22+sumarizacia!Q23+sumarizacia!Q24+sumarizacia!Q25+sumarizacia!Q26</f>
        <v>9800577.576439999</v>
      </c>
      <c r="D6" s="74">
        <f>sumarizacia!R22+sumarizacia!R23+sumarizacia!R24+sumarizacia!R25+sumarizacia!R26</f>
        <v>9800577.576439999</v>
      </c>
      <c r="E6" s="74">
        <f>sumarizacia!S22+sumarizacia!S23+sumarizacia!S24+sumarizacia!S25+sumarizacia!S26</f>
        <v>10018514.878826749</v>
      </c>
      <c r="F6" s="74">
        <f>sumarizacia!T22+sumarizacia!T23+sumarizacia!T24+sumarizacia!T25+sumarizacia!T26</f>
        <v>10398585.156232232</v>
      </c>
      <c r="G6" s="74">
        <f>sumarizacia!U22+sumarizacia!U23+sumarizacia!U24+sumarizacia!U25+sumarizacia!U26</f>
        <v>10849628.248735756</v>
      </c>
      <c r="H6" s="74">
        <f>sumarizacia!V22+sumarizacia!V23+sumarizacia!V24+sumarizacia!V25+sumarizacia!V26</f>
        <v>11393751.964614404</v>
      </c>
      <c r="I6" s="69"/>
      <c r="J6" s="68" t="s">
        <v>1131</v>
      </c>
      <c r="K6" s="68" t="s">
        <v>1013</v>
      </c>
      <c r="L6" s="75">
        <f>C6/DD_projekcie!E$59/10</f>
        <v>13.583684017512923</v>
      </c>
      <c r="M6" s="75">
        <f>D6/DD_projekcie!E$59/10</f>
        <v>13.583684017512923</v>
      </c>
      <c r="N6" s="75">
        <f>E6/DD_projekcie!F$59/10</f>
        <v>13.449104248419122</v>
      </c>
      <c r="O6" s="75">
        <f>F6/DD_projekcie!G$59/10</f>
        <v>13.368080184382256</v>
      </c>
      <c r="P6" s="75">
        <f>G6/DD_projekcie!H$59/10</f>
        <v>13.278257631166507</v>
      </c>
      <c r="Q6" s="75">
        <f>H6/DD_projekcie!I$59/10</f>
        <v>13.216235224168477</v>
      </c>
    </row>
    <row r="7" spans="1:17" x14ac:dyDescent="0.25">
      <c r="A7" s="68" t="s">
        <v>1132</v>
      </c>
      <c r="B7" s="68" t="s">
        <v>726</v>
      </c>
      <c r="C7" s="74">
        <f>sumarizacia!Q27</f>
        <v>130965.55764999999</v>
      </c>
      <c r="D7" s="74">
        <f>sumarizacia!R27</f>
        <v>130965.55764999986</v>
      </c>
      <c r="E7" s="74">
        <f>sumarizacia!S27</f>
        <v>134218.30618855782</v>
      </c>
      <c r="F7" s="74">
        <f>sumarizacia!T27</f>
        <v>138595.28925373525</v>
      </c>
      <c r="G7" s="74">
        <f>sumarizacia!U27</f>
        <v>143874.37758185726</v>
      </c>
      <c r="H7" s="74">
        <f>sumarizacia!V27</f>
        <v>149912.5396787936</v>
      </c>
      <c r="I7" s="69"/>
      <c r="J7" s="68" t="s">
        <v>1132</v>
      </c>
      <c r="K7" s="68" t="s">
        <v>726</v>
      </c>
      <c r="L7" s="75">
        <f>C7/DD_projekcie!E$59/10</f>
        <v>0.18151937867127022</v>
      </c>
      <c r="M7" s="75">
        <f>D7/DD_projekcie!E$59/10</f>
        <v>0.18151937867127005</v>
      </c>
      <c r="N7" s="75">
        <f>E7/DD_projekcie!F$59/10</f>
        <v>0.18017800181053836</v>
      </c>
      <c r="O7" s="75">
        <f>F7/DD_projekcie!G$59/10</f>
        <v>0.17817356035317614</v>
      </c>
      <c r="P7" s="75">
        <f>G7/DD_projekcie!H$59/10</f>
        <v>0.17607986266978648</v>
      </c>
      <c r="Q7" s="75">
        <f>H7/DD_projekcie!I$59/10</f>
        <v>0.17389174291319393</v>
      </c>
    </row>
    <row r="8" spans="1:17" x14ac:dyDescent="0.25">
      <c r="A8" s="68" t="s">
        <v>1133</v>
      </c>
      <c r="B8" s="68" t="s">
        <v>1019</v>
      </c>
      <c r="C8" s="74">
        <f>sumarizacia!Q48+sumarizacia!Q49+sumarizacia!Q50</f>
        <v>1352051.1856800003</v>
      </c>
      <c r="D8" s="74">
        <f>sumarizacia!R48+sumarizacia!R49+sumarizacia!R50</f>
        <v>1352051.1856800001</v>
      </c>
      <c r="E8" s="74">
        <f>sumarizacia!S48+sumarizacia!S49+sumarizacia!S50</f>
        <v>1353147.6974554472</v>
      </c>
      <c r="F8" s="74">
        <f>sumarizacia!T48+sumarizacia!T49+sumarizacia!T50</f>
        <v>1359203.569289603</v>
      </c>
      <c r="G8" s="74">
        <f>sumarizacia!U48+sumarizacia!U49+sumarizacia!U50</f>
        <v>1359809.693413011</v>
      </c>
      <c r="H8" s="74">
        <f>sumarizacia!V48+sumarizacia!V49+sumarizacia!V50</f>
        <v>1366893.846738762</v>
      </c>
      <c r="I8" s="69"/>
      <c r="J8" s="68" t="s">
        <v>1133</v>
      </c>
      <c r="K8" s="68" t="s">
        <v>1019</v>
      </c>
      <c r="L8" s="75">
        <f>C8/DD_projekcie!E$59/10</f>
        <v>1.8739544622279389</v>
      </c>
      <c r="M8" s="75">
        <f>D8/DD_projekcie!E$59/10</f>
        <v>1.8739544622279385</v>
      </c>
      <c r="N8" s="75">
        <f>E8/DD_projekcie!F$59/10</f>
        <v>1.8164992183669657</v>
      </c>
      <c r="O8" s="75">
        <f>F8/DD_projekcie!G$59/10</f>
        <v>1.7473475504763356</v>
      </c>
      <c r="P8" s="75">
        <f>G8/DD_projekcie!H$59/10</f>
        <v>1.6641955857427146</v>
      </c>
      <c r="Q8" s="75">
        <f>H8/DD_projekcie!I$59/10</f>
        <v>1.5855348318159872</v>
      </c>
    </row>
    <row r="9" spans="1:17" x14ac:dyDescent="0.25">
      <c r="A9" s="68" t="s">
        <v>1135</v>
      </c>
      <c r="B9" s="68" t="s">
        <v>1010</v>
      </c>
      <c r="C9" s="74">
        <f>sumarizacia!Q14</f>
        <v>0</v>
      </c>
      <c r="D9" s="74">
        <f>sumarizacia!R14</f>
        <v>0</v>
      </c>
      <c r="E9" s="74">
        <f>sumarizacia!S14</f>
        <v>0</v>
      </c>
      <c r="F9" s="74">
        <f>sumarizacia!T14</f>
        <v>0</v>
      </c>
      <c r="G9" s="74">
        <f>sumarizacia!U14</f>
        <v>0</v>
      </c>
      <c r="H9" s="74">
        <f>sumarizacia!V14</f>
        <v>0</v>
      </c>
      <c r="I9" s="69"/>
      <c r="J9" s="68" t="s">
        <v>1135</v>
      </c>
      <c r="K9" s="68" t="s">
        <v>1010</v>
      </c>
      <c r="L9" s="75">
        <f>C9/DD_projekcie!E$59/10</f>
        <v>0</v>
      </c>
      <c r="M9" s="75">
        <f>D9/DD_projekcie!E$59/10</f>
        <v>0</v>
      </c>
      <c r="N9" s="75">
        <f>E9/DD_projekcie!F$59/10</f>
        <v>0</v>
      </c>
      <c r="O9" s="75">
        <f>F9/DD_projekcie!G$59/10</f>
        <v>0</v>
      </c>
      <c r="P9" s="75">
        <f>G9/DD_projekcie!H$59/10</f>
        <v>0</v>
      </c>
      <c r="Q9" s="75">
        <f>H9/DD_projekcie!I$59/10</f>
        <v>0</v>
      </c>
    </row>
    <row r="10" spans="1:17" x14ac:dyDescent="0.25">
      <c r="A10" s="68" t="s">
        <v>1134</v>
      </c>
      <c r="B10" s="68" t="s">
        <v>1011</v>
      </c>
      <c r="C10" s="74">
        <f>sumarizacia!Q16+sumarizacia!Q17+sumarizacia!Q18</f>
        <v>662316.00117999979</v>
      </c>
      <c r="D10" s="74">
        <f>sumarizacia!R16+sumarizacia!R17+sumarizacia!R18</f>
        <v>650020.0011799999</v>
      </c>
      <c r="E10" s="74">
        <f>sumarizacia!S16+sumarizacia!S17+sumarizacia!S18</f>
        <v>654803.99162370828</v>
      </c>
      <c r="F10" s="74">
        <f>sumarizacia!T16+sumarizacia!T17+sumarizacia!T18</f>
        <v>675702.06364379846</v>
      </c>
      <c r="G10" s="74">
        <f>sumarizacia!U16+sumarizacia!U17+sumarizacia!U18</f>
        <v>714817.35575009056</v>
      </c>
      <c r="H10" s="74">
        <f>sumarizacia!V16+sumarizacia!V17+sumarizacia!V18</f>
        <v>768946.32364956732</v>
      </c>
      <c r="I10" s="69"/>
      <c r="J10" s="68" t="s">
        <v>1134</v>
      </c>
      <c r="K10" s="68" t="s">
        <v>1011</v>
      </c>
      <c r="L10" s="75">
        <f>C10/DD_projekcie!E$59/10</f>
        <v>0.91797562027357849</v>
      </c>
      <c r="M10" s="75">
        <f>D10/DD_projekcie!E$59/10</f>
        <v>0.90093325951712111</v>
      </c>
      <c r="N10" s="75">
        <f>E10/DD_projekcie!F$59/10</f>
        <v>0.87902521003787049</v>
      </c>
      <c r="O10" s="75">
        <f>F10/DD_projekcie!G$59/10</f>
        <v>0.86866042176220171</v>
      </c>
      <c r="P10" s="75">
        <f>G10/DD_projekcie!H$59/10</f>
        <v>0.87482527431157808</v>
      </c>
      <c r="Q10" s="75">
        <f>H10/DD_projekcie!I$59/10</f>
        <v>0.89194284022279879</v>
      </c>
    </row>
    <row r="11" spans="1:17" x14ac:dyDescent="0.25">
      <c r="A11" s="68" t="s">
        <v>834</v>
      </c>
      <c r="B11" s="68" t="s">
        <v>1016</v>
      </c>
      <c r="C11" s="74">
        <f>sumarizacia!Q33+sumarizacia!Q36+sumarizacia!Q38</f>
        <v>1713157.2152100056</v>
      </c>
      <c r="D11" s="74">
        <f>sumarizacia!R33+sumarizacia!R36+sumarizacia!R38</f>
        <v>1683157.2152100056</v>
      </c>
      <c r="E11" s="74">
        <f>sumarizacia!S33+sumarizacia!S36+sumarizacia!S38</f>
        <v>2013702.6365749612</v>
      </c>
      <c r="F11" s="74">
        <f>sumarizacia!T33+sumarizacia!T36+sumarizacia!T38</f>
        <v>2050047.6580352453</v>
      </c>
      <c r="G11" s="74">
        <f>sumarizacia!U33+sumarizacia!U36+sumarizacia!U38</f>
        <v>1442497.4976883845</v>
      </c>
      <c r="H11" s="74">
        <f>sumarizacia!V33+sumarizacia!V36+sumarizacia!V38</f>
        <v>1842395.7417075566</v>
      </c>
      <c r="I11" s="69"/>
      <c r="J11" s="68" t="s">
        <v>834</v>
      </c>
      <c r="K11" s="68" t="s">
        <v>1016</v>
      </c>
      <c r="L11" s="75">
        <f>C11/DD_projekcie!E$59/10</f>
        <v>2.3744504956194783</v>
      </c>
      <c r="M11" s="75">
        <f>D11/DD_projekcie!E$59/10</f>
        <v>2.3328702400328054</v>
      </c>
      <c r="N11" s="75">
        <f>E11/DD_projekcie!F$59/10</f>
        <v>2.7032446437594833</v>
      </c>
      <c r="O11" s="75">
        <f>F11/DD_projekcie!G$59/10</f>
        <v>2.6354740633147893</v>
      </c>
      <c r="P11" s="75">
        <f>G11/DD_projekcie!H$59/10</f>
        <v>1.7653925984838488</v>
      </c>
      <c r="Q11" s="75">
        <f>H11/DD_projekcie!I$59/10</f>
        <v>2.137095451440036</v>
      </c>
    </row>
    <row r="12" spans="1:17" x14ac:dyDescent="0.25">
      <c r="A12" s="76" t="s">
        <v>852</v>
      </c>
      <c r="B12" s="76" t="s">
        <v>1017</v>
      </c>
      <c r="C12" s="77">
        <f>sumarizacia!Q39+sumarizacia!Q41+sumarizacia!Q43</f>
        <v>527539.53864999977</v>
      </c>
      <c r="D12" s="77">
        <f>sumarizacia!R39+sumarizacia!R41+sumarizacia!R43</f>
        <v>237960.53864999983</v>
      </c>
      <c r="E12" s="77">
        <f>sumarizacia!S39+sumarizacia!S41+sumarizacia!S43</f>
        <v>267676.98134070169</v>
      </c>
      <c r="F12" s="77">
        <f>sumarizacia!T39+sumarizacia!T41+sumarizacia!T43</f>
        <v>108534.77892525688</v>
      </c>
      <c r="G12" s="77">
        <f>sumarizacia!U39+sumarizacia!U41+sumarizacia!U43</f>
        <v>344459.68108612194</v>
      </c>
      <c r="H12" s="77">
        <f>sumarizacia!V39+sumarizacia!V41+sumarizacia!V43</f>
        <v>176543.33190657388</v>
      </c>
      <c r="I12" s="69"/>
      <c r="J12" s="76" t="s">
        <v>852</v>
      </c>
      <c r="K12" s="76" t="s">
        <v>1017</v>
      </c>
      <c r="L12" s="78">
        <f>C12/DD_projekcie!E$59/10</f>
        <v>0.73117429497141162</v>
      </c>
      <c r="M12" s="78">
        <f>D12/DD_projekcie!E$59/10</f>
        <v>0.32981533388697604</v>
      </c>
      <c r="N12" s="78">
        <f>E12/DD_projekcie!F$59/10</f>
        <v>0.35933625597158658</v>
      </c>
      <c r="O12" s="78">
        <f>F12/DD_projekcie!G$59/10</f>
        <v>0.13952875373602722</v>
      </c>
      <c r="P12" s="78">
        <f>G12/DD_projekcie!H$59/10</f>
        <v>0.42156507892737638</v>
      </c>
      <c r="Q12" s="78">
        <f>H12/DD_projekcie!I$59/10</f>
        <v>0.20478225337729575</v>
      </c>
    </row>
    <row r="13" spans="1:17" s="39" customFormat="1" x14ac:dyDescent="0.25">
      <c r="A13" s="70" t="s">
        <v>1022</v>
      </c>
      <c r="B13" s="70" t="s">
        <v>1144</v>
      </c>
      <c r="C13" s="71">
        <f>SUM(C14:C26)</f>
        <v>27920732.242160086</v>
      </c>
      <c r="D13" s="71">
        <f t="shared" ref="D13:H13" si="1">SUM(D14:D26)</f>
        <v>27889998.242160011</v>
      </c>
      <c r="E13" s="71">
        <f t="shared" si="1"/>
        <v>28726465.300743237</v>
      </c>
      <c r="F13" s="71">
        <f t="shared" si="1"/>
        <v>29704669.981428567</v>
      </c>
      <c r="G13" s="71">
        <f t="shared" si="1"/>
        <v>30302115.194037482</v>
      </c>
      <c r="H13" s="71">
        <f t="shared" si="1"/>
        <v>31998943.918066684</v>
      </c>
      <c r="I13" s="69"/>
      <c r="J13" s="70" t="s">
        <v>1022</v>
      </c>
      <c r="K13" s="70" t="s">
        <v>1144</v>
      </c>
      <c r="L13" s="73">
        <f>C13/DD_projekcie!E$59/10</f>
        <v>38.698372759868903</v>
      </c>
      <c r="M13" s="73">
        <f>D13/DD_projekcie!E$59/10</f>
        <v>38.655775174028776</v>
      </c>
      <c r="N13" s="73">
        <f>E13/DD_projekcie!F$59/10</f>
        <v>38.563123495958173</v>
      </c>
      <c r="O13" s="73">
        <f>F13/DD_projekcie!G$59/10</f>
        <v>38.187349932347018</v>
      </c>
      <c r="P13" s="73">
        <f>G13/DD_projekcie!H$59/10</f>
        <v>37.085076381543253</v>
      </c>
      <c r="Q13" s="73">
        <f>H13/DD_projekcie!I$59/10</f>
        <v>37.117322815132638</v>
      </c>
    </row>
    <row r="14" spans="1:17" x14ac:dyDescent="0.25">
      <c r="A14" s="68" t="s">
        <v>1136</v>
      </c>
      <c r="B14" s="68" t="s">
        <v>1007</v>
      </c>
      <c r="C14" s="74">
        <f>-(sumarizacia!Q3+sumarizacia!Q4+sumarizacia!Q5)</f>
        <v>5488085.6347700637</v>
      </c>
      <c r="D14" s="74">
        <f>-(sumarizacia!R3+sumarizacia!R4+sumarizacia!R5)</f>
        <v>5488085.6347700041</v>
      </c>
      <c r="E14" s="74">
        <f>-(sumarizacia!S3+sumarizacia!S4+sumarizacia!S5)</f>
        <v>5674163.2473101858</v>
      </c>
      <c r="F14" s="74">
        <f>-(sumarizacia!T3+sumarizacia!T4+sumarizacia!T5)</f>
        <v>5881318.8572260505</v>
      </c>
      <c r="G14" s="74">
        <f>-(sumarizacia!U3+sumarizacia!U4+sumarizacia!U5)</f>
        <v>6069261.230393732</v>
      </c>
      <c r="H14" s="74">
        <f>-(sumarizacia!V3+sumarizacia!V4+sumarizacia!V5)</f>
        <v>6377308.7621269347</v>
      </c>
      <c r="I14" s="69"/>
      <c r="J14" s="68" t="s">
        <v>1136</v>
      </c>
      <c r="K14" s="68" t="s">
        <v>1007</v>
      </c>
      <c r="L14" s="75">
        <f>C14/DD_projekcie!E$59/10</f>
        <v>7.6065334458428566</v>
      </c>
      <c r="M14" s="75">
        <f>D14/DD_projekcie!E$59/10</f>
        <v>7.6065334458427731</v>
      </c>
      <c r="N14" s="75">
        <f>E14/DD_projekcie!F$59/10</f>
        <v>7.6171382643651739</v>
      </c>
      <c r="O14" s="75">
        <f>F14/DD_projekcie!G$59/10</f>
        <v>7.5608307180324825</v>
      </c>
      <c r="P14" s="75">
        <f>G14/DD_projekcie!H$59/10</f>
        <v>7.4278318482856038</v>
      </c>
      <c r="Q14" s="75">
        <f>H14/DD_projekcie!I$59/10</f>
        <v>7.3973887582581455</v>
      </c>
    </row>
    <row r="15" spans="1:17" x14ac:dyDescent="0.25">
      <c r="A15" s="68" t="s">
        <v>1137</v>
      </c>
      <c r="B15" s="68" t="s">
        <v>753</v>
      </c>
      <c r="C15" s="74">
        <f>-(sumarizacia!Q51)</f>
        <v>3319407.8026100108</v>
      </c>
      <c r="D15" s="74">
        <f>-(sumarizacia!R51)</f>
        <v>3319407.8026100015</v>
      </c>
      <c r="E15" s="74">
        <f>-(sumarizacia!S51)</f>
        <v>3371404.1142558539</v>
      </c>
      <c r="F15" s="74">
        <f>-(sumarizacia!T51)</f>
        <v>3433927.6890084441</v>
      </c>
      <c r="G15" s="74">
        <f>-(sumarizacia!U51)</f>
        <v>3432254.1181019875</v>
      </c>
      <c r="H15" s="74">
        <f>-(sumarizacia!V51)</f>
        <v>3546875.9894207246</v>
      </c>
      <c r="I15" s="69"/>
      <c r="J15" s="68" t="s">
        <v>1137</v>
      </c>
      <c r="K15" s="68" t="s">
        <v>753</v>
      </c>
      <c r="L15" s="75">
        <f>C15/DD_projekcie!E$59/10</f>
        <v>4.6007274942973186</v>
      </c>
      <c r="M15" s="75">
        <f>D15/DD_projekcie!E$59/10</f>
        <v>4.6007274942973062</v>
      </c>
      <c r="N15" s="75">
        <f>E15/DD_projekcie!F$59/10</f>
        <v>4.5258569702784204</v>
      </c>
      <c r="O15" s="75">
        <f>F15/DD_projekcie!G$59/10</f>
        <v>4.414544863973429</v>
      </c>
      <c r="P15" s="75">
        <f>G15/DD_projekcie!H$59/10</f>
        <v>4.2005452528846696</v>
      </c>
      <c r="Q15" s="75">
        <f>H15/DD_projekcie!I$59/10</f>
        <v>4.1142151885281999</v>
      </c>
    </row>
    <row r="16" spans="1:17" x14ac:dyDescent="0.25">
      <c r="A16" s="68" t="s">
        <v>1146</v>
      </c>
      <c r="B16" s="68" t="s">
        <v>706</v>
      </c>
      <c r="C16" s="74">
        <f>-(sumarizacia!Q10)</f>
        <v>71734.807720000157</v>
      </c>
      <c r="D16" s="74">
        <f>-(sumarizacia!R10)</f>
        <v>71734.807719999968</v>
      </c>
      <c r="E16" s="74">
        <f>-(sumarizacia!S10)</f>
        <v>72424.605896018053</v>
      </c>
      <c r="F16" s="74">
        <f>-(sumarizacia!T10)</f>
        <v>73909.021694964104</v>
      </c>
      <c r="G16" s="74">
        <f>-(sumarizacia!U10)</f>
        <v>75302.020688040051</v>
      </c>
      <c r="H16" s="74">
        <f>-(sumarizacia!V10)</f>
        <v>77215.676058796671</v>
      </c>
      <c r="I16" s="69"/>
      <c r="J16" s="68" t="s">
        <v>1146</v>
      </c>
      <c r="K16" s="68" t="s">
        <v>706</v>
      </c>
      <c r="L16" s="75">
        <f>C16/DD_projekcie!E$59/10</f>
        <v>9.9425054648614092E-2</v>
      </c>
      <c r="M16" s="75">
        <f>D16/DD_projekcie!E$59/10</f>
        <v>9.9425054648613814E-2</v>
      </c>
      <c r="N16" s="75">
        <f>E16/DD_projekcie!F$59/10</f>
        <v>9.7224597320784326E-2</v>
      </c>
      <c r="O16" s="75">
        <f>F16/DD_projekcie!G$59/10</f>
        <v>9.5015015362486327E-2</v>
      </c>
      <c r="P16" s="75">
        <f>G16/DD_projekcie!H$59/10</f>
        <v>9.2157962274858257E-2</v>
      </c>
      <c r="Q16" s="75">
        <f>H16/DD_projekcie!I$59/10</f>
        <v>8.9566680137993293E-2</v>
      </c>
    </row>
    <row r="17" spans="1:17" x14ac:dyDescent="0.25">
      <c r="A17" s="68" t="s">
        <v>1130</v>
      </c>
      <c r="B17" s="68" t="s">
        <v>717</v>
      </c>
      <c r="C17" s="74">
        <f>-(sumarizacia!Q19)</f>
        <v>19967</v>
      </c>
      <c r="D17" s="74">
        <f>-(sumarizacia!R19)</f>
        <v>19967</v>
      </c>
      <c r="E17" s="74">
        <f>-(sumarizacia!S19)</f>
        <v>20117.700822728948</v>
      </c>
      <c r="F17" s="74">
        <f>-(sumarizacia!T19)</f>
        <v>20535.135679181119</v>
      </c>
      <c r="G17" s="74">
        <f>-(sumarizacia!U19)</f>
        <v>21002.260963594868</v>
      </c>
      <c r="H17" s="74">
        <f>-(sumarizacia!V19)</f>
        <v>21496.934609731965</v>
      </c>
      <c r="I17" s="69"/>
      <c r="J17" s="68" t="s">
        <v>1130</v>
      </c>
      <c r="K17" s="68" t="s">
        <v>717</v>
      </c>
      <c r="L17" s="75">
        <f>C17/DD_projekcie!E$59/10</f>
        <v>2.7674432109969737E-2</v>
      </c>
      <c r="M17" s="75">
        <f>D17/DD_projekcie!E$59/10</f>
        <v>2.7674432109969737E-2</v>
      </c>
      <c r="N17" s="75">
        <f>E17/DD_projekcie!F$59/10</f>
        <v>2.7006503346639156E-2</v>
      </c>
      <c r="O17" s="75">
        <f>F17/DD_projekcie!G$59/10</f>
        <v>2.6399297234387283E-2</v>
      </c>
      <c r="P17" s="75">
        <f>G17/DD_projekcie!H$59/10</f>
        <v>2.5703501126326567E-2</v>
      </c>
      <c r="Q17" s="75">
        <f>H17/DD_projekcie!I$59/10</f>
        <v>2.4935468604472207E-2</v>
      </c>
    </row>
    <row r="18" spans="1:17" x14ac:dyDescent="0.25">
      <c r="A18" s="68" t="s">
        <v>1138</v>
      </c>
      <c r="B18" s="68" t="s">
        <v>1014</v>
      </c>
      <c r="C18" s="74">
        <f>-(sumarizacia!Q28+sumarizacia!Q29)</f>
        <v>9865372.2499900032</v>
      </c>
      <c r="D18" s="74">
        <f>-(sumarizacia!R28+sumarizacia!R29)</f>
        <v>9865372.2499900013</v>
      </c>
      <c r="E18" s="74">
        <f>-(sumarizacia!S28+sumarizacia!S29)</f>
        <v>9924752.6527962033</v>
      </c>
      <c r="F18" s="74">
        <f>-(sumarizacia!T28+sumarizacia!T29)</f>
        <v>10227788.029578986</v>
      </c>
      <c r="G18" s="74">
        <f>-(sumarizacia!U28+sumarizacia!U29)</f>
        <v>10605723.389090374</v>
      </c>
      <c r="H18" s="74">
        <f>-(sumarizacia!V28+sumarizacia!V29)</f>
        <v>11048819.235457055</v>
      </c>
      <c r="I18" s="69"/>
      <c r="J18" s="68" t="s">
        <v>1138</v>
      </c>
      <c r="K18" s="68" t="s">
        <v>1014</v>
      </c>
      <c r="L18" s="75">
        <f>C18/DD_projekcie!E$59/10</f>
        <v>13.673489987075062</v>
      </c>
      <c r="M18" s="75">
        <f>D18/DD_projekcie!E$59/10</f>
        <v>13.673489987075058</v>
      </c>
      <c r="N18" s="75">
        <f>E18/DD_projekcie!F$59/10</f>
        <v>13.32323549764113</v>
      </c>
      <c r="O18" s="75">
        <f>F18/DD_projekcie!G$59/10</f>
        <v>13.148508997527642</v>
      </c>
      <c r="P18" s="75">
        <f>G18/DD_projekcie!H$59/10</f>
        <v>12.979756015293887</v>
      </c>
      <c r="Q18" s="75">
        <f>H18/DD_projekcie!I$59/10</f>
        <v>12.816128911584533</v>
      </c>
    </row>
    <row r="19" spans="1:17" x14ac:dyDescent="0.25">
      <c r="A19" s="68" t="s">
        <v>1147</v>
      </c>
      <c r="B19" s="68" t="s">
        <v>730</v>
      </c>
      <c r="C19" s="74">
        <f>-(sumarizacia!Q31)</f>
        <v>130965.55764999999</v>
      </c>
      <c r="D19" s="74">
        <f>-(sumarizacia!R31)</f>
        <v>130965.55765000003</v>
      </c>
      <c r="E19" s="74">
        <f>-(sumarizacia!S31)</f>
        <v>134274.41740750606</v>
      </c>
      <c r="F19" s="74">
        <f>-(sumarizacia!T31)</f>
        <v>138795.1541018672</v>
      </c>
      <c r="G19" s="74">
        <f>-(sumarizacia!U31)</f>
        <v>144243.51334396517</v>
      </c>
      <c r="H19" s="74">
        <f>-(sumarizacia!V31)</f>
        <v>150501.97718838026</v>
      </c>
      <c r="I19" s="69"/>
      <c r="J19" s="68" t="s">
        <v>1147</v>
      </c>
      <c r="K19" s="68" t="s">
        <v>730</v>
      </c>
      <c r="L19" s="75">
        <f>C19/DD_projekcie!E$59/10</f>
        <v>0.18151937867127022</v>
      </c>
      <c r="M19" s="75">
        <f>D19/DD_projekcie!E$59/10</f>
        <v>0.18151937867127027</v>
      </c>
      <c r="N19" s="75">
        <f>E19/DD_projekcie!F$59/10</f>
        <v>0.18025332691034288</v>
      </c>
      <c r="O19" s="75">
        <f>F19/DD_projekcie!G$59/10</f>
        <v>0.17843050004984881</v>
      </c>
      <c r="P19" s="75">
        <f>G19/DD_projekcie!H$59/10</f>
        <v>0.17653162743423517</v>
      </c>
      <c r="Q19" s="75">
        <f>H19/DD_projekcie!I$59/10</f>
        <v>0.17457546367531332</v>
      </c>
    </row>
    <row r="20" spans="1:17" x14ac:dyDescent="0.25">
      <c r="A20" s="68" t="s">
        <v>1139</v>
      </c>
      <c r="B20" s="68" t="s">
        <v>729</v>
      </c>
      <c r="C20" s="74">
        <f>-(sumarizacia!Q30)</f>
        <v>3664452.9737399993</v>
      </c>
      <c r="D20" s="74">
        <f>-(sumarizacia!R30)</f>
        <v>3664452.9737399998</v>
      </c>
      <c r="E20" s="74">
        <f>-(sumarizacia!S30)</f>
        <v>3802025.7384712952</v>
      </c>
      <c r="F20" s="74">
        <f>-(sumarizacia!T30)</f>
        <v>4004916.6728890534</v>
      </c>
      <c r="G20" s="74">
        <f>-(sumarizacia!U30)</f>
        <v>4245945.6246929131</v>
      </c>
      <c r="H20" s="74">
        <f>-(sumarizacia!V30)</f>
        <v>4520163.7535000034</v>
      </c>
      <c r="I20" s="69"/>
      <c r="J20" s="68" t="s">
        <v>1139</v>
      </c>
      <c r="K20" s="68" t="s">
        <v>729</v>
      </c>
      <c r="L20" s="75">
        <f>C20/DD_projekcie!E$59/10</f>
        <v>5.0789630411150561</v>
      </c>
      <c r="M20" s="75">
        <f>D20/DD_projekcie!E$59/10</f>
        <v>5.078963041115057</v>
      </c>
      <c r="N20" s="75">
        <f>E20/DD_projekcie!F$59/10</f>
        <v>5.1039341789011088</v>
      </c>
      <c r="O20" s="75">
        <f>F20/DD_projekcie!G$59/10</f>
        <v>5.1485895831571913</v>
      </c>
      <c r="P20" s="75">
        <f>G20/DD_projekcie!H$59/10</f>
        <v>5.1963771108163277</v>
      </c>
      <c r="Q20" s="75">
        <f>H20/DD_projekcie!I$59/10</f>
        <v>5.2431848265215493</v>
      </c>
    </row>
    <row r="21" spans="1:17" x14ac:dyDescent="0.25">
      <c r="A21" s="68" t="s">
        <v>1135</v>
      </c>
      <c r="B21" s="68" t="s">
        <v>1009</v>
      </c>
      <c r="C21" s="74">
        <f>-(sumarizacia!Q12+sumarizacia!Q13)</f>
        <v>812004.40676999977</v>
      </c>
      <c r="D21" s="74">
        <f>-(sumarizacia!R12+sumarizacia!R13)</f>
        <v>812004.40676999977</v>
      </c>
      <c r="E21" s="74">
        <f>-(sumarizacia!S12+sumarizacia!S13)</f>
        <v>837976.58964554896</v>
      </c>
      <c r="F21" s="74">
        <f>-(sumarizacia!T12+sumarizacia!T13)</f>
        <v>865226.50602341548</v>
      </c>
      <c r="G21" s="74">
        <f>-(sumarizacia!U12+sumarizacia!U13)</f>
        <v>848404.65868354263</v>
      </c>
      <c r="H21" s="74">
        <f>-(sumarizacia!V12+sumarizacia!V13)</f>
        <v>892497.21509975521</v>
      </c>
      <c r="I21" s="69"/>
      <c r="J21" s="68" t="s">
        <v>1135</v>
      </c>
      <c r="K21" s="68" t="s">
        <v>1009</v>
      </c>
      <c r="L21" s="75">
        <f>C21/DD_projekcie!E$59/10</f>
        <v>1.1254450257000355</v>
      </c>
      <c r="M21" s="75">
        <f>D21/DD_projekcie!E$59/10</f>
        <v>1.1254450257000355</v>
      </c>
      <c r="N21" s="75">
        <f>E21/DD_projekcie!F$59/10</f>
        <v>1.1249206741905378</v>
      </c>
      <c r="O21" s="75">
        <f>F21/DD_projekcie!G$59/10</f>
        <v>1.1123068317848761</v>
      </c>
      <c r="P21" s="75">
        <f>G21/DD_projekcie!H$59/10</f>
        <v>1.0383153574680912</v>
      </c>
      <c r="Q21" s="75">
        <f>H21/DD_projekcie!I$59/10</f>
        <v>1.0352562674970294</v>
      </c>
    </row>
    <row r="22" spans="1:17" x14ac:dyDescent="0.25">
      <c r="A22" s="68" t="s">
        <v>679</v>
      </c>
      <c r="B22" s="68" t="s">
        <v>713</v>
      </c>
      <c r="C22" s="74">
        <f>-(sumarizacia!Q15)</f>
        <v>1413356.5721599993</v>
      </c>
      <c r="D22" s="74">
        <f>-(sumarizacia!R15)</f>
        <v>1413356.57216</v>
      </c>
      <c r="E22" s="74">
        <f>-(sumarizacia!S15)</f>
        <v>1438960.9101305346</v>
      </c>
      <c r="F22" s="74">
        <f>-(sumarizacia!T15)</f>
        <v>1495719.0849443206</v>
      </c>
      <c r="G22" s="74">
        <f>-(sumarizacia!U15)</f>
        <v>1598562.4384136319</v>
      </c>
      <c r="H22" s="74">
        <f>-(sumarizacia!V15)</f>
        <v>1739324.0871311806</v>
      </c>
      <c r="I22" s="69"/>
      <c r="J22" s="68" t="s">
        <v>679</v>
      </c>
      <c r="K22" s="68" t="s">
        <v>713</v>
      </c>
      <c r="L22" s="75">
        <f>C22/DD_projekcie!E$59/10</f>
        <v>1.9589242501838757</v>
      </c>
      <c r="M22" s="75">
        <f>D22/DD_projekcie!E$59/10</f>
        <v>1.9589242501838764</v>
      </c>
      <c r="N22" s="75">
        <f>E22/DD_projekcie!F$59/10</f>
        <v>1.9316970153576278</v>
      </c>
      <c r="O22" s="75">
        <f>F22/DD_projekcie!G$59/10</f>
        <v>1.9228474220709633</v>
      </c>
      <c r="P22" s="75">
        <f>G22/DD_projekcie!H$59/10</f>
        <v>1.9563918145522918</v>
      </c>
      <c r="Q22" s="75">
        <f>H22/DD_projekcie!I$59/10</f>
        <v>2.0175370095802978</v>
      </c>
    </row>
    <row r="23" spans="1:17" x14ac:dyDescent="0.25">
      <c r="A23" s="68" t="s">
        <v>1140</v>
      </c>
      <c r="B23" s="68" t="s">
        <v>1015</v>
      </c>
      <c r="C23" s="74">
        <f>-(sumarizacia!Q32+sumarizacia!Q34+sumarizacia!Q35+sumarizacia!Q37)</f>
        <v>1216813.0036900006</v>
      </c>
      <c r="D23" s="74">
        <f>-(sumarizacia!R32+sumarizacia!R34+sumarizacia!R35+sumarizacia!R37)</f>
        <v>1216813.0036899999</v>
      </c>
      <c r="E23" s="74">
        <f>-(sumarizacia!S32+sumarizacia!S34+sumarizacia!S35+sumarizacia!S37)</f>
        <v>1224124.2816057706</v>
      </c>
      <c r="F23" s="74">
        <f>-(sumarizacia!T32+sumarizacia!T34+sumarizacia!T35+sumarizacia!T37)</f>
        <v>1270355.6188077489</v>
      </c>
      <c r="G23" s="74">
        <f>-(sumarizacia!U32+sumarizacia!U34+sumarizacia!U35+sumarizacia!U37)</f>
        <v>1341526.8300624255</v>
      </c>
      <c r="H23" s="74">
        <f>-(sumarizacia!V32+sumarizacia!V34+sumarizacia!V35+sumarizacia!V37)</f>
        <v>1386002.0738978079</v>
      </c>
      <c r="I23" s="69"/>
      <c r="J23" s="68" t="s">
        <v>1140</v>
      </c>
      <c r="K23" s="68" t="s">
        <v>1015</v>
      </c>
      <c r="L23" s="75">
        <f>C23/DD_projekcie!E$59/10</f>
        <v>1.6865131898205679</v>
      </c>
      <c r="M23" s="75">
        <f>D23/DD_projekcie!E$59/10</f>
        <v>1.6865131898205667</v>
      </c>
      <c r="N23" s="75">
        <f>E23/DD_projekcie!F$59/10</f>
        <v>1.643294966914814</v>
      </c>
      <c r="O23" s="75">
        <f>F23/DD_projekcie!G$59/10</f>
        <v>1.6331275380020807</v>
      </c>
      <c r="P23" s="75">
        <f>G23/DD_projekcie!H$59/10</f>
        <v>1.6418202043712125</v>
      </c>
      <c r="Q23" s="75">
        <f>H23/DD_projekcie!I$59/10</f>
        <v>1.6076995081785328</v>
      </c>
    </row>
    <row r="24" spans="1:17" x14ac:dyDescent="0.25">
      <c r="A24" s="68" t="s">
        <v>852</v>
      </c>
      <c r="B24" s="68" t="s">
        <v>1018</v>
      </c>
      <c r="C24" s="74">
        <f>-(sumarizacia!Q40+sumarizacia!Q42)</f>
        <v>457041.89523999998</v>
      </c>
      <c r="D24" s="74">
        <f>-(sumarizacia!R40+sumarizacia!R42)</f>
        <v>426307.89523999998</v>
      </c>
      <c r="E24" s="74">
        <f>-(sumarizacia!S40+sumarizacia!S42)</f>
        <v>550245.96081895381</v>
      </c>
      <c r="F24" s="74">
        <f>-(sumarizacia!T40+sumarizacia!T42)</f>
        <v>561473.58156794193</v>
      </c>
      <c r="G24" s="74">
        <f>-(sumarizacia!U40+sumarizacia!U42)</f>
        <v>436149.27570330992</v>
      </c>
      <c r="H24" s="74">
        <f>-(sumarizacia!V40+sumarizacia!V42)</f>
        <v>502875.00082253292</v>
      </c>
      <c r="I24" s="69"/>
      <c r="J24" s="68" t="s">
        <v>852</v>
      </c>
      <c r="K24" s="68" t="s">
        <v>1018</v>
      </c>
      <c r="L24" s="75">
        <f>C24/DD_projekcie!E$59/10</f>
        <v>0.6334639605965483</v>
      </c>
      <c r="M24" s="75">
        <f>D24/DD_projekcie!E$59/10</f>
        <v>0.59086637475652182</v>
      </c>
      <c r="N24" s="75">
        <f>E24/DD_projekcie!F$59/10</f>
        <v>0.73866390166925533</v>
      </c>
      <c r="O24" s="75">
        <f>F24/DD_projekcie!G$59/10</f>
        <v>0.72181202991005355</v>
      </c>
      <c r="P24" s="75">
        <f>G24/DD_projekcie!H$59/10</f>
        <v>0.53377888307924715</v>
      </c>
      <c r="Q24" s="75">
        <f>H24/DD_projekcie!I$59/10</f>
        <v>0.58331218020765774</v>
      </c>
    </row>
    <row r="25" spans="1:17" x14ac:dyDescent="0.25">
      <c r="A25" s="68" t="s">
        <v>1141</v>
      </c>
      <c r="B25" s="68" t="s">
        <v>1020</v>
      </c>
      <c r="C25" s="74">
        <f>-(sumarizacia!Q52+sumarizacia!Q53+sumarizacia!Q54+sumarizacia!Q55+sumarizacia!Q56)</f>
        <v>1497197.5715800077</v>
      </c>
      <c r="D25" s="74">
        <f>-(sumarizacia!R52+sumarizacia!R53+sumarizacia!R54+sumarizacia!R55+sumarizacia!R56)</f>
        <v>1497197.5715800007</v>
      </c>
      <c r="E25" s="74">
        <f>-(sumarizacia!S52+sumarizacia!S53+sumarizacia!S54+sumarizacia!S55+sumarizacia!S56)</f>
        <v>1708891.4029142628</v>
      </c>
      <c r="F25" s="74">
        <f>-(sumarizacia!T52+sumarizacia!T53+sumarizacia!T54+sumarizacia!T55+sumarizacia!T56)</f>
        <v>1762835.1315135485</v>
      </c>
      <c r="G25" s="74">
        <f>-(sumarizacia!U52+sumarizacia!U53+sumarizacia!U54+sumarizacia!U55+sumarizacia!U56)</f>
        <v>1518918.0904417008</v>
      </c>
      <c r="H25" s="74">
        <f>-(sumarizacia!V52+sumarizacia!V53+sumarizacia!V54+sumarizacia!V55+sumarizacia!V56)</f>
        <v>1767738.9068267422</v>
      </c>
      <c r="I25" s="69"/>
      <c r="J25" s="68" t="s">
        <v>1141</v>
      </c>
      <c r="K25" s="68" t="s">
        <v>1020</v>
      </c>
      <c r="L25" s="75">
        <f>C25/DD_projekcie!E$59/10</f>
        <v>2.0751285896680765</v>
      </c>
      <c r="M25" s="75">
        <f>D25/DD_projekcie!E$59/10</f>
        <v>2.0751285896680667</v>
      </c>
      <c r="N25" s="75">
        <f>E25/DD_projekcie!F$59/10</f>
        <v>2.2940584412959053</v>
      </c>
      <c r="O25" s="75">
        <f>F25/DD_projekcie!G$59/10</f>
        <v>2.2662430547866799</v>
      </c>
      <c r="P25" s="75">
        <f>G25/DD_projekcie!H$59/10</f>
        <v>1.8589195190051331</v>
      </c>
      <c r="Q25" s="75">
        <f>H25/DD_projekcie!I$59/10</f>
        <v>2.0504969109468698</v>
      </c>
    </row>
    <row r="26" spans="1:17" x14ac:dyDescent="0.25">
      <c r="A26" s="68" t="s">
        <v>1142</v>
      </c>
      <c r="B26" s="68" t="s">
        <v>1021</v>
      </c>
      <c r="C26" s="74">
        <f>-(sumarizacia!Q44+sumarizacia!Q45+sumarizacia!Q46+sumarizacia!Q47+sumarizacia!Q57+sumarizacia!Q58+sumarizacia!Q59)</f>
        <v>-35667.233760000017</v>
      </c>
      <c r="D26" s="74">
        <f>-(sumarizacia!R44+sumarizacia!R45+sumarizacia!R46+sumarizacia!R47+sumarizacia!R57+sumarizacia!R58+sumarizacia!R59)</f>
        <v>-35667.233759999945</v>
      </c>
      <c r="E26" s="74">
        <f>-(sumarizacia!S44+sumarizacia!S45+sumarizacia!S46+sumarizacia!S47+sumarizacia!S57+sumarizacia!S58+sumarizacia!S59)</f>
        <v>-32896.321331625048</v>
      </c>
      <c r="F26" s="74">
        <f>-(sumarizacia!T44+sumarizacia!T45+sumarizacia!T46+sumarizacia!T47+sumarizacia!T57+sumarizacia!T58+sumarizacia!T59)</f>
        <v>-32130.501606949994</v>
      </c>
      <c r="G26" s="74">
        <f>-(sumarizacia!U44+sumarizacia!U45+sumarizacia!U46+sumarizacia!U47+sumarizacia!U57+sumarizacia!U58+sumarizacia!U59)</f>
        <v>-35178.25654173299</v>
      </c>
      <c r="H26" s="74">
        <f>-(sumarizacia!V44+sumarizacia!V45+sumarizacia!V46+sumarizacia!V47+sumarizacia!V57+sumarizacia!V58+sumarizacia!V59)</f>
        <v>-31875.69407296116</v>
      </c>
      <c r="I26" s="69"/>
      <c r="J26" s="76" t="s">
        <v>1142</v>
      </c>
      <c r="K26" s="76" t="s">
        <v>1021</v>
      </c>
      <c r="L26" s="78">
        <f>C26/DD_projekcie!E$59/10</f>
        <v>-4.9435089860346629E-2</v>
      </c>
      <c r="M26" s="78">
        <f>D26/DD_projekcie!E$59/10</f>
        <v>-4.9435089860346532E-2</v>
      </c>
      <c r="N26" s="78">
        <f>E26/DD_projekcie!F$59/10</f>
        <v>-4.4160842233567733E-2</v>
      </c>
      <c r="O26" s="78">
        <f>F26/DD_projekcie!G$59/10</f>
        <v>-4.1305919545093342E-2</v>
      </c>
      <c r="P26" s="78">
        <f>G26/DD_projekcie!H$59/10</f>
        <v>-4.3052715048631125E-2</v>
      </c>
      <c r="Q26" s="78">
        <f>H26/DD_projekcie!I$59/10</f>
        <v>-3.6974358587956571E-2</v>
      </c>
    </row>
    <row r="27" spans="1:17" x14ac:dyDescent="0.25">
      <c r="A27" s="79" t="s">
        <v>1003</v>
      </c>
      <c r="B27" s="79" t="s">
        <v>1145</v>
      </c>
      <c r="C27" s="80">
        <f>C3-C13</f>
        <v>-1994907.1111300811</v>
      </c>
      <c r="D27" s="80">
        <f t="shared" ref="D27:H27" si="2">D3-D13</f>
        <v>-2536056.7032700069</v>
      </c>
      <c r="E27" s="80">
        <f t="shared" si="2"/>
        <v>-2359803.3947714902</v>
      </c>
      <c r="F27" s="80">
        <f t="shared" si="2"/>
        <v>-2963218.4160597995</v>
      </c>
      <c r="G27" s="80">
        <f t="shared" si="2"/>
        <v>-2973112.9683860056</v>
      </c>
      <c r="H27" s="80">
        <f t="shared" si="2"/>
        <v>-3364502.5195004418</v>
      </c>
      <c r="I27" s="69"/>
      <c r="J27" s="79" t="s">
        <v>1003</v>
      </c>
      <c r="K27" s="79" t="s">
        <v>1145</v>
      </c>
      <c r="L27" s="81">
        <f>L3-L13</f>
        <v>-2.7649582517486451</v>
      </c>
      <c r="M27" s="81">
        <f t="shared" ref="M27:Q27" si="3">M3-M13</f>
        <v>-3.5149961968087098</v>
      </c>
      <c r="N27" s="81">
        <f t="shared" si="3"/>
        <v>-3.1678589337756051</v>
      </c>
      <c r="O27" s="81">
        <f t="shared" si="3"/>
        <v>-3.8094164537359561</v>
      </c>
      <c r="P27" s="81">
        <f t="shared" si="3"/>
        <v>-3.6386278917336838</v>
      </c>
      <c r="Q27" s="81">
        <f t="shared" si="3"/>
        <v>-3.9026702396298987</v>
      </c>
    </row>
    <row r="28" spans="1:17" x14ac:dyDescent="0.25">
      <c r="A28" s="68" t="s">
        <v>1126</v>
      </c>
      <c r="B28" s="82"/>
      <c r="C28" s="82"/>
      <c r="D28" s="82"/>
      <c r="E28" s="82"/>
      <c r="F28" s="82"/>
      <c r="G28" s="82"/>
      <c r="H28" s="82"/>
      <c r="I28" s="69"/>
      <c r="J28" s="68" t="s">
        <v>1126</v>
      </c>
      <c r="K28" s="73"/>
      <c r="L28" s="73"/>
      <c r="M28" s="73"/>
      <c r="N28" s="73"/>
      <c r="O28" s="73"/>
      <c r="P28" s="73"/>
      <c r="Q28" s="73"/>
    </row>
    <row r="29" spans="1:17" x14ac:dyDescent="0.25">
      <c r="A29" s="46"/>
      <c r="B29" s="48"/>
      <c r="C29" s="48"/>
      <c r="D29" s="48"/>
      <c r="E29" s="48"/>
      <c r="F29" s="48"/>
      <c r="G29" s="48"/>
      <c r="H29" s="48"/>
      <c r="J29" s="46"/>
      <c r="K29" s="47"/>
      <c r="L29" s="47"/>
      <c r="M29" s="47"/>
      <c r="N29" s="47"/>
      <c r="O29" s="47"/>
      <c r="P29" s="47"/>
      <c r="Q29" s="47"/>
    </row>
    <row r="30" spans="1:17" x14ac:dyDescent="0.25">
      <c r="E30" s="48"/>
      <c r="F30" s="48"/>
      <c r="G30" s="48"/>
      <c r="H30" s="48"/>
    </row>
    <row r="32" spans="1:17" x14ac:dyDescent="0.25">
      <c r="A32" s="16"/>
      <c r="D32" s="48"/>
      <c r="E32" s="48"/>
      <c r="F32" s="48"/>
      <c r="G32" s="48"/>
      <c r="H32" s="48"/>
      <c r="K32" s="42"/>
      <c r="L32" s="42"/>
      <c r="M32" s="42"/>
      <c r="N32" s="42"/>
      <c r="O32" s="42"/>
      <c r="P32" s="42"/>
      <c r="Q32" s="42"/>
    </row>
    <row r="33" spans="1:15" x14ac:dyDescent="0.25">
      <c r="A33" s="16"/>
      <c r="D33" s="48"/>
      <c r="E33" s="48"/>
      <c r="F33" s="48"/>
      <c r="G33" s="48"/>
      <c r="H33" s="48"/>
      <c r="N33" s="40"/>
      <c r="O33" s="40"/>
    </row>
    <row r="34" spans="1:15" x14ac:dyDescent="0.25">
      <c r="A34" s="16"/>
      <c r="B34" s="43"/>
      <c r="C34" s="43"/>
      <c r="D34" s="49"/>
      <c r="E34" s="49"/>
      <c r="F34" s="49"/>
      <c r="G34" s="49"/>
      <c r="H34" s="49"/>
      <c r="N34" s="50"/>
      <c r="O34" s="50"/>
    </row>
    <row r="35" spans="1:15" x14ac:dyDescent="0.25">
      <c r="D35" s="48"/>
      <c r="E35" s="48"/>
      <c r="F35" s="48"/>
      <c r="G35" s="48"/>
      <c r="H35" s="48"/>
      <c r="N35" s="42"/>
      <c r="O35" s="42"/>
    </row>
    <row r="36" spans="1:15" x14ac:dyDescent="0.25">
      <c r="J36" s="16"/>
      <c r="K36" s="16"/>
      <c r="L36" s="16"/>
      <c r="M36" s="16"/>
      <c r="N36" s="51"/>
      <c r="O36" s="51"/>
    </row>
    <row r="37" spans="1:15" x14ac:dyDescent="0.25">
      <c r="J37" s="16"/>
      <c r="K37" s="16"/>
      <c r="L37" s="16"/>
      <c r="M37" s="16"/>
      <c r="N37" s="51"/>
      <c r="O37" s="51"/>
    </row>
    <row r="38" spans="1:15" x14ac:dyDescent="0.25">
      <c r="J38" s="16"/>
      <c r="N38" s="51"/>
      <c r="O38" s="51"/>
    </row>
    <row r="42" spans="1:15" x14ac:dyDescent="0.25">
      <c r="N42" s="40">
        <f>124500+N33+O33</f>
        <v>124500</v>
      </c>
    </row>
  </sheetData>
  <mergeCells count="2">
    <mergeCell ref="A1:H1"/>
    <mergeCell ref="J1:Q1"/>
  </mergeCells>
  <pageMargins left="0.7" right="0.7" top="0.75" bottom="0.75" header="0.3" footer="0.3"/>
  <pageSetup paperSize="9" scale="4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C63"/>
  <sheetViews>
    <sheetView showGridLines="0" workbookViewId="0">
      <selection sqref="A1:BA1"/>
    </sheetView>
  </sheetViews>
  <sheetFormatPr defaultRowHeight="15" x14ac:dyDescent="0.25"/>
  <cols>
    <col min="1" max="1" width="42.140625" customWidth="1"/>
    <col min="2" max="2" width="10.85546875" bestFit="1" customWidth="1"/>
    <col min="3" max="3" width="11.28515625" bestFit="1" customWidth="1"/>
    <col min="4" max="4" width="11.140625" bestFit="1" customWidth="1"/>
    <col min="5" max="5" width="11.5703125" bestFit="1" customWidth="1"/>
    <col min="6" max="8" width="11.140625" bestFit="1" customWidth="1"/>
    <col min="9" max="9" width="11" bestFit="1" customWidth="1"/>
    <col min="10" max="10" width="11.85546875" bestFit="1" customWidth="1"/>
    <col min="11" max="11" width="11.140625" bestFit="1" customWidth="1"/>
    <col min="12" max="12" width="11.42578125" bestFit="1" customWidth="1"/>
    <col min="13" max="13" width="10.85546875" bestFit="1" customWidth="1"/>
    <col min="14" max="15" width="11.140625" bestFit="1" customWidth="1"/>
    <col min="16" max="16" width="11" bestFit="1" customWidth="1"/>
    <col min="17" max="17" width="12.28515625" bestFit="1" customWidth="1"/>
    <col min="18" max="18" width="11.5703125" bestFit="1" customWidth="1"/>
    <col min="19" max="19" width="11.42578125" bestFit="1" customWidth="1"/>
    <col min="20" max="20" width="11.28515625" bestFit="1" customWidth="1"/>
    <col min="21" max="21" width="11.7109375" bestFit="1" customWidth="1"/>
    <col min="22" max="22" width="11.85546875" bestFit="1" customWidth="1"/>
    <col min="23" max="23" width="11.42578125" bestFit="1" customWidth="1"/>
    <col min="24" max="24" width="11.28515625" bestFit="1" customWidth="1"/>
    <col min="25" max="25" width="11.42578125" bestFit="1" customWidth="1"/>
    <col min="26" max="27" width="12.140625" bestFit="1" customWidth="1"/>
    <col min="28" max="28" width="11.5703125" bestFit="1" customWidth="1"/>
    <col min="29" max="29" width="11.42578125" bestFit="1" customWidth="1"/>
    <col min="30" max="30" width="12" bestFit="1" customWidth="1"/>
    <col min="31" max="31" width="11.85546875" bestFit="1" customWidth="1"/>
    <col min="32" max="32" width="12.140625" bestFit="1" customWidth="1"/>
    <col min="33" max="33" width="12.28515625" bestFit="1" customWidth="1"/>
    <col min="34" max="35" width="11.85546875" bestFit="1" customWidth="1"/>
    <col min="36" max="36" width="11.42578125" bestFit="1" customWidth="1"/>
    <col min="37" max="37" width="12.7109375" bestFit="1" customWidth="1"/>
    <col min="38" max="38" width="11.85546875" bestFit="1" customWidth="1"/>
    <col min="39" max="39" width="12.140625" bestFit="1" customWidth="1"/>
    <col min="40" max="40" width="11.7109375" bestFit="1" customWidth="1"/>
    <col min="41" max="41" width="12.42578125" bestFit="1" customWidth="1"/>
    <col min="42" max="42" width="12.140625" bestFit="1" customWidth="1"/>
    <col min="43" max="43" width="11.85546875" bestFit="1" customWidth="1"/>
    <col min="44" max="44" width="12.42578125" bestFit="1" customWidth="1"/>
    <col min="45" max="45" width="12.140625" bestFit="1" customWidth="1"/>
    <col min="46" max="46" width="11.5703125" bestFit="1" customWidth="1"/>
    <col min="47" max="47" width="12.28515625" bestFit="1" customWidth="1"/>
    <col min="48" max="49" width="11.85546875" bestFit="1" customWidth="1"/>
    <col min="50" max="50" width="12.28515625" bestFit="1" customWidth="1"/>
    <col min="51" max="51" width="13.5703125" bestFit="1" customWidth="1"/>
    <col min="52" max="52" width="13.85546875" bestFit="1" customWidth="1"/>
    <col min="53" max="53" width="13" bestFit="1" customWidth="1"/>
  </cols>
  <sheetData>
    <row r="1" spans="1:54" s="39" customFormat="1" x14ac:dyDescent="0.25">
      <c r="A1" s="444" t="s">
        <v>1124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J1" s="444"/>
      <c r="AK1" s="444"/>
      <c r="AL1" s="444"/>
      <c r="AM1" s="444"/>
      <c r="AN1" s="444"/>
      <c r="AO1" s="444"/>
      <c r="AP1" s="444"/>
      <c r="AQ1" s="444"/>
      <c r="AR1" s="444"/>
      <c r="AS1" s="444"/>
      <c r="AT1" s="444"/>
      <c r="AU1" s="444"/>
      <c r="AV1" s="444"/>
      <c r="AW1" s="444"/>
      <c r="AX1" s="444"/>
      <c r="AY1" s="444"/>
      <c r="AZ1" s="444"/>
      <c r="BA1" s="444"/>
    </row>
    <row r="2" spans="1:54" x14ac:dyDescent="0.25">
      <c r="A2" s="148"/>
      <c r="B2" s="149">
        <v>2013</v>
      </c>
      <c r="C2" s="149" t="s">
        <v>1116</v>
      </c>
      <c r="D2" s="149">
        <v>2014</v>
      </c>
      <c r="E2" s="149">
        <v>2015</v>
      </c>
      <c r="F2" s="149">
        <v>2016</v>
      </c>
      <c r="G2" s="149">
        <v>2017</v>
      </c>
      <c r="H2" s="192">
        <f>G2+1</f>
        <v>2018</v>
      </c>
      <c r="I2" s="192">
        <f t="shared" ref="I2:BA2" si="0">H2+1</f>
        <v>2019</v>
      </c>
      <c r="J2" s="192">
        <f t="shared" si="0"/>
        <v>2020</v>
      </c>
      <c r="K2" s="192">
        <f t="shared" si="0"/>
        <v>2021</v>
      </c>
      <c r="L2" s="192">
        <f t="shared" si="0"/>
        <v>2022</v>
      </c>
      <c r="M2" s="192">
        <f t="shared" si="0"/>
        <v>2023</v>
      </c>
      <c r="N2" s="192">
        <f t="shared" si="0"/>
        <v>2024</v>
      </c>
      <c r="O2" s="192">
        <f t="shared" si="0"/>
        <v>2025</v>
      </c>
      <c r="P2" s="192">
        <f t="shared" si="0"/>
        <v>2026</v>
      </c>
      <c r="Q2" s="192">
        <f t="shared" si="0"/>
        <v>2027</v>
      </c>
      <c r="R2" s="192">
        <f t="shared" si="0"/>
        <v>2028</v>
      </c>
      <c r="S2" s="192">
        <f t="shared" si="0"/>
        <v>2029</v>
      </c>
      <c r="T2" s="192">
        <f t="shared" si="0"/>
        <v>2030</v>
      </c>
      <c r="U2" s="192">
        <f t="shared" si="0"/>
        <v>2031</v>
      </c>
      <c r="V2" s="192">
        <f t="shared" si="0"/>
        <v>2032</v>
      </c>
      <c r="W2" s="192">
        <f t="shared" si="0"/>
        <v>2033</v>
      </c>
      <c r="X2" s="192">
        <f t="shared" si="0"/>
        <v>2034</v>
      </c>
      <c r="Y2" s="192">
        <f t="shared" si="0"/>
        <v>2035</v>
      </c>
      <c r="Z2" s="192">
        <f t="shared" si="0"/>
        <v>2036</v>
      </c>
      <c r="AA2" s="192">
        <f t="shared" si="0"/>
        <v>2037</v>
      </c>
      <c r="AB2" s="192">
        <f t="shared" si="0"/>
        <v>2038</v>
      </c>
      <c r="AC2" s="192">
        <f t="shared" si="0"/>
        <v>2039</v>
      </c>
      <c r="AD2" s="192">
        <f t="shared" si="0"/>
        <v>2040</v>
      </c>
      <c r="AE2" s="192">
        <f t="shared" si="0"/>
        <v>2041</v>
      </c>
      <c r="AF2" s="192">
        <f t="shared" si="0"/>
        <v>2042</v>
      </c>
      <c r="AG2" s="192">
        <f t="shared" si="0"/>
        <v>2043</v>
      </c>
      <c r="AH2" s="192">
        <f>AG2+1</f>
        <v>2044</v>
      </c>
      <c r="AI2" s="192">
        <f t="shared" si="0"/>
        <v>2045</v>
      </c>
      <c r="AJ2" s="192">
        <f t="shared" si="0"/>
        <v>2046</v>
      </c>
      <c r="AK2" s="192">
        <f t="shared" si="0"/>
        <v>2047</v>
      </c>
      <c r="AL2" s="192">
        <f t="shared" si="0"/>
        <v>2048</v>
      </c>
      <c r="AM2" s="192">
        <f t="shared" si="0"/>
        <v>2049</v>
      </c>
      <c r="AN2" s="192">
        <f t="shared" si="0"/>
        <v>2050</v>
      </c>
      <c r="AO2" s="192">
        <f t="shared" si="0"/>
        <v>2051</v>
      </c>
      <c r="AP2" s="192">
        <f t="shared" si="0"/>
        <v>2052</v>
      </c>
      <c r="AQ2" s="192">
        <f t="shared" si="0"/>
        <v>2053</v>
      </c>
      <c r="AR2" s="192">
        <f>AQ2+1</f>
        <v>2054</v>
      </c>
      <c r="AS2" s="192">
        <f t="shared" si="0"/>
        <v>2055</v>
      </c>
      <c r="AT2" s="192">
        <f t="shared" si="0"/>
        <v>2056</v>
      </c>
      <c r="AU2" s="192">
        <f t="shared" si="0"/>
        <v>2057</v>
      </c>
      <c r="AV2" s="192">
        <f t="shared" si="0"/>
        <v>2058</v>
      </c>
      <c r="AW2" s="192">
        <f t="shared" si="0"/>
        <v>2059</v>
      </c>
      <c r="AX2" s="192">
        <f t="shared" si="0"/>
        <v>2060</v>
      </c>
      <c r="AY2" s="192">
        <f t="shared" si="0"/>
        <v>2061</v>
      </c>
      <c r="AZ2" s="192">
        <f t="shared" si="0"/>
        <v>2062</v>
      </c>
      <c r="BA2" s="192">
        <f t="shared" si="0"/>
        <v>2063</v>
      </c>
      <c r="BB2" s="39"/>
    </row>
    <row r="3" spans="1:54" x14ac:dyDescent="0.25">
      <c r="A3" s="70" t="s">
        <v>1023</v>
      </c>
      <c r="B3" s="71">
        <f>vystup_ESA95_SDcast!C3</f>
        <v>25925825.131030004</v>
      </c>
      <c r="C3" s="71">
        <f>vystup_ESA95_SDcast!D3</f>
        <v>25353941.538890004</v>
      </c>
      <c r="D3" s="71">
        <f>vystup_ESA95_SDcast!E3</f>
        <v>26366661.905971747</v>
      </c>
      <c r="E3" s="71">
        <f>vystup_ESA95_SDcast!F3</f>
        <v>26741451.565368768</v>
      </c>
      <c r="F3" s="71">
        <f>vystup_ESA95_SDcast!G3</f>
        <v>27329002.225651477</v>
      </c>
      <c r="G3" s="71">
        <f>vystup_ESA95_SDcast!H3</f>
        <v>28634441.398566242</v>
      </c>
      <c r="H3" s="164">
        <f>H4+H5+H9+H10</f>
        <v>30083841.253600366</v>
      </c>
      <c r="I3" s="164">
        <f t="shared" ref="I3:BA3" si="1">I4+I5+I9+I10</f>
        <v>31591159.528202616</v>
      </c>
      <c r="J3" s="164">
        <f t="shared" si="1"/>
        <v>33151236.355043128</v>
      </c>
      <c r="K3" s="164">
        <f t="shared" si="1"/>
        <v>34741506.913859509</v>
      </c>
      <c r="L3" s="164">
        <f t="shared" si="1"/>
        <v>36371437.087748893</v>
      </c>
      <c r="M3" s="164">
        <f t="shared" si="1"/>
        <v>38059517.964127325</v>
      </c>
      <c r="N3" s="164">
        <f t="shared" si="1"/>
        <v>39810786.9994938</v>
      </c>
      <c r="O3" s="164">
        <f t="shared" si="1"/>
        <v>41665068.300809599</v>
      </c>
      <c r="P3" s="164">
        <f t="shared" si="1"/>
        <v>43552924.675940342</v>
      </c>
      <c r="Q3" s="164">
        <f t="shared" si="1"/>
        <v>45459638.476672888</v>
      </c>
      <c r="R3" s="164">
        <f t="shared" si="1"/>
        <v>47387383.317733496</v>
      </c>
      <c r="S3" s="164">
        <f t="shared" si="1"/>
        <v>49319632.797433257</v>
      </c>
      <c r="T3" s="164">
        <f t="shared" si="1"/>
        <v>51245889.190974161</v>
      </c>
      <c r="U3" s="164">
        <f t="shared" si="1"/>
        <v>53171117.726043135</v>
      </c>
      <c r="V3" s="164">
        <f t="shared" si="1"/>
        <v>55147050.603543758</v>
      </c>
      <c r="W3" s="164">
        <f t="shared" si="1"/>
        <v>57173853.825154155</v>
      </c>
      <c r="X3" s="164">
        <f t="shared" si="1"/>
        <v>59249818.57762026</v>
      </c>
      <c r="Y3" s="164">
        <f t="shared" si="1"/>
        <v>61365633.746354058</v>
      </c>
      <c r="Z3" s="164">
        <f t="shared" si="1"/>
        <v>63504549.17168428</v>
      </c>
      <c r="AA3" s="164">
        <f t="shared" si="1"/>
        <v>65708907.022200964</v>
      </c>
      <c r="AB3" s="164">
        <f t="shared" si="1"/>
        <v>67956195.075621277</v>
      </c>
      <c r="AC3" s="164">
        <f t="shared" si="1"/>
        <v>70256940.815138683</v>
      </c>
      <c r="AD3" s="164">
        <f t="shared" si="1"/>
        <v>72623918.487866402</v>
      </c>
      <c r="AE3" s="164">
        <f t="shared" si="1"/>
        <v>75006201.509747997</v>
      </c>
      <c r="AF3" s="164">
        <f t="shared" si="1"/>
        <v>77338360.33569406</v>
      </c>
      <c r="AG3" s="164">
        <f t="shared" si="1"/>
        <v>79798689.439738572</v>
      </c>
      <c r="AH3" s="164">
        <f t="shared" si="1"/>
        <v>82299093.459540412</v>
      </c>
      <c r="AI3" s="164">
        <f t="shared" si="1"/>
        <v>84869986.511435971</v>
      </c>
      <c r="AJ3" s="164">
        <f t="shared" si="1"/>
        <v>87488629.762541324</v>
      </c>
      <c r="AK3" s="164">
        <f t="shared" si="1"/>
        <v>90158888.197104409</v>
      </c>
      <c r="AL3" s="164">
        <f t="shared" si="1"/>
        <v>92882889.686551496</v>
      </c>
      <c r="AM3" s="164">
        <f t="shared" si="1"/>
        <v>95672822.4026483</v>
      </c>
      <c r="AN3" s="164">
        <f t="shared" si="1"/>
        <v>98527957.77613686</v>
      </c>
      <c r="AO3" s="164">
        <f t="shared" si="1"/>
        <v>101446000.12029226</v>
      </c>
      <c r="AP3" s="164">
        <f t="shared" si="1"/>
        <v>104421058.99303116</v>
      </c>
      <c r="AQ3" s="164">
        <f t="shared" si="1"/>
        <v>107505778.7520324</v>
      </c>
      <c r="AR3" s="164">
        <f t="shared" si="1"/>
        <v>110640250.97279078</v>
      </c>
      <c r="AS3" s="164">
        <f t="shared" si="1"/>
        <v>113886123.63908163</v>
      </c>
      <c r="AT3" s="164">
        <f t="shared" si="1"/>
        <v>117260225.71729378</v>
      </c>
      <c r="AU3" s="164">
        <f t="shared" si="1"/>
        <v>120762176.88077566</v>
      </c>
      <c r="AV3" s="164">
        <f t="shared" si="1"/>
        <v>124390336.7968632</v>
      </c>
      <c r="AW3" s="164">
        <f t="shared" si="1"/>
        <v>128144159.03409511</v>
      </c>
      <c r="AX3" s="164">
        <f t="shared" si="1"/>
        <v>132040064.62638751</v>
      </c>
      <c r="AY3" s="164">
        <f t="shared" si="1"/>
        <v>136051404.84691209</v>
      </c>
      <c r="AZ3" s="164">
        <f t="shared" si="1"/>
        <v>140191396.38946614</v>
      </c>
      <c r="BA3" s="164">
        <f t="shared" si="1"/>
        <v>144458789.8121531</v>
      </c>
    </row>
    <row r="4" spans="1:54" x14ac:dyDescent="0.25">
      <c r="A4" s="68" t="s">
        <v>61</v>
      </c>
      <c r="B4" s="74">
        <f>vystup_ESA95_SDcast!C4+vystup_ESA95_SDcast!C5</f>
        <v>11739218.056219999</v>
      </c>
      <c r="C4" s="74">
        <f>vystup_ESA95_SDcast!D4+vystup_ESA95_SDcast!D5</f>
        <v>11499209.464079998</v>
      </c>
      <c r="D4" s="74">
        <f>vystup_ESA95_SDcast!E4+vystup_ESA95_SDcast!E5</f>
        <v>11924597.413961621</v>
      </c>
      <c r="E4" s="74">
        <f>vystup_ESA95_SDcast!F4+vystup_ESA95_SDcast!F5</f>
        <v>12010783.049988898</v>
      </c>
      <c r="F4" s="74">
        <f>vystup_ESA95_SDcast!G4+vystup_ESA95_SDcast!G5</f>
        <v>12473915.371396255</v>
      </c>
      <c r="G4" s="74">
        <f>vystup_ESA95_SDcast!H4+vystup_ESA95_SDcast!H5</f>
        <v>12935997.650270581</v>
      </c>
      <c r="H4" s="157">
        <f>G4*DD_projekcie!J59/DD_projekcie!I59</f>
        <v>13607234.469267454</v>
      </c>
      <c r="I4" s="157">
        <f>H4*DD_projekcie!K59/DD_projekcie!J59</f>
        <v>14305524.299323166</v>
      </c>
      <c r="J4" s="157">
        <f>I4*DD_projekcie!L59/DD_projekcie!K59</f>
        <v>15029623.701188145</v>
      </c>
      <c r="K4" s="157">
        <f>J4*DD_projekcie!M59/DD_projekcie!L59</f>
        <v>15768229.856362343</v>
      </c>
      <c r="L4" s="157">
        <f>K4*DD_projekcie!N59/DD_projekcie!M59</f>
        <v>16527302.802709354</v>
      </c>
      <c r="M4" s="157">
        <f>L4*DD_projekcie!O59/DD_projekcie!N59</f>
        <v>17311223.461728562</v>
      </c>
      <c r="N4" s="157">
        <f>M4*DD_projekcie!P59/DD_projekcie!O59</f>
        <v>18123408.353610724</v>
      </c>
      <c r="O4" s="157">
        <f>N4*DD_projekcie!Q59/DD_projekcie!P59</f>
        <v>18964608.10412034</v>
      </c>
      <c r="P4" s="157">
        <f>O4*DD_projekcie!R59/DD_projekcie!Q59</f>
        <v>19828975.60138534</v>
      </c>
      <c r="Q4" s="157">
        <f>P4*DD_projekcie!S59/DD_projekcie!R59</f>
        <v>20703049.869193096</v>
      </c>
      <c r="R4" s="157">
        <f>Q4*DD_projekcie!T59/DD_projekcie!S59</f>
        <v>21579290.734397639</v>
      </c>
      <c r="S4" s="157">
        <f>R4*DD_projekcie!U59/DD_projekcie!T59</f>
        <v>22457888.928600065</v>
      </c>
      <c r="T4" s="157">
        <f>S4*DD_projekcie!V59/DD_projekcie!U59</f>
        <v>23329599.871112265</v>
      </c>
      <c r="U4" s="157">
        <f>T4*DD_projekcie!W59/DD_projekcie!V59</f>
        <v>24197902.21931858</v>
      </c>
      <c r="V4" s="157">
        <f>U4*DD_projekcie!X59/DD_projekcie!W59</f>
        <v>25087710.835675295</v>
      </c>
      <c r="W4" s="157">
        <f>V4*DD_projekcie!Y59/DD_projekcie!X59</f>
        <v>25999092.26922065</v>
      </c>
      <c r="X4" s="157">
        <f>W4*DD_projekcie!Z59/DD_projekcie!Y59</f>
        <v>26931536.766905714</v>
      </c>
      <c r="Y4" s="157">
        <f>X4*DD_projekcie!AA59/DD_projekcie!Z59</f>
        <v>27881331.110558733</v>
      </c>
      <c r="Z4" s="157">
        <f>Y4*DD_projekcie!AB59/DD_projekcie!AA59</f>
        <v>28847018.580553066</v>
      </c>
      <c r="AA4" s="157">
        <f>Z4*DD_projekcie!AC59/DD_projekcie!AB59</f>
        <v>29831316.462849468</v>
      </c>
      <c r="AB4" s="157">
        <f>AA4*DD_projekcie!AD59/DD_projekcie!AC59</f>
        <v>30838454.486371022</v>
      </c>
      <c r="AC4" s="157">
        <f>AB4*DD_projekcie!AE59/DD_projekcie!AD59</f>
        <v>31869088.920161553</v>
      </c>
      <c r="AD4" s="157">
        <f>AC4*DD_projekcie!AF59/DD_projekcie!AE59</f>
        <v>32923873.18888725</v>
      </c>
      <c r="AE4" s="157">
        <f>AD4*DD_projekcie!AG59/DD_projekcie!AF59</f>
        <v>33993048.745006546</v>
      </c>
      <c r="AF4" s="157">
        <f>AE4*DD_projekcie!AH59/DD_projekcie!AG59</f>
        <v>35079514.597061053</v>
      </c>
      <c r="AG4" s="157">
        <f>AF4*DD_projekcie!AI59/DD_projekcie!AH59</f>
        <v>36184756.877365679</v>
      </c>
      <c r="AH4" s="157">
        <f>AG4*DD_projekcie!AJ59/DD_projekcie!AI59</f>
        <v>37307899.337929457</v>
      </c>
      <c r="AI4" s="157">
        <f>AH4*DD_projekcie!AK59/DD_projekcie!AJ59</f>
        <v>38450814.990113713</v>
      </c>
      <c r="AJ4" s="157">
        <f>AI4*DD_projekcie!AL59/DD_projekcie!AK59</f>
        <v>39612069.095586821</v>
      </c>
      <c r="AK4" s="157">
        <f>AJ4*DD_projekcie!AM59/DD_projekcie!AL59</f>
        <v>40794505.949269533</v>
      </c>
      <c r="AL4" s="157">
        <f>AK4*DD_projekcie!AN59/DD_projekcie!AM59</f>
        <v>42002232.857843578</v>
      </c>
      <c r="AM4" s="157">
        <f>AL4*DD_projekcie!AO59/DD_projekcie!AN59</f>
        <v>43240721.598326355</v>
      </c>
      <c r="AN4" s="157">
        <f>AM4*DD_projekcie!AP59/DD_projekcie!AO59</f>
        <v>44510751.487031609</v>
      </c>
      <c r="AO4" s="157">
        <f>AN4*DD_projekcie!AQ59/DD_projekcie!AP59</f>
        <v>45813811.018238463</v>
      </c>
      <c r="AP4" s="157">
        <f>AO4*DD_projekcie!AR59/DD_projekcie!AQ59</f>
        <v>47152019.687854968</v>
      </c>
      <c r="AQ4" s="157">
        <f>AP4*DD_projekcie!AS59/DD_projekcie!AR59</f>
        <v>48528627.385843523</v>
      </c>
      <c r="AR4" s="157">
        <f>AQ4*DD_projekcie!AT59/DD_projekcie!AS59</f>
        <v>49951422.198440857</v>
      </c>
      <c r="AS4" s="157">
        <f>AR4*DD_projekcie!AU59/DD_projekcie!AT59</f>
        <v>51422182.23491022</v>
      </c>
      <c r="AT4" s="157">
        <f>AS4*DD_projekcie!AV59/DD_projekcie!AU59</f>
        <v>52943869.636782765</v>
      </c>
      <c r="AU4" s="157">
        <f>AT4*DD_projekcie!AW59/DD_projekcie!AV59</f>
        <v>54520058.191599049</v>
      </c>
      <c r="AV4" s="157">
        <f>AU4*DD_projekcie!AX59/DD_projekcie!AW59</f>
        <v>56154039.307859011</v>
      </c>
      <c r="AW4" s="157">
        <f>AV4*DD_projekcie!AY59/DD_projekcie!AX59</f>
        <v>57845590.807112657</v>
      </c>
      <c r="AX4" s="157">
        <f>AW4*DD_projekcie!AZ59/DD_projekcie!AY59</f>
        <v>59604509.650209442</v>
      </c>
      <c r="AY4" s="157">
        <f>AX4*DD_projekcie!BA59/DD_projekcie!AZ59</f>
        <v>61416912.180713236</v>
      </c>
      <c r="AZ4" s="157">
        <f>AY4*DD_projekcie!BB59/DD_projekcie!BA59</f>
        <v>63284424.684469946</v>
      </c>
      <c r="BA4" s="157">
        <f>AZ4*DD_projekcie!BC59/DD_projekcie!BB59</f>
        <v>65208722.898023099</v>
      </c>
    </row>
    <row r="5" spans="1:54" x14ac:dyDescent="0.25">
      <c r="A5" s="68" t="s">
        <v>1024</v>
      </c>
      <c r="B5" s="74">
        <f>vystup_ESA95_SDcast!C6+vystup_ESA95_SDcast!C7</f>
        <v>9931543.1340899989</v>
      </c>
      <c r="C5" s="74">
        <f>vystup_ESA95_SDcast!D6+vystup_ESA95_SDcast!D7</f>
        <v>9931543.1340899989</v>
      </c>
      <c r="D5" s="74">
        <f>vystup_ESA95_SDcast!E6+vystup_ESA95_SDcast!E7</f>
        <v>10152733.185015306</v>
      </c>
      <c r="E5" s="74">
        <f>vystup_ESA95_SDcast!F6+vystup_ESA95_SDcast!F7</f>
        <v>10537180.445485968</v>
      </c>
      <c r="F5" s="74">
        <f>vystup_ESA95_SDcast!G6+vystup_ESA95_SDcast!G7</f>
        <v>10993502.626317613</v>
      </c>
      <c r="G5" s="74">
        <f>vystup_ESA95_SDcast!H6+vystup_ESA95_SDcast!H7</f>
        <v>11543664.504293198</v>
      </c>
      <c r="H5" s="157">
        <f>H6+H7+H8</f>
        <v>12115145.926393781</v>
      </c>
      <c r="I5" s="157">
        <f t="shared" ref="I5:BA5" si="2">I6+I7+I8</f>
        <v>12709742.201803569</v>
      </c>
      <c r="J5" s="157">
        <f t="shared" si="2"/>
        <v>13326827.998504985</v>
      </c>
      <c r="K5" s="157">
        <f t="shared" si="2"/>
        <v>13955649.080027744</v>
      </c>
      <c r="L5" s="157">
        <f t="shared" si="2"/>
        <v>14599054.728661219</v>
      </c>
      <c r="M5" s="157">
        <f t="shared" si="2"/>
        <v>15267143.688542105</v>
      </c>
      <c r="N5" s="157">
        <f t="shared" si="2"/>
        <v>15961550.205115879</v>
      </c>
      <c r="O5" s="157">
        <f t="shared" si="2"/>
        <v>16721069.724575382</v>
      </c>
      <c r="P5" s="157">
        <f t="shared" si="2"/>
        <v>17504200.966499906</v>
      </c>
      <c r="Q5" s="157">
        <f t="shared" si="2"/>
        <v>18298565.160713449</v>
      </c>
      <c r="R5" s="157">
        <f t="shared" si="2"/>
        <v>19093218.005929884</v>
      </c>
      <c r="S5" s="157">
        <f t="shared" si="2"/>
        <v>19883542.960500587</v>
      </c>
      <c r="T5" s="157">
        <f t="shared" si="2"/>
        <v>20678161.915723797</v>
      </c>
      <c r="U5" s="157">
        <f t="shared" si="2"/>
        <v>21473835.450113498</v>
      </c>
      <c r="V5" s="157">
        <f t="shared" si="2"/>
        <v>22292425.433629431</v>
      </c>
      <c r="W5" s="157">
        <f t="shared" si="2"/>
        <v>23134346.775649182</v>
      </c>
      <c r="X5" s="157">
        <f t="shared" si="2"/>
        <v>23999586.254322357</v>
      </c>
      <c r="Y5" s="157">
        <f t="shared" si="2"/>
        <v>24879739.847278148</v>
      </c>
      <c r="Z5" s="157">
        <f t="shared" si="2"/>
        <v>25762652.738776341</v>
      </c>
      <c r="AA5" s="157">
        <f t="shared" si="2"/>
        <v>26687324.271824837</v>
      </c>
      <c r="AB5" s="157">
        <f t="shared" si="2"/>
        <v>27626876.123203412</v>
      </c>
      <c r="AC5" s="157">
        <f t="shared" si="2"/>
        <v>28610917.885523591</v>
      </c>
      <c r="AD5" s="157">
        <f t="shared" si="2"/>
        <v>29614548.448476568</v>
      </c>
      <c r="AE5" s="157">
        <f t="shared" si="2"/>
        <v>30634505.444923524</v>
      </c>
      <c r="AF5" s="157">
        <f t="shared" si="2"/>
        <v>31673603.926202968</v>
      </c>
      <c r="AG5" s="157">
        <f t="shared" si="2"/>
        <v>32721766.600004278</v>
      </c>
      <c r="AH5" s="157">
        <f t="shared" si="2"/>
        <v>33766594.654103309</v>
      </c>
      <c r="AI5" s="157">
        <f t="shared" si="2"/>
        <v>34855728.719618291</v>
      </c>
      <c r="AJ5" s="157">
        <f t="shared" si="2"/>
        <v>35970730.378531329</v>
      </c>
      <c r="AK5" s="157">
        <f t="shared" si="2"/>
        <v>37106710.93131049</v>
      </c>
      <c r="AL5" s="157">
        <f t="shared" si="2"/>
        <v>38264265.022031456</v>
      </c>
      <c r="AM5" s="157">
        <f t="shared" si="2"/>
        <v>39448489.8968058</v>
      </c>
      <c r="AN5" s="157">
        <f t="shared" si="2"/>
        <v>40659083.034843996</v>
      </c>
      <c r="AO5" s="157">
        <f t="shared" si="2"/>
        <v>41886347.501484744</v>
      </c>
      <c r="AP5" s="157">
        <f t="shared" si="2"/>
        <v>43125748.270755813</v>
      </c>
      <c r="AQ5" s="157">
        <f t="shared" si="2"/>
        <v>44425716.818071172</v>
      </c>
      <c r="AR5" s="157">
        <f t="shared" si="2"/>
        <v>45747612.316812396</v>
      </c>
      <c r="AS5" s="157">
        <f t="shared" si="2"/>
        <v>47130711.532543018</v>
      </c>
      <c r="AT5" s="157">
        <f t="shared" si="2"/>
        <v>48544438.602245316</v>
      </c>
      <c r="AU5" s="157">
        <f t="shared" si="2"/>
        <v>50004731.820916891</v>
      </c>
      <c r="AV5" s="157">
        <f t="shared" si="2"/>
        <v>51516372.738807037</v>
      </c>
      <c r="AW5" s="157">
        <f t="shared" si="2"/>
        <v>53079111.598043099</v>
      </c>
      <c r="AX5" s="157">
        <f t="shared" si="2"/>
        <v>54696655.946886107</v>
      </c>
      <c r="AY5" s="157">
        <f t="shared" si="2"/>
        <v>56360476.816007882</v>
      </c>
      <c r="AZ5" s="157">
        <f t="shared" si="2"/>
        <v>58081691.487493157</v>
      </c>
      <c r="BA5" s="157">
        <f t="shared" si="2"/>
        <v>59856887.371770799</v>
      </c>
    </row>
    <row r="6" spans="1:54" x14ac:dyDescent="0.25">
      <c r="A6" s="68" t="s">
        <v>1033</v>
      </c>
      <c r="B6" s="74">
        <f>C6</f>
        <v>5478371</v>
      </c>
      <c r="C6" s="74">
        <f>DD_projekcie!E18</f>
        <v>5478371</v>
      </c>
      <c r="D6" s="74">
        <f>DD_projekcie!F18</f>
        <v>5630674.0000000009</v>
      </c>
      <c r="E6" s="74">
        <f>DD_projekcie!G18</f>
        <v>5856297.0000000009</v>
      </c>
      <c r="F6" s="74">
        <f>DD_projekcie!H18</f>
        <v>6117519.0000000009</v>
      </c>
      <c r="G6" s="74">
        <f>DD_projekcie!I18</f>
        <v>6431519</v>
      </c>
      <c r="H6" s="74">
        <f>DD_projekcie!J18</f>
        <v>6737940.6249316558</v>
      </c>
      <c r="I6" s="74">
        <f>DD_projekcie!K18</f>
        <v>7057001.7314213645</v>
      </c>
      <c r="J6" s="74">
        <f>DD_projekcie!L18</f>
        <v>7388558.8890524926</v>
      </c>
      <c r="K6" s="74">
        <f>DD_projekcie!M18</f>
        <v>7726006.8701004358</v>
      </c>
      <c r="L6" s="74">
        <f>DD_projekcie!N18</f>
        <v>8069971.8054541964</v>
      </c>
      <c r="M6" s="74">
        <f>DD_projekcie!O18</f>
        <v>8428917.7812089287</v>
      </c>
      <c r="N6" s="74">
        <f>DD_projekcie!P18</f>
        <v>8803203.860080108</v>
      </c>
      <c r="O6" s="74">
        <f>DD_projekcie!Q18</f>
        <v>9231330.6082318109</v>
      </c>
      <c r="P6" s="74">
        <f>DD_projekcie!R18</f>
        <v>9674018.1140136551</v>
      </c>
      <c r="Q6" s="74">
        <f>DD_projekcie!S18</f>
        <v>10123976.325346299</v>
      </c>
      <c r="R6" s="74">
        <f>DD_projekcie!T18</f>
        <v>10573094.731765701</v>
      </c>
      <c r="S6" s="74">
        <f>DD_projekcie!U18</f>
        <v>11016700.029668305</v>
      </c>
      <c r="T6" s="74">
        <f>DD_projekcie!V18</f>
        <v>11466923.515920762</v>
      </c>
      <c r="U6" s="74">
        <f>DD_projekcie!W18</f>
        <v>11918893.737434331</v>
      </c>
      <c r="V6" s="74">
        <f>DD_projekcie!X18</f>
        <v>12385081.403826756</v>
      </c>
      <c r="W6" s="74">
        <f>DD_projekcie!Y18</f>
        <v>12865853.992848016</v>
      </c>
      <c r="X6" s="74">
        <f>DD_projekcie!Z18</f>
        <v>13361340.940163543</v>
      </c>
      <c r="Y6" s="74">
        <f>DD_projekcie!AA18</f>
        <v>13864520.070012083</v>
      </c>
      <c r="Z6" s="74">
        <f>DD_projekcie!AB18</f>
        <v>14363746.84114885</v>
      </c>
      <c r="AA6" s="74">
        <f>DD_projekcie!AC18</f>
        <v>14896968.543819183</v>
      </c>
      <c r="AB6" s="74">
        <f>DD_projekcie!AD18</f>
        <v>15435690.027013242</v>
      </c>
      <c r="AC6" s="74">
        <f>DD_projekcie!AE18</f>
        <v>16009235.075626153</v>
      </c>
      <c r="AD6" s="74">
        <f>DD_projekcie!AF18</f>
        <v>16592446.113256933</v>
      </c>
      <c r="AE6" s="74">
        <f>DD_projekcie!AG18</f>
        <v>17185830.824838962</v>
      </c>
      <c r="AF6" s="74">
        <f>DD_projekcie!AH18</f>
        <v>17791107.927124687</v>
      </c>
      <c r="AG6" s="74">
        <f>DD_projekcie!AI18</f>
        <v>18397621.590486813</v>
      </c>
      <c r="AH6" s="74">
        <f>DD_projekcie!AJ18</f>
        <v>18993287.832175877</v>
      </c>
      <c r="AI6" s="74">
        <f>DD_projekcie!AK18</f>
        <v>19625052.876913376</v>
      </c>
      <c r="AJ6" s="74">
        <f>DD_projekcie!AL18</f>
        <v>20274978.26167661</v>
      </c>
      <c r="AK6" s="74">
        <f>DD_projekcie!AM18</f>
        <v>20937076.056242172</v>
      </c>
      <c r="AL6" s="74">
        <f>DD_projekcie!AN18</f>
        <v>21610406.278157376</v>
      </c>
      <c r="AM6" s="74">
        <f>DD_projekcie!AO18</f>
        <v>22297972.881472003</v>
      </c>
      <c r="AN6" s="74">
        <f>DD_projekcie!AP18</f>
        <v>22999161.378247265</v>
      </c>
      <c r="AO6" s="74">
        <f>DD_projekcie!AQ18</f>
        <v>23703720.12992426</v>
      </c>
      <c r="AP6" s="74">
        <f>DD_projekcie!AR18</f>
        <v>24406314.077094078</v>
      </c>
      <c r="AQ6" s="74">
        <f>DD_projekcie!AS18</f>
        <v>25154091.278434902</v>
      </c>
      <c r="AR6" s="74">
        <f>DD_projekcie!AT18</f>
        <v>25905501.891472705</v>
      </c>
      <c r="AS6" s="74">
        <f>DD_projekcie!AU18</f>
        <v>26699114.585498635</v>
      </c>
      <c r="AT6" s="74">
        <f>DD_projekcie!AV18</f>
        <v>27503258.928432278</v>
      </c>
      <c r="AU6" s="74">
        <f>DD_projekcie!AW18</f>
        <v>28332540.891218774</v>
      </c>
      <c r="AV6" s="74">
        <f>DD_projekcie!AX18</f>
        <v>29190455.684851535</v>
      </c>
      <c r="AW6" s="74">
        <f>DD_projekcie!AY18</f>
        <v>30076918.61418841</v>
      </c>
      <c r="AX6" s="74">
        <f>DD_projekcie!AZ18</f>
        <v>30991902.749712348</v>
      </c>
      <c r="AY6" s="74">
        <f>DD_projekcie!BA18</f>
        <v>31927307.777768377</v>
      </c>
      <c r="AZ6" s="74">
        <f>DD_projekcie!BB18</f>
        <v>32899451.605305046</v>
      </c>
      <c r="BA6" s="74">
        <f>DD_projekcie!BC18</f>
        <v>33903842.727071151</v>
      </c>
    </row>
    <row r="7" spans="1:54" s="39" customFormat="1" x14ac:dyDescent="0.25">
      <c r="A7" s="68" t="s">
        <v>1028</v>
      </c>
      <c r="B7" s="74">
        <f>C7</f>
        <v>174252.25529377355</v>
      </c>
      <c r="C7" s="74">
        <f>DD_projekcie!E29</f>
        <v>174252.25529377355</v>
      </c>
      <c r="D7" s="74">
        <f>DD_projekcie!F29</f>
        <v>196517.17798757978</v>
      </c>
      <c r="E7" s="74">
        <f>DD_projekcie!G29</f>
        <v>206060.87109704275</v>
      </c>
      <c r="F7" s="74">
        <f>DD_projekcie!H29</f>
        <v>216820.37943233794</v>
      </c>
      <c r="G7" s="74">
        <f>DD_projekcie!I29</f>
        <v>229021.17463312083</v>
      </c>
      <c r="H7" s="74">
        <f>DD_projekcie!J29</f>
        <v>240700.21753616503</v>
      </c>
      <c r="I7" s="74">
        <f>DD_projekcie!K29</f>
        <v>252642.56969131954</v>
      </c>
      <c r="J7" s="74">
        <f>DD_projekcie!L29</f>
        <v>264835.70716886868</v>
      </c>
      <c r="K7" s="74">
        <f>DD_projekcie!M29</f>
        <v>277397.24754013476</v>
      </c>
      <c r="L7" s="74">
        <f>DD_projekcie!N29</f>
        <v>290300.52686968748</v>
      </c>
      <c r="M7" s="74">
        <f>DD_projekcie!O29</f>
        <v>303526.47807184618</v>
      </c>
      <c r="N7" s="74">
        <f>DD_projekcie!P29</f>
        <v>317060.60423091811</v>
      </c>
      <c r="O7" s="74">
        <f>DD_projekcie!Q29</f>
        <v>330914.43661261385</v>
      </c>
      <c r="P7" s="74">
        <f>DD_projekcie!R29</f>
        <v>345073.79409557761</v>
      </c>
      <c r="Q7" s="74">
        <f>DD_projekcie!S29</f>
        <v>359531.25360359222</v>
      </c>
      <c r="R7" s="74">
        <f>DD_projekcie!T29</f>
        <v>374299.31448363437</v>
      </c>
      <c r="S7" s="74">
        <f>DD_projekcie!U29</f>
        <v>389362.7406780431</v>
      </c>
      <c r="T7" s="74">
        <f>DD_projekcie!V29</f>
        <v>404701.80233542435</v>
      </c>
      <c r="U7" s="74">
        <f>DD_projekcie!W29</f>
        <v>420635.39565393096</v>
      </c>
      <c r="V7" s="74">
        <f>DD_projekcie!X29</f>
        <v>437149.7340731665</v>
      </c>
      <c r="W7" s="74">
        <f>DD_projekcie!Y29</f>
        <v>454267.1280637387</v>
      </c>
      <c r="X7" s="74">
        <f>DD_projekcie!Z29</f>
        <v>472037.34342209785</v>
      </c>
      <c r="Y7" s="74">
        <f>DD_projekcie!AA29</f>
        <v>490480.21174596669</v>
      </c>
      <c r="Z7" s="74">
        <f>DD_projekcie!AB29</f>
        <v>509635.34601228056</v>
      </c>
      <c r="AA7" s="74">
        <f>DD_projekcie!AC29</f>
        <v>529529.06864996604</v>
      </c>
      <c r="AB7" s="74">
        <f>DD_projekcie!AD29</f>
        <v>550181.55500864843</v>
      </c>
      <c r="AC7" s="74">
        <f>DD_projekcie!AE29</f>
        <v>571630.88213705912</v>
      </c>
      <c r="AD7" s="74">
        <f>DD_projekcie!AF29</f>
        <v>593886.85916505754</v>
      </c>
      <c r="AE7" s="74">
        <f>DD_projekcie!AG29</f>
        <v>616863.12369097094</v>
      </c>
      <c r="AF7" s="74">
        <f>DD_projekcie!AH29</f>
        <v>640561.68271020753</v>
      </c>
      <c r="AG7" s="74">
        <f>DD_projekcie!AI29</f>
        <v>665000.08326561563</v>
      </c>
      <c r="AH7" s="74">
        <f>DD_projekcie!AJ29</f>
        <v>690194.26495028054</v>
      </c>
      <c r="AI7" s="74">
        <f>DD_projekcie!AK29</f>
        <v>716131.60347064678</v>
      </c>
      <c r="AJ7" s="74">
        <f>DD_projekcie!AL29</f>
        <v>742853.73372999358</v>
      </c>
      <c r="AK7" s="74">
        <f>DD_projekcie!AM29</f>
        <v>770386.21231254423</v>
      </c>
      <c r="AL7" s="74">
        <f>DD_projekcie!AN29</f>
        <v>798713.22567015176</v>
      </c>
      <c r="AM7" s="74">
        <f>DD_projekcie!AO29</f>
        <v>827862.56089138635</v>
      </c>
      <c r="AN7" s="74">
        <f>DD_projekcie!AP29</f>
        <v>857852.00615647831</v>
      </c>
      <c r="AO7" s="74">
        <f>DD_projekcie!AQ29</f>
        <v>888674.38348692539</v>
      </c>
      <c r="AP7" s="74">
        <f>DD_projekcie!AR29</f>
        <v>920329.65180525754</v>
      </c>
      <c r="AQ7" s="74">
        <f>DD_projekcie!AS29</f>
        <v>952874.448346121</v>
      </c>
      <c r="AR7" s="74">
        <f>DD_projekcie!AT29</f>
        <v>986277.91572051123</v>
      </c>
      <c r="AS7" s="74">
        <f>DD_projekcie!AU29</f>
        <v>1020576.9434768701</v>
      </c>
      <c r="AT7" s="74">
        <f>DD_projekcie!AV29</f>
        <v>1055747.9414318886</v>
      </c>
      <c r="AU7" s="74">
        <f>DD_projekcie!AW29</f>
        <v>1091774.188178991</v>
      </c>
      <c r="AV7" s="74">
        <f>DD_projekcie!AX29</f>
        <v>1128699.570914333</v>
      </c>
      <c r="AW7" s="74">
        <f>DD_projekcie!AY29</f>
        <v>1166442.8955833646</v>
      </c>
      <c r="AX7" s="74">
        <f>DD_projekcie!AZ29</f>
        <v>1205040.4499076866</v>
      </c>
      <c r="AY7" s="74">
        <f>DD_projekcie!BA29</f>
        <v>1249304.4280009216</v>
      </c>
      <c r="AZ7" s="74">
        <f>DD_projekcie!BB29</f>
        <v>1293420.3090945417</v>
      </c>
      <c r="BA7" s="74">
        <f>DD_projekcie!BC29</f>
        <v>1337834.4461465583</v>
      </c>
    </row>
    <row r="8" spans="1:54" x14ac:dyDescent="0.25">
      <c r="A8" s="68" t="s">
        <v>1029</v>
      </c>
      <c r="B8" s="74">
        <f>B5-B6-B7</f>
        <v>4278919.8787962254</v>
      </c>
      <c r="C8" s="74">
        <f t="shared" ref="C8:G8" si="3">C5-C6-C7</f>
        <v>4278919.8787962254</v>
      </c>
      <c r="D8" s="74">
        <f t="shared" si="3"/>
        <v>4325542.0070277248</v>
      </c>
      <c r="E8" s="74">
        <f t="shared" si="3"/>
        <v>4474822.5743889241</v>
      </c>
      <c r="F8" s="74">
        <f t="shared" si="3"/>
        <v>4659163.2468852736</v>
      </c>
      <c r="G8" s="74">
        <f t="shared" si="3"/>
        <v>4883124.3296600766</v>
      </c>
      <c r="H8" s="157">
        <f>G8*DD_projekcie!J59/DD_projekcie!I59</f>
        <v>5136505.0839259606</v>
      </c>
      <c r="I8" s="157">
        <f>H8*DD_projekcie!K59/DD_projekcie!J59</f>
        <v>5400097.9006908843</v>
      </c>
      <c r="J8" s="157">
        <f>I8*DD_projekcie!L59/DD_projekcie!K59</f>
        <v>5673433.4022836229</v>
      </c>
      <c r="K8" s="157">
        <f>J8*DD_projekcie!M59/DD_projekcie!L59</f>
        <v>5952244.9623871734</v>
      </c>
      <c r="L8" s="157">
        <f>K8*DD_projekcie!N59/DD_projekcie!M59</f>
        <v>6238782.396337335</v>
      </c>
      <c r="M8" s="157">
        <f>L8*DD_projekcie!O59/DD_projekcie!N59</f>
        <v>6534699.4292613305</v>
      </c>
      <c r="N8" s="157">
        <f>M8*DD_projekcie!P59/DD_projekcie!O59</f>
        <v>6841285.7408048529</v>
      </c>
      <c r="O8" s="157">
        <f>N8*DD_projekcie!Q59/DD_projekcie!P59</f>
        <v>7158824.6797309564</v>
      </c>
      <c r="P8" s="157">
        <f>O8*DD_projekcie!R59/DD_projekcie!Q59</f>
        <v>7485109.0583906742</v>
      </c>
      <c r="Q8" s="157">
        <f>P8*DD_projekcie!S59/DD_projekcie!R59</f>
        <v>7815057.5817635572</v>
      </c>
      <c r="R8" s="157">
        <f>Q8*DD_projekcie!T59/DD_projekcie!S59</f>
        <v>8145823.9596805479</v>
      </c>
      <c r="S8" s="157">
        <f>R8*DD_projekcie!U59/DD_projekcie!T59</f>
        <v>8477480.1901542395</v>
      </c>
      <c r="T8" s="157">
        <f>S8*DD_projekcie!V59/DD_projekcie!U59</f>
        <v>8806536.5974676106</v>
      </c>
      <c r="U8" s="157">
        <f>T8*DD_projekcie!W59/DD_projekcie!V59</f>
        <v>9134306.3170252331</v>
      </c>
      <c r="V8" s="157">
        <f>U8*DD_projekcie!X59/DD_projekcie!W59</f>
        <v>9470194.2957295105</v>
      </c>
      <c r="W8" s="157">
        <f>V8*DD_projekcie!Y59/DD_projekcie!X59</f>
        <v>9814225.6547374278</v>
      </c>
      <c r="X8" s="157">
        <f>W8*DD_projekcie!Z59/DD_projekcie!Y59</f>
        <v>10166207.970736716</v>
      </c>
      <c r="Y8" s="157">
        <f>X8*DD_projekcie!AA59/DD_projekcie!Z59</f>
        <v>10524739.565520097</v>
      </c>
      <c r="Z8" s="157">
        <f>Y8*DD_projekcie!AB59/DD_projekcie!AA59</f>
        <v>10889270.55161521</v>
      </c>
      <c r="AA8" s="157">
        <f>Z8*DD_projekcie!AC59/DD_projekcie!AB59</f>
        <v>11260826.659355685</v>
      </c>
      <c r="AB8" s="157">
        <f>AA8*DD_projekcie!AD59/DD_projekcie!AC59</f>
        <v>11641004.541181523</v>
      </c>
      <c r="AC8" s="157">
        <f>AB8*DD_projekcie!AE59/DD_projekcie!AD59</f>
        <v>12030051.927760379</v>
      </c>
      <c r="AD8" s="157">
        <f>AC8*DD_projekcie!AF59/DD_projekcie!AE59</f>
        <v>12428215.476054581</v>
      </c>
      <c r="AE8" s="157">
        <f>AD8*DD_projekcie!AG59/DD_projekcie!AF59</f>
        <v>12831811.496393591</v>
      </c>
      <c r="AF8" s="157">
        <f>AE8*DD_projekcie!AH59/DD_projekcie!AG59</f>
        <v>13241934.316368073</v>
      </c>
      <c r="AG8" s="157">
        <f>AF8*DD_projekcie!AI59/DD_projekcie!AH59</f>
        <v>13659144.926251851</v>
      </c>
      <c r="AH8" s="157">
        <f>AG8*DD_projekcie!AJ59/DD_projekcie!AI59</f>
        <v>14083112.556977153</v>
      </c>
      <c r="AI8" s="157">
        <f>AH8*DD_projekcie!AK59/DD_projekcie!AJ59</f>
        <v>14514544.239234265</v>
      </c>
      <c r="AJ8" s="157">
        <f>AI8*DD_projekcie!AL59/DD_projekcie!AK59</f>
        <v>14952898.38312473</v>
      </c>
      <c r="AK8" s="157">
        <f>AJ8*DD_projekcie!AM59/DD_projekcie!AL59</f>
        <v>15399248.662755774</v>
      </c>
      <c r="AL8" s="157">
        <f>AK8*DD_projekcie!AN59/DD_projekcie!AM59</f>
        <v>15855145.518203931</v>
      </c>
      <c r="AM8" s="157">
        <f>AL8*DD_projekcie!AO59/DD_projekcie!AN59</f>
        <v>16322654.454442414</v>
      </c>
      <c r="AN8" s="157">
        <f>AM8*DD_projekcie!AP59/DD_projekcie!AO59</f>
        <v>16802069.650440257</v>
      </c>
      <c r="AO8" s="157">
        <f>AN8*DD_projekcie!AQ59/DD_projekcie!AP59</f>
        <v>17293952.988073558</v>
      </c>
      <c r="AP8" s="157">
        <f>AO8*DD_projekcie!AR59/DD_projekcie!AQ59</f>
        <v>17799104.541856479</v>
      </c>
      <c r="AQ8" s="157">
        <f>AP8*DD_projekcie!AS59/DD_projekcie!AR59</f>
        <v>18318751.091290154</v>
      </c>
      <c r="AR8" s="157">
        <f>AQ8*DD_projekcie!AT59/DD_projekcie!AS59</f>
        <v>18855832.509619176</v>
      </c>
      <c r="AS8" s="157">
        <f>AR8*DD_projekcie!AU59/DD_projekcie!AT59</f>
        <v>19411020.003567513</v>
      </c>
      <c r="AT8" s="157">
        <f>AS8*DD_projekcie!AV59/DD_projekcie!AU59</f>
        <v>19985431.732381146</v>
      </c>
      <c r="AU8" s="157">
        <f>AT8*DD_projekcie!AW59/DD_projekcie!AV59</f>
        <v>20580416.741519131</v>
      </c>
      <c r="AV8" s="157">
        <f>AU8*DD_projekcie!AX59/DD_projekcie!AW59</f>
        <v>21197217.483041167</v>
      </c>
      <c r="AW8" s="157">
        <f>AV8*DD_projekcie!AY59/DD_projekcie!AX59</f>
        <v>21835750.088271324</v>
      </c>
      <c r="AX8" s="157">
        <f>AW8*DD_projekcie!AZ59/DD_projekcie!AY59</f>
        <v>22499712.747266073</v>
      </c>
      <c r="AY8" s="157">
        <f>AX8*DD_projekcie!BA59/DD_projekcie!AZ59</f>
        <v>23183864.610238578</v>
      </c>
      <c r="AZ8" s="157">
        <f>AY8*DD_projekcie!BB59/DD_projekcie!BA59</f>
        <v>23888819.573093574</v>
      </c>
      <c r="BA8" s="157">
        <f>AZ8*DD_projekcie!BC59/DD_projekcie!BB59</f>
        <v>24615210.198553089</v>
      </c>
    </row>
    <row r="9" spans="1:54" x14ac:dyDescent="0.25">
      <c r="A9" s="68" t="s">
        <v>814</v>
      </c>
      <c r="B9" s="74">
        <f>vystup_ESA95_SDcast!C11+vystup_ESA95_SDcast!C12</f>
        <v>2240696.7538600052</v>
      </c>
      <c r="C9" s="74">
        <f>vystup_ESA95_SDcast!D11+vystup_ESA95_SDcast!D12</f>
        <v>1921117.7538600054</v>
      </c>
      <c r="D9" s="74">
        <f>vystup_ESA95_SDcast!E11+vystup_ESA95_SDcast!E12</f>
        <v>2281379.6179156629</v>
      </c>
      <c r="E9" s="74">
        <f>vystup_ESA95_SDcast!F11+vystup_ESA95_SDcast!F12</f>
        <v>2158582.4369605021</v>
      </c>
      <c r="F9" s="74">
        <f>vystup_ESA95_SDcast!G11+vystup_ESA95_SDcast!G12</f>
        <v>1786957.1787745063</v>
      </c>
      <c r="G9" s="74">
        <f>vystup_ESA95_SDcast!H11+vystup_ESA95_SDcast!H12</f>
        <v>2018939.0736141305</v>
      </c>
      <c r="H9" s="157">
        <f>G9*DD_projekcie!J59/DD_projekcie!I59</f>
        <v>2123699.933824467</v>
      </c>
      <c r="I9" s="157">
        <f>H9*DD_projekcie!K59/DD_projekcie!J59</f>
        <v>2232682.9949475001</v>
      </c>
      <c r="J9" s="157">
        <f>I9*DD_projekcie!L59/DD_projekcie!K59</f>
        <v>2345694.1916970024</v>
      </c>
      <c r="K9" s="157">
        <f>J9*DD_projekcie!M59/DD_projekcie!L59</f>
        <v>2460969.4775317907</v>
      </c>
      <c r="L9" s="157">
        <f>K9*DD_projekcie!N59/DD_projekcie!M59</f>
        <v>2579439.0438177222</v>
      </c>
      <c r="M9" s="157">
        <f>L9*DD_projekcie!O59/DD_projekcie!N59</f>
        <v>2701786.6270421292</v>
      </c>
      <c r="N9" s="157">
        <f>M9*DD_projekcie!P59/DD_projekcie!O59</f>
        <v>2828545.4482441158</v>
      </c>
      <c r="O9" s="157">
        <f>N9*DD_projekcie!Q59/DD_projekcie!P59</f>
        <v>2959832.6586265941</v>
      </c>
      <c r="P9" s="157">
        <f>O9*DD_projekcie!R59/DD_projekcie!Q59</f>
        <v>3094735.6913396418</v>
      </c>
      <c r="Q9" s="157">
        <f>P9*DD_projekcie!S59/DD_projekcie!R59</f>
        <v>3231153.673178161</v>
      </c>
      <c r="R9" s="157">
        <f>Q9*DD_projekcie!T59/DD_projekcie!S59</f>
        <v>3367909.7988738013</v>
      </c>
      <c r="S9" s="157">
        <f>R9*DD_projekcie!U59/DD_projekcie!T59</f>
        <v>3505033.8361717667</v>
      </c>
      <c r="T9" s="157">
        <f>S9*DD_projekcie!V59/DD_projekcie!U59</f>
        <v>3641082.9705574759</v>
      </c>
      <c r="U9" s="157">
        <f>T9*DD_projekcie!W59/DD_projekcie!V59</f>
        <v>3776600.1209079139</v>
      </c>
      <c r="V9" s="157">
        <f>U9*DD_projekcie!X59/DD_projekcie!W59</f>
        <v>3915473.7843213831</v>
      </c>
      <c r="W9" s="157">
        <f>V9*DD_projekcie!Y59/DD_projekcie!X59</f>
        <v>4057714.3471984714</v>
      </c>
      <c r="X9" s="157">
        <f>W9*DD_projekcie!Z59/DD_projekcie!Y59</f>
        <v>4203242.251674667</v>
      </c>
      <c r="Y9" s="157">
        <f>X9*DD_projekcie!AA59/DD_projekcie!Z59</f>
        <v>4351477.9706459567</v>
      </c>
      <c r="Z9" s="157">
        <f>Y9*DD_projekcie!AB59/DD_projekcie!AA59</f>
        <v>4502194.1518622041</v>
      </c>
      <c r="AA9" s="157">
        <f>Z9*DD_projekcie!AC59/DD_projekcie!AB59</f>
        <v>4655814.885907582</v>
      </c>
      <c r="AB9" s="157">
        <f>AA9*DD_projekcie!AD59/DD_projekcie!AC59</f>
        <v>4813000.3124345914</v>
      </c>
      <c r="AC9" s="157">
        <f>AB9*DD_projekcie!AE59/DD_projekcie!AD59</f>
        <v>4973852.8562620375</v>
      </c>
      <c r="AD9" s="157">
        <f>AC9*DD_projekcie!AF59/DD_projekcie!AE59</f>
        <v>5138474.498282766</v>
      </c>
      <c r="AE9" s="157">
        <f>AD9*DD_projekcie!AG59/DD_projekcie!AF59</f>
        <v>5305342.2084633727</v>
      </c>
      <c r="AF9" s="157">
        <f>AE9*DD_projekcie!AH59/DD_projekcie!AG59</f>
        <v>5474908.439082968</v>
      </c>
      <c r="AG9" s="157">
        <f>AF9*DD_projekcie!AI59/DD_projekcie!AH59</f>
        <v>5647405.132870689</v>
      </c>
      <c r="AH9" s="157">
        <f>AG9*DD_projekcie!AJ59/DD_projekcie!AI59</f>
        <v>5822695.5325887119</v>
      </c>
      <c r="AI9" s="157">
        <f>AH9*DD_projekcie!AK59/DD_projekcie!AJ59</f>
        <v>6001071.9617148973</v>
      </c>
      <c r="AJ9" s="157">
        <f>AI9*DD_projekcie!AL59/DD_projekcie!AK59</f>
        <v>6182310.4986502724</v>
      </c>
      <c r="AK9" s="157">
        <f>AJ9*DD_projekcie!AM59/DD_projekcie!AL59</f>
        <v>6366855.0564433439</v>
      </c>
      <c r="AL9" s="157">
        <f>AK9*DD_projekcie!AN59/DD_projekcie!AM59</f>
        <v>6555346.6681378121</v>
      </c>
      <c r="AM9" s="157">
        <f>AL9*DD_projekcie!AO59/DD_projekcie!AN59</f>
        <v>6748639.3215528764</v>
      </c>
      <c r="AN9" s="157">
        <f>AM9*DD_projekcie!AP59/DD_projekcie!AO59</f>
        <v>6946854.6456652163</v>
      </c>
      <c r="AO9" s="157">
        <f>AN9*DD_projekcie!AQ59/DD_projekcie!AP59</f>
        <v>7150224.9518389963</v>
      </c>
      <c r="AP9" s="157">
        <f>AO9*DD_projekcie!AR59/DD_projekcie!AQ59</f>
        <v>7359081.0327367401</v>
      </c>
      <c r="AQ9" s="157">
        <f>AP9*DD_projekcie!AS59/DD_projekcie!AR59</f>
        <v>7573930.1031869771</v>
      </c>
      <c r="AR9" s="157">
        <f>AQ9*DD_projekcie!AT59/DD_projekcie!AS59</f>
        <v>7795987.6605975712</v>
      </c>
      <c r="AS9" s="157">
        <f>AR9*DD_projekcie!AU59/DD_projekcie!AT59</f>
        <v>8025531.2169444626</v>
      </c>
      <c r="AT9" s="157">
        <f>AS9*DD_projekcie!AV59/DD_projekcie!AU59</f>
        <v>8263023.0777598973</v>
      </c>
      <c r="AU9" s="157">
        <f>AT9*DD_projekcie!AW59/DD_projekcie!AV59</f>
        <v>8509021.0090161245</v>
      </c>
      <c r="AV9" s="157">
        <f>AU9*DD_projekcie!AX59/DD_projekcie!AW59</f>
        <v>8764038.7053973451</v>
      </c>
      <c r="AW9" s="157">
        <f>AV9*DD_projekcie!AY59/DD_projekcie!AX59</f>
        <v>9028041.4912050795</v>
      </c>
      <c r="AX9" s="157">
        <f>AW9*DD_projekcie!AZ59/DD_projekcie!AY59</f>
        <v>9302558.3916909099</v>
      </c>
      <c r="AY9" s="157">
        <f>AX9*DD_projekcie!BA59/DD_projekcie!AZ59</f>
        <v>9585422.5653617121</v>
      </c>
      <c r="AZ9" s="157">
        <f>AY9*DD_projekcie!BB59/DD_projekcie!BA59</f>
        <v>9876887.8289023656</v>
      </c>
      <c r="BA9" s="157">
        <f>AZ9*DD_projekcie!BC59/DD_projekcie!BB59</f>
        <v>10177215.716836628</v>
      </c>
    </row>
    <row r="10" spans="1:54" x14ac:dyDescent="0.25">
      <c r="A10" s="68" t="s">
        <v>797</v>
      </c>
      <c r="B10" s="74">
        <f>vystup_ESA95_SDcast!C8+vystup_ESA95_SDcast!C10</f>
        <v>2014367.1868600002</v>
      </c>
      <c r="C10" s="74">
        <f>vystup_ESA95_SDcast!D8+vystup_ESA95_SDcast!D10</f>
        <v>2002071.18686</v>
      </c>
      <c r="D10" s="74">
        <f>vystup_ESA95_SDcast!E8+vystup_ESA95_SDcast!E10</f>
        <v>2007951.6890791554</v>
      </c>
      <c r="E10" s="74">
        <f>vystup_ESA95_SDcast!F8+vystup_ESA95_SDcast!F10</f>
        <v>2034905.6329334015</v>
      </c>
      <c r="F10" s="74">
        <f>vystup_ESA95_SDcast!G8+vystup_ESA95_SDcast!G10</f>
        <v>2074627.0491631017</v>
      </c>
      <c r="G10" s="74">
        <f>vystup_ESA95_SDcast!H8+vystup_ESA95_SDcast!H10</f>
        <v>2135840.1703883293</v>
      </c>
      <c r="H10" s="157">
        <f>H11+H12+H13</f>
        <v>2237760.9241146636</v>
      </c>
      <c r="I10" s="157">
        <f t="shared" ref="I10:BA10" si="4">I11+I12+I13</f>
        <v>2343210.0321283797</v>
      </c>
      <c r="J10" s="157">
        <f t="shared" si="4"/>
        <v>2449090.4636529968</v>
      </c>
      <c r="K10" s="157">
        <f t="shared" si="4"/>
        <v>2556658.4999376326</v>
      </c>
      <c r="L10" s="157">
        <f t="shared" si="4"/>
        <v>2665640.5125605953</v>
      </c>
      <c r="M10" s="157">
        <f t="shared" si="4"/>
        <v>2779364.186814534</v>
      </c>
      <c r="N10" s="157">
        <f t="shared" si="4"/>
        <v>2897282.9925230844</v>
      </c>
      <c r="O10" s="157">
        <f t="shared" si="4"/>
        <v>3019557.813487282</v>
      </c>
      <c r="P10" s="157">
        <f t="shared" si="4"/>
        <v>3125012.4167154492</v>
      </c>
      <c r="Q10" s="157">
        <f t="shared" si="4"/>
        <v>3226869.7735881843</v>
      </c>
      <c r="R10" s="157">
        <f t="shared" si="4"/>
        <v>3346964.7785321698</v>
      </c>
      <c r="S10" s="157">
        <f t="shared" si="4"/>
        <v>3473167.0721608326</v>
      </c>
      <c r="T10" s="157">
        <f t="shared" si="4"/>
        <v>3597044.4335806272</v>
      </c>
      <c r="U10" s="157">
        <f t="shared" si="4"/>
        <v>3722779.9357031398</v>
      </c>
      <c r="V10" s="157">
        <f t="shared" si="4"/>
        <v>3851440.5499176513</v>
      </c>
      <c r="W10" s="157">
        <f t="shared" si="4"/>
        <v>3982700.4330858495</v>
      </c>
      <c r="X10" s="157">
        <f t="shared" si="4"/>
        <v>4115453.3047175212</v>
      </c>
      <c r="Y10" s="157">
        <f t="shared" si="4"/>
        <v>4253084.8178712241</v>
      </c>
      <c r="Z10" s="157">
        <f t="shared" si="4"/>
        <v>4392683.7004926652</v>
      </c>
      <c r="AA10" s="157">
        <f t="shared" si="4"/>
        <v>4534451.4016190777</v>
      </c>
      <c r="AB10" s="157">
        <f t="shared" si="4"/>
        <v>4677864.1536122477</v>
      </c>
      <c r="AC10" s="157">
        <f t="shared" si="4"/>
        <v>4803081.1531915041</v>
      </c>
      <c r="AD10" s="157">
        <f t="shared" si="4"/>
        <v>4947022.3522198219</v>
      </c>
      <c r="AE10" s="157">
        <f t="shared" si="4"/>
        <v>5073305.1113545606</v>
      </c>
      <c r="AF10" s="157">
        <f t="shared" si="4"/>
        <v>5110333.3733470747</v>
      </c>
      <c r="AG10" s="157">
        <f t="shared" si="4"/>
        <v>5244760.8294979176</v>
      </c>
      <c r="AH10" s="157">
        <f t="shared" si="4"/>
        <v>5401903.9349189335</v>
      </c>
      <c r="AI10" s="157">
        <f t="shared" si="4"/>
        <v>5562370.8399890838</v>
      </c>
      <c r="AJ10" s="157">
        <f t="shared" si="4"/>
        <v>5723519.7897729166</v>
      </c>
      <c r="AK10" s="157">
        <f t="shared" si="4"/>
        <v>5890816.2600810342</v>
      </c>
      <c r="AL10" s="157">
        <f t="shared" si="4"/>
        <v>6061045.1385386391</v>
      </c>
      <c r="AM10" s="157">
        <f t="shared" si="4"/>
        <v>6234971.5859632771</v>
      </c>
      <c r="AN10" s="157">
        <f t="shared" si="4"/>
        <v>6411268.6085960371</v>
      </c>
      <c r="AO10" s="157">
        <f t="shared" si="4"/>
        <v>6595616.6487300564</v>
      </c>
      <c r="AP10" s="157">
        <f t="shared" si="4"/>
        <v>6784210.0016836552</v>
      </c>
      <c r="AQ10" s="157">
        <f t="shared" si="4"/>
        <v>6977504.4449307248</v>
      </c>
      <c r="AR10" s="157">
        <f t="shared" si="4"/>
        <v>7145228.7969399551</v>
      </c>
      <c r="AS10" s="157">
        <f t="shared" si="4"/>
        <v>7307698.6546839271</v>
      </c>
      <c r="AT10" s="157">
        <f t="shared" si="4"/>
        <v>7508894.4005058073</v>
      </c>
      <c r="AU10" s="157">
        <f t="shared" si="4"/>
        <v>7728365.8592435978</v>
      </c>
      <c r="AV10" s="157">
        <f t="shared" si="4"/>
        <v>7955886.0447998084</v>
      </c>
      <c r="AW10" s="157">
        <f t="shared" si="4"/>
        <v>8191415.1377342762</v>
      </c>
      <c r="AX10" s="157">
        <f t="shared" si="4"/>
        <v>8436340.6376010403</v>
      </c>
      <c r="AY10" s="157">
        <f t="shared" si="4"/>
        <v>8688593.2848292496</v>
      </c>
      <c r="AZ10" s="157">
        <f t="shared" si="4"/>
        <v>8948392.3886006773</v>
      </c>
      <c r="BA10" s="157">
        <f t="shared" si="4"/>
        <v>9215963.8255225867</v>
      </c>
    </row>
    <row r="11" spans="1:54" x14ac:dyDescent="0.25">
      <c r="A11" s="68" t="s">
        <v>1025</v>
      </c>
      <c r="B11" s="74">
        <f>C11</f>
        <v>141016.09578166666</v>
      </c>
      <c r="C11" s="74">
        <f>DD_projekcie!E6+DD_projekcie!E7</f>
        <v>141016.09578166666</v>
      </c>
      <c r="D11" s="74">
        <f>DD_projekcie!F6+DD_projekcie!F7</f>
        <v>146292.23030619998</v>
      </c>
      <c r="E11" s="74">
        <f>DD_projekcie!G6+DD_projekcie!G7</f>
        <v>166421.550108322</v>
      </c>
      <c r="F11" s="74">
        <f>DD_projekcie!H6+DD_projekcie!H7</f>
        <v>184938.09933388396</v>
      </c>
      <c r="G11" s="74">
        <f>DD_projekcie!I6+DD_projekcie!I7</f>
        <v>194727.11505830247</v>
      </c>
      <c r="H11" s="74">
        <f>DD_projekcie!J6+DD_projekcie!J7</f>
        <v>203266.40243545396</v>
      </c>
      <c r="I11" s="74">
        <f>DD_projekcie!K6+DD_projekcie!K7</f>
        <v>211530.92031418241</v>
      </c>
      <c r="J11" s="74">
        <f>DD_projekcie!L6+DD_projekcie!L7</f>
        <v>216613.95453913609</v>
      </c>
      <c r="K11" s="74">
        <f>DD_projekcie!M6+DD_projekcie!M7</f>
        <v>221448.41144697735</v>
      </c>
      <c r="L11" s="74">
        <f>DD_projekcie!N6+DD_projekcie!N7</f>
        <v>224868.28779862134</v>
      </c>
      <c r="M11" s="74">
        <f>DD_projekcie!O6+DD_projekcie!O7</f>
        <v>229551.79222991798</v>
      </c>
      <c r="N11" s="74">
        <f>DD_projekcie!P6+DD_projekcie!P7</f>
        <v>234469.91069793887</v>
      </c>
      <c r="O11" s="74">
        <f>DD_projekcie!Q6+DD_projekcie!Q7</f>
        <v>239702.88233112043</v>
      </c>
      <c r="P11" s="74">
        <f>DD_projekcie!R6+DD_projekcie!R7</f>
        <v>224935.1005695053</v>
      </c>
      <c r="Q11" s="74">
        <f>DD_projekcie!S6+DD_projekcie!S7</f>
        <v>205306.83759821806</v>
      </c>
      <c r="R11" s="74">
        <f>DD_projekcie!T6+DD_projekcie!T7</f>
        <v>203649.18658134039</v>
      </c>
      <c r="S11" s="74">
        <f>DD_projekcie!U6+DD_projekcie!U7</f>
        <v>207751.0173740309</v>
      </c>
      <c r="T11" s="74">
        <f>DD_projekcie!V6+DD_projekcie!V7</f>
        <v>210525.46353430059</v>
      </c>
      <c r="U11" s="74">
        <f>DD_projekcie!W6+DD_projekcie!W7</f>
        <v>215592.12888427294</v>
      </c>
      <c r="V11" s="74">
        <f>DD_projekcie!X6+DD_projekcie!X7</f>
        <v>220436.42891348331</v>
      </c>
      <c r="W11" s="74">
        <f>DD_projekcie!Y6+DD_projekcie!Y7</f>
        <v>224876.38247836975</v>
      </c>
      <c r="X11" s="74">
        <f>DD_projekcie!Z6+DD_projekcie!Z7</f>
        <v>227879.5322284342</v>
      </c>
      <c r="Y11" s="74">
        <f>DD_projekcie!AA6+DD_projekcie!AA7</f>
        <v>233363.85374720191</v>
      </c>
      <c r="Z11" s="74">
        <f>DD_projekcie!AB6+DD_projekcie!AB7</f>
        <v>238607.47989150812</v>
      </c>
      <c r="AA11" s="74">
        <f>DD_projekcie!AC6+DD_projekcie!AC7</f>
        <v>243413.42841904794</v>
      </c>
      <c r="AB11" s="74">
        <f>DD_projekcie!AD6+DD_projekcie!AD7</f>
        <v>246664.13428981366</v>
      </c>
      <c r="AC11" s="74">
        <f>DD_projekcie!AE6+DD_projekcie!AE7</f>
        <v>228445.39453675199</v>
      </c>
      <c r="AD11" s="74">
        <f>DD_projekcie!AF6+DD_projekcie!AF7</f>
        <v>225586.4459486322</v>
      </c>
      <c r="AE11" s="74">
        <f>DD_projekcie!AG6+DD_projekcie!AG7</f>
        <v>203105.62547793021</v>
      </c>
      <c r="AF11" s="74">
        <f>DD_projekcie!AH6+DD_projekcie!AH7</f>
        <v>88948.469482288201</v>
      </c>
      <c r="AG11" s="74">
        <f>DD_projekcie!AI6+DD_projekcie!AI7</f>
        <v>69568.763351641086</v>
      </c>
      <c r="AH11" s="74">
        <f>DD_projekcie!AJ6+DD_projekcie!AJ7</f>
        <v>70414.446770743249</v>
      </c>
      <c r="AI11" s="74">
        <f>DD_projekcie!AK6+DD_projekcie!AK7</f>
        <v>71822.735706158113</v>
      </c>
      <c r="AJ11" s="74">
        <f>DD_projekcie!AL6+DD_projekcie!AL7</f>
        <v>71363.957911261052</v>
      </c>
      <c r="AK11" s="74">
        <f>DD_projekcie!AM6+DD_projekcie!AM7</f>
        <v>74092.630059013507</v>
      </c>
      <c r="AL11" s="74">
        <f>DD_projekcie!AN6+DD_projekcie!AN7</f>
        <v>76218.861713260645</v>
      </c>
      <c r="AM11" s="74">
        <f>DD_projekcie!AO6+DD_projekcie!AO7</f>
        <v>77743.238947525853</v>
      </c>
      <c r="AN11" s="74">
        <f>DD_projekcie!AP6+DD_projekcie!AP7</f>
        <v>77246.64310803538</v>
      </c>
      <c r="AO11" s="74">
        <f>DD_projekcie!AQ6+DD_projekcie!AQ7</f>
        <v>80200.245594858905</v>
      </c>
      <c r="AP11" s="74">
        <f>DD_projekcie!AR6+DD_projekcie!AR7</f>
        <v>82501.747117026011</v>
      </c>
      <c r="AQ11" s="74">
        <f>DD_projekcie!AS6+DD_projekcie!AS7</f>
        <v>84151.782059366538</v>
      </c>
      <c r="AR11" s="74">
        <f>DD_projekcie!AT6+DD_projekcie!AT7</f>
        <v>53783.27569480706</v>
      </c>
      <c r="AS11" s="74">
        <f>DD_projekcie!AU6+DD_projekcie!AU7</f>
        <v>11482.521027592515</v>
      </c>
      <c r="AT11" s="74">
        <f>DD_projekcie!AV6+DD_projekcie!AV7</f>
        <v>814.64716619044771</v>
      </c>
      <c r="AU11" s="74">
        <f>DD_projekcie!AW6+DD_projekcie!AW7</f>
        <v>830.94010951425662</v>
      </c>
      <c r="AV11" s="74">
        <f>DD_projekcie!AX6+DD_projekcie!AX7</f>
        <v>847.55891170454186</v>
      </c>
      <c r="AW11" s="74">
        <f>DD_projekcie!AY6+DD_projekcie!AY7</f>
        <v>864.5100899386324</v>
      </c>
      <c r="AX11" s="74">
        <f>DD_projekcie!AZ6+DD_projekcie!AZ7</f>
        <v>881.80029173740513</v>
      </c>
      <c r="AY11" s="74">
        <f>DD_projekcie!BA6+DD_projekcie!BA7</f>
        <v>899.43629757215331</v>
      </c>
      <c r="AZ11" s="74">
        <f>DD_projekcie!BB6+DD_projekcie!BB7</f>
        <v>917.42502352359634</v>
      </c>
      <c r="BA11" s="74">
        <f>DD_projekcie!BC6+DD_projekcie!BC7</f>
        <v>935.77352399406823</v>
      </c>
    </row>
    <row r="12" spans="1:54" x14ac:dyDescent="0.25">
      <c r="A12" s="68" t="s">
        <v>1026</v>
      </c>
      <c r="B12" s="74">
        <f>vystup_ESA95_SDcast!C10</f>
        <v>662316.00117999979</v>
      </c>
      <c r="C12" s="74">
        <f>vystup_ESA95_SDcast!D10</f>
        <v>650020.0011799999</v>
      </c>
      <c r="D12" s="74">
        <f>vystup_ESA95_SDcast!E10</f>
        <v>654803.99162370828</v>
      </c>
      <c r="E12" s="74">
        <f>vystup_ESA95_SDcast!F10</f>
        <v>675702.06364379846</v>
      </c>
      <c r="F12" s="74">
        <f>vystup_ESA95_SDcast!G10</f>
        <v>714817.35575009056</v>
      </c>
      <c r="G12" s="74">
        <f>vystup_ESA95_SDcast!H10</f>
        <v>768946.32364956732</v>
      </c>
      <c r="H12" s="157">
        <f>DD_projekcie!J55</f>
        <v>801505.15462275408</v>
      </c>
      <c r="I12" s="157">
        <f>DD_projekcie!K55</f>
        <v>835415.76079524553</v>
      </c>
      <c r="J12" s="157">
        <f>DD_projekcie!L55</f>
        <v>870600.49703524192</v>
      </c>
      <c r="K12" s="157">
        <f>DD_projekcie!M55</f>
        <v>906406.9180809973</v>
      </c>
      <c r="L12" s="157">
        <f>DD_projekcie!N55</f>
        <v>943187.3431398049</v>
      </c>
      <c r="M12" s="157">
        <f>DD_projekcie!O55</f>
        <v>981194.28138481791</v>
      </c>
      <c r="N12" s="157">
        <f>DD_projekcie!P55</f>
        <v>1020600.6362842431</v>
      </c>
      <c r="O12" s="157">
        <f>DD_projekcie!Q55</f>
        <v>1061419.0362221112</v>
      </c>
      <c r="P12" s="157">
        <f>DD_projekcie!R55</f>
        <v>1103318.67783858</v>
      </c>
      <c r="Q12" s="157">
        <f>DD_projekcie!S55</f>
        <v>1145601.996828692</v>
      </c>
      <c r="R12" s="157">
        <f>DD_projekcie!T55</f>
        <v>1187956.0305186093</v>
      </c>
      <c r="S12" s="157">
        <f>DD_projekcie!U55</f>
        <v>1230444.2669456608</v>
      </c>
      <c r="T12" s="157">
        <f>DD_projekcie!V55</f>
        <v>1272559.0288304631</v>
      </c>
      <c r="U12" s="157">
        <f>DD_projekcie!W55</f>
        <v>1314548.5744401629</v>
      </c>
      <c r="V12" s="157">
        <f>DD_projekcie!X55</f>
        <v>1357736.8546806565</v>
      </c>
      <c r="W12" s="157">
        <f>DD_projekcie!Y55</f>
        <v>1401973.9773637175</v>
      </c>
      <c r="X12" s="157">
        <f>DD_projekcie!Z55</f>
        <v>1447232.3094913955</v>
      </c>
      <c r="Y12" s="157">
        <f>DD_projekcie!AA55</f>
        <v>1493315.9935664739</v>
      </c>
      <c r="Z12" s="157">
        <f>DD_projekcie!AB55</f>
        <v>1540167.6220954116</v>
      </c>
      <c r="AA12" s="157">
        <f>DD_projekcie!AC55</f>
        <v>1587939.4055180575</v>
      </c>
      <c r="AB12" s="157">
        <f>DD_projekcie!AD55</f>
        <v>1636841.8737324763</v>
      </c>
      <c r="AC12" s="157">
        <f>DD_projekcie!AE55</f>
        <v>1686888.9600614193</v>
      </c>
      <c r="AD12" s="157">
        <f>DD_projekcie!AF55</f>
        <v>1738112.1709524314</v>
      </c>
      <c r="AE12" s="157">
        <f>DD_projekcie!AG55</f>
        <v>1789994.7792488849</v>
      </c>
      <c r="AF12" s="157">
        <f>DD_projekcie!AH55</f>
        <v>1842732.5041162467</v>
      </c>
      <c r="AG12" s="157">
        <f>DD_projekcie!AI55</f>
        <v>1896390.5888820463</v>
      </c>
      <c r="AH12" s="157">
        <f>DD_projekcie!AJ55</f>
        <v>1950916.9482413305</v>
      </c>
      <c r="AI12" s="157">
        <f>DD_projekcie!AK55</f>
        <v>2006412.7978368152</v>
      </c>
      <c r="AJ12" s="157">
        <f>DD_projekcie!AL55</f>
        <v>2062796.0606109719</v>
      </c>
      <c r="AK12" s="157">
        <f>DD_projekcie!AM55</f>
        <v>2120219.966226581</v>
      </c>
      <c r="AL12" s="157">
        <f>DD_projekcie!AN55</f>
        <v>2178887.1182611086</v>
      </c>
      <c r="AM12" s="157">
        <f>DD_projekcie!AO55</f>
        <v>2239066.2785219648</v>
      </c>
      <c r="AN12" s="157">
        <f>DD_projekcie!AP55</f>
        <v>2300778.9558849689</v>
      </c>
      <c r="AO12" s="157">
        <f>DD_projekcie!AQ55</f>
        <v>2364099.5446359511</v>
      </c>
      <c r="AP12" s="157">
        <f>DD_projekcie!AR55</f>
        <v>2429132.5859640879</v>
      </c>
      <c r="AQ12" s="157">
        <f>DD_projekcie!AS55</f>
        <v>2496038.7413885966</v>
      </c>
      <c r="AR12" s="157">
        <f>DD_projekcie!AT55</f>
        <v>2565208.2039468922</v>
      </c>
      <c r="AS12" s="157">
        <f>DD_projekcie!AU55</f>
        <v>2636709.1581807318</v>
      </c>
      <c r="AT12" s="157">
        <f>DD_projekcie!AV55</f>
        <v>2710688.4494407657</v>
      </c>
      <c r="AU12" s="157">
        <f>DD_projekcie!AW55</f>
        <v>2787320.7857356849</v>
      </c>
      <c r="AV12" s="157">
        <f>DD_projekcie!AX55</f>
        <v>2866764.7782338322</v>
      </c>
      <c r="AW12" s="157">
        <f>DD_projekcie!AY55</f>
        <v>2949000.7331852652</v>
      </c>
      <c r="AX12" s="157">
        <f>DD_projekcie!AZ55</f>
        <v>3034528.4136213288</v>
      </c>
      <c r="AY12" s="157">
        <f>DD_projekcie!BA55</f>
        <v>3122536.5899211122</v>
      </c>
      <c r="AZ12" s="157">
        <f>DD_projekcie!BB55</f>
        <v>3213097.2020659009</v>
      </c>
      <c r="BA12" s="157">
        <f>DD_projekcie!BC55</f>
        <v>3306284.276458886</v>
      </c>
    </row>
    <row r="13" spans="1:54" x14ac:dyDescent="0.25">
      <c r="A13" s="76" t="s">
        <v>1027</v>
      </c>
      <c r="B13" s="77">
        <f>B10-B11-B12</f>
        <v>1211035.0898983339</v>
      </c>
      <c r="C13" s="77">
        <f t="shared" ref="C13:G13" si="5">C10-C11-C12</f>
        <v>1211035.0898983334</v>
      </c>
      <c r="D13" s="77">
        <f t="shared" si="5"/>
        <v>1206855.4671492472</v>
      </c>
      <c r="E13" s="77">
        <f t="shared" si="5"/>
        <v>1192782.0191812811</v>
      </c>
      <c r="F13" s="77">
        <f t="shared" si="5"/>
        <v>1174871.5940791271</v>
      </c>
      <c r="G13" s="77">
        <f t="shared" si="5"/>
        <v>1172166.7316804596</v>
      </c>
      <c r="H13" s="159">
        <f>G13*DD_projekcie!J59/DD_projekcie!I59</f>
        <v>1232989.3670564557</v>
      </c>
      <c r="I13" s="159">
        <f>H13*DD_projekcie!K59/DD_projekcie!J59</f>
        <v>1296263.351018952</v>
      </c>
      <c r="J13" s="159">
        <f>I13*DD_projekcie!L59/DD_projekcie!K59</f>
        <v>1361876.0120786189</v>
      </c>
      <c r="K13" s="159">
        <f>J13*DD_projekcie!M59/DD_projekcie!L59</f>
        <v>1428803.170409658</v>
      </c>
      <c r="L13" s="159">
        <f>K13*DD_projekcie!N59/DD_projekcie!M59</f>
        <v>1497584.8816221692</v>
      </c>
      <c r="M13" s="159">
        <f>L13*DD_projekcie!O59/DD_projekcie!N59</f>
        <v>1568618.1131997982</v>
      </c>
      <c r="N13" s="159">
        <f>M13*DD_projekcie!P59/DD_projekcie!O59</f>
        <v>1642212.4455409027</v>
      </c>
      <c r="O13" s="159">
        <f>N13*DD_projekcie!Q59/DD_projekcie!P59</f>
        <v>1718435.89493405</v>
      </c>
      <c r="P13" s="159">
        <f>O13*DD_projekcie!R59/DD_projekcie!Q59</f>
        <v>1796758.638307364</v>
      </c>
      <c r="Q13" s="159">
        <f>P13*DD_projekcie!S59/DD_projekcie!R59</f>
        <v>1875960.9391612743</v>
      </c>
      <c r="R13" s="159">
        <f>Q13*DD_projekcie!T59/DD_projekcie!S59</f>
        <v>1955359.5614322198</v>
      </c>
      <c r="S13" s="159">
        <f>R13*DD_projekcie!U59/DD_projekcie!T59</f>
        <v>2034971.787841141</v>
      </c>
      <c r="T13" s="159">
        <f>S13*DD_projekcie!V59/DD_projekcie!U59</f>
        <v>2113959.9412158635</v>
      </c>
      <c r="U13" s="159">
        <f>T13*DD_projekcie!W59/DD_projekcie!V59</f>
        <v>2192639.232378704</v>
      </c>
      <c r="V13" s="159">
        <f>U13*DD_projekcie!X59/DD_projekcie!W59</f>
        <v>2273267.2663235115</v>
      </c>
      <c r="W13" s="159">
        <f>V13*DD_projekcie!Y59/DD_projekcie!X59</f>
        <v>2355850.0732437624</v>
      </c>
      <c r="X13" s="159">
        <f>W13*DD_projekcie!Z59/DD_projekcie!Y59</f>
        <v>2440341.4629976917</v>
      </c>
      <c r="Y13" s="159">
        <f>X13*DD_projekcie!AA59/DD_projekcie!Z59</f>
        <v>2526404.9705575481</v>
      </c>
      <c r="Z13" s="159">
        <f>Y13*DD_projekcie!AB59/DD_projekcie!AA59</f>
        <v>2613908.5985057456</v>
      </c>
      <c r="AA13" s="159">
        <f>Z13*DD_projekcie!AC59/DD_projekcie!AB59</f>
        <v>2703098.5676819724</v>
      </c>
      <c r="AB13" s="159">
        <f>AA13*DD_projekcie!AD59/DD_projekcie!AC59</f>
        <v>2794358.1455899575</v>
      </c>
      <c r="AC13" s="159">
        <f>AB13*DD_projekcie!AE59/DD_projekcie!AD59</f>
        <v>2887746.7985933325</v>
      </c>
      <c r="AD13" s="159">
        <f>AC13*DD_projekcie!AF59/DD_projekcie!AE59</f>
        <v>2983323.7353187581</v>
      </c>
      <c r="AE13" s="159">
        <f>AD13*DD_projekcie!AG59/DD_projekcie!AF59</f>
        <v>3080204.7066277452</v>
      </c>
      <c r="AF13" s="159">
        <f>AE13*DD_projekcie!AH59/DD_projekcie!AG59</f>
        <v>3178652.39974854</v>
      </c>
      <c r="AG13" s="159">
        <f>AF13*DD_projekcie!AI59/DD_projekcie!AH59</f>
        <v>3278801.4772642301</v>
      </c>
      <c r="AH13" s="159">
        <f>AG13*DD_projekcie!AJ59/DD_projekcie!AI59</f>
        <v>3380572.5399068599</v>
      </c>
      <c r="AI13" s="159">
        <f>AH13*DD_projekcie!AK59/DD_projekcie!AJ59</f>
        <v>3484135.3064461104</v>
      </c>
      <c r="AJ13" s="159">
        <f>AI13*DD_projekcie!AL59/DD_projekcie!AK59</f>
        <v>3589359.7712506833</v>
      </c>
      <c r="AK13" s="159">
        <f>AJ13*DD_projekcie!AM59/DD_projekcie!AL59</f>
        <v>3696503.6637954391</v>
      </c>
      <c r="AL13" s="159">
        <f>AK13*DD_projekcie!AN59/DD_projekcie!AM59</f>
        <v>3805939.1585642695</v>
      </c>
      <c r="AM13" s="159">
        <f>AL13*DD_projekcie!AO59/DD_projekcie!AN59</f>
        <v>3918162.0684937863</v>
      </c>
      <c r="AN13" s="159">
        <f>AM13*DD_projekcie!AP59/DD_projekcie!AO59</f>
        <v>4033243.0096030328</v>
      </c>
      <c r="AO13" s="159">
        <f>AN13*DD_projekcie!AQ59/DD_projekcie!AP59</f>
        <v>4151316.8584992457</v>
      </c>
      <c r="AP13" s="159">
        <f>AO13*DD_projekcie!AR59/DD_projekcie!AQ59</f>
        <v>4272575.6686025411</v>
      </c>
      <c r="AQ13" s="159">
        <f>AP13*DD_projekcie!AS59/DD_projekcie!AR59</f>
        <v>4397313.9214827623</v>
      </c>
      <c r="AR13" s="159">
        <f>AQ13*DD_projekcie!AT59/DD_projekcie!AS59</f>
        <v>4526237.3172982559</v>
      </c>
      <c r="AS13" s="159">
        <f>AR13*DD_projekcie!AU59/DD_projekcie!AT59</f>
        <v>4659506.9754756028</v>
      </c>
      <c r="AT13" s="159">
        <f>AS13*DD_projekcie!AV59/DD_projekcie!AU59</f>
        <v>4797391.3038988505</v>
      </c>
      <c r="AU13" s="159">
        <f>AT13*DD_projekcie!AW59/DD_projekcie!AV59</f>
        <v>4940214.1333983988</v>
      </c>
      <c r="AV13" s="159">
        <f>AU13*DD_projekcie!AX59/DD_projekcie!AW59</f>
        <v>5088273.7076542722</v>
      </c>
      <c r="AW13" s="159">
        <f>AV13*DD_projekcie!AY59/DD_projekcie!AX59</f>
        <v>5241549.8944590725</v>
      </c>
      <c r="AX13" s="159">
        <f>AW13*DD_projekcie!AZ59/DD_projekcie!AY59</f>
        <v>5400930.4236879731</v>
      </c>
      <c r="AY13" s="159">
        <f>AX13*DD_projekcie!BA59/DD_projekcie!AZ59</f>
        <v>5565157.2586105652</v>
      </c>
      <c r="AZ13" s="159">
        <f>AY13*DD_projekcie!BB59/DD_projekcie!BA59</f>
        <v>5734377.7615112523</v>
      </c>
      <c r="BA13" s="159">
        <f>AZ13*DD_projekcie!BC59/DD_projekcie!BB59</f>
        <v>5908743.7755397074</v>
      </c>
    </row>
    <row r="14" spans="1:54" x14ac:dyDescent="0.25">
      <c r="A14" s="70" t="s">
        <v>1022</v>
      </c>
      <c r="B14" s="71">
        <f>vystup_ESA95_SDcast!C13</f>
        <v>27920732.242160086</v>
      </c>
      <c r="C14" s="71">
        <f>vystup_ESA95_SDcast!D13</f>
        <v>27889998.242160011</v>
      </c>
      <c r="D14" s="71">
        <f>vystup_ESA95_SDcast!E13</f>
        <v>28726465.300743237</v>
      </c>
      <c r="E14" s="71">
        <f>vystup_ESA95_SDcast!F13</f>
        <v>29704669.981428567</v>
      </c>
      <c r="F14" s="71">
        <f>vystup_ESA95_SDcast!G13</f>
        <v>30302115.194037482</v>
      </c>
      <c r="G14" s="71">
        <f>vystup_ESA95_SDcast!H13</f>
        <v>31998943.918066684</v>
      </c>
      <c r="H14" s="164">
        <f>H15+H28</f>
        <v>33752432.668444395</v>
      </c>
      <c r="I14" s="164">
        <f t="shared" ref="I14:BA14" si="6">I15+I28</f>
        <v>35558838.863126956</v>
      </c>
      <c r="J14" s="164">
        <f t="shared" si="6"/>
        <v>37488343.903623857</v>
      </c>
      <c r="K14" s="164">
        <f t="shared" si="6"/>
        <v>39458393.217366241</v>
      </c>
      <c r="L14" s="164">
        <f t="shared" si="6"/>
        <v>41461505.109537408</v>
      </c>
      <c r="M14" s="164">
        <f t="shared" si="6"/>
        <v>43547175.551068701</v>
      </c>
      <c r="N14" s="164">
        <f t="shared" si="6"/>
        <v>45936928.992292523</v>
      </c>
      <c r="O14" s="164">
        <f t="shared" si="6"/>
        <v>48297942.879392684</v>
      </c>
      <c r="P14" s="164">
        <f t="shared" si="6"/>
        <v>50762281.592218868</v>
      </c>
      <c r="Q14" s="164">
        <f t="shared" si="6"/>
        <v>53235778.316150494</v>
      </c>
      <c r="R14" s="164">
        <f t="shared" si="6"/>
        <v>55758285.788429111</v>
      </c>
      <c r="S14" s="164">
        <f t="shared" si="6"/>
        <v>58171855.541849457</v>
      </c>
      <c r="T14" s="164">
        <f t="shared" si="6"/>
        <v>60610860.425149567</v>
      </c>
      <c r="U14" s="164">
        <f t="shared" si="6"/>
        <v>63137651.271813735</v>
      </c>
      <c r="V14" s="164">
        <f t="shared" si="6"/>
        <v>65793990.418550193</v>
      </c>
      <c r="W14" s="164">
        <f t="shared" si="6"/>
        <v>68453291.334559828</v>
      </c>
      <c r="X14" s="164">
        <f t="shared" si="6"/>
        <v>71128057.9272338</v>
      </c>
      <c r="Y14" s="164">
        <f t="shared" si="6"/>
        <v>74120822.142899469</v>
      </c>
      <c r="Z14" s="164">
        <f t="shared" si="6"/>
        <v>77070030.290668085</v>
      </c>
      <c r="AA14" s="164">
        <f t="shared" si="6"/>
        <v>80016067.236693412</v>
      </c>
      <c r="AB14" s="164">
        <f t="shared" si="6"/>
        <v>83180702.507637829</v>
      </c>
      <c r="AC14" s="164">
        <f t="shared" si="6"/>
        <v>86468390.711739302</v>
      </c>
      <c r="AD14" s="164">
        <f t="shared" si="6"/>
        <v>89947157.174159601</v>
      </c>
      <c r="AE14" s="164">
        <f t="shared" si="6"/>
        <v>93389836.941573724</v>
      </c>
      <c r="AF14" s="164">
        <f t="shared" si="6"/>
        <v>97000319.437534615</v>
      </c>
      <c r="AG14" s="164">
        <f t="shared" si="6"/>
        <v>100894386.78349458</v>
      </c>
      <c r="AH14" s="164">
        <f t="shared" si="6"/>
        <v>104833260.41398066</v>
      </c>
      <c r="AI14" s="164">
        <f t="shared" si="6"/>
        <v>108635425.78176273</v>
      </c>
      <c r="AJ14" s="164">
        <f t="shared" si="6"/>
        <v>112864249.08146937</v>
      </c>
      <c r="AK14" s="164">
        <f t="shared" si="6"/>
        <v>117306155.98061486</v>
      </c>
      <c r="AL14" s="164">
        <f t="shared" si="6"/>
        <v>121964297.82135303</v>
      </c>
      <c r="AM14" s="164">
        <f t="shared" si="6"/>
        <v>126746587.53337458</v>
      </c>
      <c r="AN14" s="164">
        <f t="shared" si="6"/>
        <v>131863560.64417958</v>
      </c>
      <c r="AO14" s="164">
        <f t="shared" si="6"/>
        <v>137241782.16562682</v>
      </c>
      <c r="AP14" s="164">
        <f t="shared" si="6"/>
        <v>142718484.9414213</v>
      </c>
      <c r="AQ14" s="164">
        <f t="shared" si="6"/>
        <v>148226969.14278007</v>
      </c>
      <c r="AR14" s="164">
        <f t="shared" si="6"/>
        <v>154277951.80400226</v>
      </c>
      <c r="AS14" s="164">
        <f t="shared" si="6"/>
        <v>160685297.52400953</v>
      </c>
      <c r="AT14" s="164">
        <f t="shared" si="6"/>
        <v>167372391.9198606</v>
      </c>
      <c r="AU14" s="164">
        <f t="shared" si="6"/>
        <v>174319542.49660072</v>
      </c>
      <c r="AV14" s="164">
        <f t="shared" si="6"/>
        <v>181482647.54947066</v>
      </c>
      <c r="AW14" s="164">
        <f t="shared" si="6"/>
        <v>188986566.49352157</v>
      </c>
      <c r="AX14" s="164">
        <f t="shared" si="6"/>
        <v>196834880.10385537</v>
      </c>
      <c r="AY14" s="164">
        <f t="shared" si="6"/>
        <v>204490099.26425585</v>
      </c>
      <c r="AZ14" s="164">
        <f t="shared" si="6"/>
        <v>212344305.61765686</v>
      </c>
      <c r="BA14" s="164">
        <f t="shared" si="6"/>
        <v>220599943.72514361</v>
      </c>
    </row>
    <row r="15" spans="1:54" x14ac:dyDescent="0.25">
      <c r="A15" s="68" t="s">
        <v>1030</v>
      </c>
      <c r="B15" s="74">
        <f>B14-B28</f>
        <v>26507375.670000087</v>
      </c>
      <c r="C15" s="74">
        <f t="shared" ref="C15:G15" si="7">C14-C28</f>
        <v>26476641.670000009</v>
      </c>
      <c r="D15" s="74">
        <f t="shared" si="7"/>
        <v>27287504.390612703</v>
      </c>
      <c r="E15" s="74">
        <f t="shared" si="7"/>
        <v>28208950.896484248</v>
      </c>
      <c r="F15" s="74">
        <f t="shared" si="7"/>
        <v>28703552.755623851</v>
      </c>
      <c r="G15" s="74">
        <f t="shared" si="7"/>
        <v>30259619.830935504</v>
      </c>
      <c r="H15" s="157">
        <f>H16+H17+H24+H25+H26</f>
        <v>31829677.83746307</v>
      </c>
      <c r="I15" s="157">
        <f t="shared" ref="I15:BA15" si="8">I16+I17+I24+I25+I26</f>
        <v>33405876.602199819</v>
      </c>
      <c r="J15" s="157">
        <f t="shared" si="8"/>
        <v>35089740.739167713</v>
      </c>
      <c r="K15" s="157">
        <f t="shared" si="8"/>
        <v>36794723.966651045</v>
      </c>
      <c r="L15" s="157">
        <f t="shared" si="8"/>
        <v>38509084.285441376</v>
      </c>
      <c r="M15" s="157">
        <f t="shared" si="8"/>
        <v>40297942.537586279</v>
      </c>
      <c r="N15" s="157">
        <f t="shared" si="8"/>
        <v>42198301.537587829</v>
      </c>
      <c r="O15" s="157">
        <f t="shared" si="8"/>
        <v>44157197.814257339</v>
      </c>
      <c r="P15" s="157">
        <f t="shared" si="8"/>
        <v>46187561.011311926</v>
      </c>
      <c r="Q15" s="157">
        <f t="shared" si="8"/>
        <v>48252491.42859146</v>
      </c>
      <c r="R15" s="157">
        <f t="shared" si="8"/>
        <v>50365644.95535896</v>
      </c>
      <c r="S15" s="157">
        <f t="shared" si="8"/>
        <v>52359239.653097875</v>
      </c>
      <c r="T15" s="157">
        <f t="shared" si="8"/>
        <v>54360309.712284632</v>
      </c>
      <c r="U15" s="157">
        <f t="shared" si="8"/>
        <v>56421047.357861526</v>
      </c>
      <c r="V15" s="157">
        <f t="shared" si="8"/>
        <v>58579054.875529975</v>
      </c>
      <c r="W15" s="157">
        <f t="shared" si="8"/>
        <v>60708688.845846474</v>
      </c>
      <c r="X15" s="157">
        <f t="shared" si="8"/>
        <v>62892981.73689992</v>
      </c>
      <c r="Y15" s="157">
        <f t="shared" si="8"/>
        <v>65208890.567879193</v>
      </c>
      <c r="Z15" s="157">
        <f t="shared" si="8"/>
        <v>67552675.220847607</v>
      </c>
      <c r="AA15" s="157">
        <f t="shared" si="8"/>
        <v>69807449.458769411</v>
      </c>
      <c r="AB15" s="157">
        <f t="shared" si="8"/>
        <v>72268035.186654314</v>
      </c>
      <c r="AC15" s="157">
        <f t="shared" si="8"/>
        <v>74796142.821617961</v>
      </c>
      <c r="AD15" s="157">
        <f t="shared" si="8"/>
        <v>77461809.384032205</v>
      </c>
      <c r="AE15" s="157">
        <f t="shared" si="8"/>
        <v>80045018.637696743</v>
      </c>
      <c r="AF15" s="157">
        <f t="shared" si="8"/>
        <v>82737801.859330088</v>
      </c>
      <c r="AG15" s="157">
        <f t="shared" si="8"/>
        <v>85645753.036115989</v>
      </c>
      <c r="AH15" s="157">
        <f t="shared" si="8"/>
        <v>88532638.249618202</v>
      </c>
      <c r="AI15" s="157">
        <f t="shared" si="8"/>
        <v>91288824.32290338</v>
      </c>
      <c r="AJ15" s="157">
        <f t="shared" si="8"/>
        <v>94245235.181228682</v>
      </c>
      <c r="AK15" s="157">
        <f t="shared" si="8"/>
        <v>97448331.696995884</v>
      </c>
      <c r="AL15" s="157">
        <f t="shared" si="8"/>
        <v>100735381.60552751</v>
      </c>
      <c r="AM15" s="157">
        <f t="shared" si="8"/>
        <v>104072787.4476857</v>
      </c>
      <c r="AN15" s="157">
        <f t="shared" si="8"/>
        <v>107634062.91474544</v>
      </c>
      <c r="AO15" s="157">
        <f t="shared" si="8"/>
        <v>111337652.25110863</v>
      </c>
      <c r="AP15" s="157">
        <f t="shared" si="8"/>
        <v>115034379.38528912</v>
      </c>
      <c r="AQ15" s="157">
        <f t="shared" si="8"/>
        <v>118637058.07132238</v>
      </c>
      <c r="AR15" s="157">
        <f t="shared" si="8"/>
        <v>122646001.89518702</v>
      </c>
      <c r="AS15" s="157">
        <f t="shared" si="8"/>
        <v>126866861.45071463</v>
      </c>
      <c r="AT15" s="157">
        <f t="shared" si="8"/>
        <v>131291695.53820629</v>
      </c>
      <c r="AU15" s="157">
        <f t="shared" si="8"/>
        <v>135650522.13791239</v>
      </c>
      <c r="AV15" s="157">
        <f t="shared" si="8"/>
        <v>140173597.99285451</v>
      </c>
      <c r="AW15" s="157">
        <f t="shared" si="8"/>
        <v>144818857.77077499</v>
      </c>
      <c r="AX15" s="157">
        <f t="shared" si="8"/>
        <v>149650248.47312739</v>
      </c>
      <c r="AY15" s="157">
        <f t="shared" si="8"/>
        <v>154092426.48865801</v>
      </c>
      <c r="AZ15" s="157">
        <f t="shared" si="8"/>
        <v>158549831.40123135</v>
      </c>
      <c r="BA15" s="157">
        <f t="shared" si="8"/>
        <v>163237018.34902021</v>
      </c>
    </row>
    <row r="16" spans="1:54" x14ac:dyDescent="0.25">
      <c r="A16" s="68" t="s">
        <v>1031</v>
      </c>
      <c r="B16" s="74">
        <f>B15-B17-B24-B25-B26</f>
        <v>13011511.741482625</v>
      </c>
      <c r="C16" s="74">
        <f t="shared" ref="C16:G16" si="9">C15-C17-C24-C25-C26</f>
        <v>12886997.741482547</v>
      </c>
      <c r="D16" s="74">
        <f t="shared" si="9"/>
        <v>13180181.00726066</v>
      </c>
      <c r="E16" s="74">
        <f t="shared" si="9"/>
        <v>13509306.02344347</v>
      </c>
      <c r="F16" s="74">
        <f t="shared" si="9"/>
        <v>13358576.802836854</v>
      </c>
      <c r="G16" s="74">
        <f t="shared" si="9"/>
        <v>14104369.104235508</v>
      </c>
      <c r="H16" s="157">
        <f>G16*DD_projekcie!J59/DD_projekcie!I59</f>
        <v>14836231.625197452</v>
      </c>
      <c r="I16" s="157">
        <f>H16*DD_projekcie!K59/DD_projekcie!J59</f>
        <v>15597590.568752427</v>
      </c>
      <c r="J16" s="157">
        <f>I16*DD_projekcie!L59/DD_projekcie!K59</f>
        <v>16387090.188972767</v>
      </c>
      <c r="K16" s="157">
        <f>J16*DD_projekcie!M59/DD_projekcie!L59</f>
        <v>17192406.803653754</v>
      </c>
      <c r="L16" s="157">
        <f>K16*DD_projekcie!N59/DD_projekcie!M59</f>
        <v>18020038.757660322</v>
      </c>
      <c r="M16" s="157">
        <f>L16*DD_projekcie!O59/DD_projekcie!N59</f>
        <v>18874762.65466189</v>
      </c>
      <c r="N16" s="157">
        <f>M16*DD_projekcie!P59/DD_projekcie!O59</f>
        <v>19760303.592878588</v>
      </c>
      <c r="O16" s="157">
        <f>N16*DD_projekcie!Q59/DD_projekcie!P59</f>
        <v>20677479.994138237</v>
      </c>
      <c r="P16" s="157">
        <f>O16*DD_projekcie!R59/DD_projekcie!Q59</f>
        <v>21619916.638974424</v>
      </c>
      <c r="Q16" s="157">
        <f>P16*DD_projekcie!S59/DD_projekcie!R59</f>
        <v>22572936.763975538</v>
      </c>
      <c r="R16" s="157">
        <f>Q16*DD_projekcie!T59/DD_projekcie!S59</f>
        <v>23528319.172134917</v>
      </c>
      <c r="S16" s="157">
        <f>R16*DD_projekcie!U59/DD_projekcie!T59</f>
        <v>24486271.821816068</v>
      </c>
      <c r="T16" s="157">
        <f>S16*DD_projekcie!V59/DD_projekcie!U59</f>
        <v>25436715.167415775</v>
      </c>
      <c r="U16" s="157">
        <f>T16*DD_projekcie!W59/DD_projekcie!V59</f>
        <v>26383442.056541342</v>
      </c>
      <c r="V16" s="157">
        <f>U16*DD_projekcie!X59/DD_projekcie!W59</f>
        <v>27353617.646899592</v>
      </c>
      <c r="W16" s="157">
        <f>V16*DD_projekcie!Y59/DD_projekcie!X59</f>
        <v>28347314.498197496</v>
      </c>
      <c r="X16" s="157">
        <f>W16*DD_projekcie!Z59/DD_projekcie!Y59</f>
        <v>29363976.816800229</v>
      </c>
      <c r="Y16" s="157">
        <f>X16*DD_projekcie!AA59/DD_projekcie!Z59</f>
        <v>30399556.00892517</v>
      </c>
      <c r="Z16" s="157">
        <f>Y16*DD_projekcie!AB59/DD_projekcie!AA59</f>
        <v>31452463.784913406</v>
      </c>
      <c r="AA16" s="157">
        <f>Z16*DD_projekcie!AC59/DD_projekcie!AB59</f>
        <v>32525662.854343932</v>
      </c>
      <c r="AB16" s="157">
        <f>AA16*DD_projekcie!AD59/DD_projekcie!AC59</f>
        <v>33623764.972688176</v>
      </c>
      <c r="AC16" s="157">
        <f>AB16*DD_projekcie!AE59/DD_projekcie!AD59</f>
        <v>34747485.682811558</v>
      </c>
      <c r="AD16" s="157">
        <f>AC16*DD_projekcie!AF59/DD_projekcie!AE59</f>
        <v>35897537.426299408</v>
      </c>
      <c r="AE16" s="157">
        <f>AD16*DD_projekcie!AG59/DD_projekcie!AF59</f>
        <v>37063280.269520886</v>
      </c>
      <c r="AF16" s="157">
        <f>AE16*DD_projekcie!AH59/DD_projekcie!AG59</f>
        <v>38247875.057709023</v>
      </c>
      <c r="AG16" s="157">
        <f>AF16*DD_projekcie!AI59/DD_projekcie!AH59</f>
        <v>39452942.149747133</v>
      </c>
      <c r="AH16" s="157">
        <f>AG16*DD_projekcie!AJ59/DD_projekcie!AI59</f>
        <v>40677526.155457698</v>
      </c>
      <c r="AI16" s="157">
        <f>AH16*DD_projekcie!AK59/DD_projekcie!AJ59</f>
        <v>41923669.255451046</v>
      </c>
      <c r="AJ16" s="157">
        <f>AI16*DD_projekcie!AL59/DD_projekcie!AK59</f>
        <v>43189807.126700506</v>
      </c>
      <c r="AK16" s="157">
        <f>AJ16*DD_projekcie!AM59/DD_projekcie!AL59</f>
        <v>44479040.959117219</v>
      </c>
      <c r="AL16" s="157">
        <f>AK16*DD_projekcie!AN59/DD_projekcie!AM59</f>
        <v>45795849.028828748</v>
      </c>
      <c r="AM16" s="157">
        <f>AL16*DD_projekcie!AO59/DD_projekcie!AN59</f>
        <v>47146197.320430629</v>
      </c>
      <c r="AN16" s="157">
        <f>AM16*DD_projekcie!AP59/DD_projekcie!AO59</f>
        <v>48530935.53761293</v>
      </c>
      <c r="AO16" s="157">
        <f>AN16*DD_projekcie!AQ59/DD_projekcie!AP59</f>
        <v>49951686.614554346</v>
      </c>
      <c r="AP16" s="157">
        <f>AO16*DD_projekcie!AR59/DD_projekcie!AQ59</f>
        <v>51410761.478746541</v>
      </c>
      <c r="AQ16" s="157">
        <f>AP16*DD_projekcie!AS59/DD_projekcie!AR59</f>
        <v>52911703.548240222</v>
      </c>
      <c r="AR16" s="157">
        <f>AQ16*DD_projekcie!AT59/DD_projekcie!AS59</f>
        <v>54463004.324492656</v>
      </c>
      <c r="AS16" s="157">
        <f>AR16*DD_projekcie!AU59/DD_projekcie!AT59</f>
        <v>56066602.514516212</v>
      </c>
      <c r="AT16" s="157">
        <f>AS16*DD_projekcie!AV59/DD_projekcie!AU59</f>
        <v>57725727.798666723</v>
      </c>
      <c r="AU16" s="157">
        <f>AT16*DD_projekcie!AW59/DD_projekcie!AV59</f>
        <v>59444276.746805683</v>
      </c>
      <c r="AV16" s="157">
        <f>AU16*DD_projekcie!AX59/DD_projekcie!AW59</f>
        <v>61225838.045450419</v>
      </c>
      <c r="AW16" s="157">
        <f>AV16*DD_projekcie!AY59/DD_projekcie!AX59</f>
        <v>63070169.449128225</v>
      </c>
      <c r="AX16" s="157">
        <f>AW16*DD_projekcie!AZ59/DD_projekcie!AY59</f>
        <v>64987952.774244487</v>
      </c>
      <c r="AY16" s="157">
        <f>AX16*DD_projekcie!BA59/DD_projekcie!AZ59</f>
        <v>66964050.400942899</v>
      </c>
      <c r="AZ16" s="157">
        <f>AY16*DD_projekcie!BB59/DD_projekcie!BA59</f>
        <v>69000235.500219628</v>
      </c>
      <c r="BA16" s="157">
        <f>AZ16*DD_projekcie!BC59/DD_projekcie!BB59</f>
        <v>71098335.160125405</v>
      </c>
    </row>
    <row r="17" spans="1:55" x14ac:dyDescent="0.25">
      <c r="A17" s="68" t="s">
        <v>1032</v>
      </c>
      <c r="B17" s="74">
        <f>SUM(B18:B23)</f>
        <v>13304087.865701346</v>
      </c>
      <c r="C17" s="74">
        <f t="shared" ref="C17:BA17" si="10">SUM(C18:C23)</f>
        <v>13397867.865701346</v>
      </c>
      <c r="D17" s="74">
        <f t="shared" si="10"/>
        <v>13909900.69489143</v>
      </c>
      <c r="E17" s="74">
        <f t="shared" si="10"/>
        <v>14489273.259268841</v>
      </c>
      <c r="F17" s="74">
        <f t="shared" si="10"/>
        <v>15110957.30676344</v>
      </c>
      <c r="G17" s="74">
        <f t="shared" si="10"/>
        <v>15933841.640356608</v>
      </c>
      <c r="H17" s="74">
        <f t="shared" si="10"/>
        <v>16769905.935760278</v>
      </c>
      <c r="I17" s="74">
        <f t="shared" si="10"/>
        <v>17596103.166483507</v>
      </c>
      <c r="J17" s="74">
        <f t="shared" si="10"/>
        <v>18467752.342593882</v>
      </c>
      <c r="K17" s="74">
        <f t="shared" si="10"/>
        <v>19387282.180243868</v>
      </c>
      <c r="L17" s="74">
        <f t="shared" si="10"/>
        <v>20270523.189266689</v>
      </c>
      <c r="M17" s="74">
        <f t="shared" si="10"/>
        <v>21201436.575716473</v>
      </c>
      <c r="N17" s="74">
        <f t="shared" si="10"/>
        <v>22184664.428364418</v>
      </c>
      <c r="O17" s="74">
        <f t="shared" si="10"/>
        <v>23247658.175894771</v>
      </c>
      <c r="P17" s="74">
        <f t="shared" si="10"/>
        <v>24334601.557609003</v>
      </c>
      <c r="Q17" s="74">
        <f t="shared" si="10"/>
        <v>25440434.110722512</v>
      </c>
      <c r="R17" s="74">
        <f t="shared" si="10"/>
        <v>26559111.612189457</v>
      </c>
      <c r="S17" s="74">
        <f t="shared" si="10"/>
        <v>27619143.770745322</v>
      </c>
      <c r="T17" s="74">
        <f t="shared" si="10"/>
        <v>28655818.718085602</v>
      </c>
      <c r="U17" s="74">
        <f t="shared" si="10"/>
        <v>29727171.20235116</v>
      </c>
      <c r="V17" s="74">
        <f t="shared" si="10"/>
        <v>30857772.835368045</v>
      </c>
      <c r="W17" s="74">
        <f t="shared" si="10"/>
        <v>32018620.988715708</v>
      </c>
      <c r="X17" s="74">
        <f t="shared" si="10"/>
        <v>33220062.33673523</v>
      </c>
      <c r="Y17" s="74">
        <f t="shared" si="10"/>
        <v>34486116.080085911</v>
      </c>
      <c r="Z17" s="74">
        <f t="shared" si="10"/>
        <v>35710137.88005881</v>
      </c>
      <c r="AA17" s="74">
        <f t="shared" si="10"/>
        <v>36914348.85942819</v>
      </c>
      <c r="AB17" s="74">
        <f t="shared" si="10"/>
        <v>38268748.805915251</v>
      </c>
      <c r="AC17" s="74">
        <f t="shared" si="10"/>
        <v>39673354.570200182</v>
      </c>
      <c r="AD17" s="74">
        <f t="shared" si="10"/>
        <v>41140549.432718776</v>
      </c>
      <c r="AE17" s="74">
        <f t="shared" si="10"/>
        <v>42646995.758324079</v>
      </c>
      <c r="AF17" s="74">
        <f t="shared" si="10"/>
        <v>44230513.301143795</v>
      </c>
      <c r="AG17" s="74">
        <f t="shared" si="10"/>
        <v>45911335.156343907</v>
      </c>
      <c r="AH17" s="74">
        <f t="shared" si="10"/>
        <v>47524477.627955899</v>
      </c>
      <c r="AI17" s="74">
        <f t="shared" si="10"/>
        <v>49086323.738352701</v>
      </c>
      <c r="AJ17" s="74">
        <f t="shared" si="10"/>
        <v>50793448.445264995</v>
      </c>
      <c r="AK17" s="74">
        <f t="shared" si="10"/>
        <v>52645121.058900371</v>
      </c>
      <c r="AL17" s="74">
        <f t="shared" si="10"/>
        <v>54558882.211406842</v>
      </c>
      <c r="AM17" s="74">
        <f t="shared" si="10"/>
        <v>56599102.946609437</v>
      </c>
      <c r="AN17" s="74">
        <f t="shared" si="10"/>
        <v>58760099.520015746</v>
      </c>
      <c r="AO17" s="74">
        <f t="shared" si="10"/>
        <v>61036907.106868684</v>
      </c>
      <c r="AP17" s="74">
        <f t="shared" si="10"/>
        <v>63210617.651420631</v>
      </c>
      <c r="AQ17" s="74">
        <f t="shared" si="10"/>
        <v>65378830.828105576</v>
      </c>
      <c r="AR17" s="74">
        <f t="shared" si="10"/>
        <v>67841263.852683276</v>
      </c>
      <c r="AS17" s="74">
        <f t="shared" si="10"/>
        <v>70440657.778710917</v>
      </c>
      <c r="AT17" s="74">
        <f t="shared" si="10"/>
        <v>73135557.959499374</v>
      </c>
      <c r="AU17" s="74">
        <f t="shared" si="10"/>
        <v>75839222.947337404</v>
      </c>
      <c r="AV17" s="74">
        <f t="shared" si="10"/>
        <v>78607566.733252391</v>
      </c>
      <c r="AW17" s="74">
        <f t="shared" si="10"/>
        <v>81420927.717365965</v>
      </c>
      <c r="AX17" s="74">
        <f t="shared" si="10"/>
        <v>84227879.398321509</v>
      </c>
      <c r="AY17" s="74">
        <f t="shared" si="10"/>
        <v>86775270.133997232</v>
      </c>
      <c r="AZ17" s="74">
        <f t="shared" si="10"/>
        <v>89232523.472029015</v>
      </c>
      <c r="BA17" s="74">
        <f t="shared" si="10"/>
        <v>91835173.946013361</v>
      </c>
    </row>
    <row r="18" spans="1:55" x14ac:dyDescent="0.25">
      <c r="A18" s="68" t="s">
        <v>1034</v>
      </c>
      <c r="B18" s="74">
        <f>C18</f>
        <v>5980723</v>
      </c>
      <c r="C18" s="74">
        <f>DD_projekcie!E13+DD_projekcie!E14+DD_projekcie!E15+DD_projekcie!E16</f>
        <v>5980723</v>
      </c>
      <c r="D18" s="74">
        <f>DD_projekcie!F13+DD_projekcie!F14+DD_projekcie!F15+DD_projekcie!F16</f>
        <v>6230461.35674165</v>
      </c>
      <c r="E18" s="74">
        <f>DD_projekcie!G13+DD_projekcie!G14+DD_projekcie!G15+DD_projekcie!G16</f>
        <v>6482800.3907048199</v>
      </c>
      <c r="F18" s="74">
        <f>DD_projekcie!H13+DD_projekcie!H14+DD_projekcie!H15+DD_projekcie!H16</f>
        <v>6794535.5984163061</v>
      </c>
      <c r="G18" s="74">
        <f>DD_projekcie!I13+DD_projekcie!I14+DD_projekcie!I15+DD_projekcie!I16</f>
        <v>7145589.8064667014</v>
      </c>
      <c r="H18" s="74">
        <f>DD_projekcie!J13+DD_projekcie!J14+DD_projekcie!J15+DD_projekcie!J16</f>
        <v>7511784.4213961251</v>
      </c>
      <c r="I18" s="74">
        <f>DD_projekcie!K13+DD_projekcie!K14+DD_projekcie!K15+DD_projekcie!K16</f>
        <v>7843450.1518079024</v>
      </c>
      <c r="J18" s="74">
        <f>DD_projekcie!L13+DD_projekcie!L14+DD_projekcie!L15+DD_projekcie!L16</f>
        <v>8193153.954653115</v>
      </c>
      <c r="K18" s="74">
        <f>DD_projekcie!M13+DD_projekcie!M14+DD_projekcie!M15+DD_projekcie!M16</f>
        <v>8564864.7690243199</v>
      </c>
      <c r="L18" s="74">
        <f>DD_projekcie!N13+DD_projekcie!N14+DD_projekcie!N15+DD_projekcie!N16</f>
        <v>8877662.1425532512</v>
      </c>
      <c r="M18" s="74">
        <f>DD_projekcie!O13+DD_projekcie!O14+DD_projekcie!O15+DD_projekcie!O16</f>
        <v>9216051.6864142511</v>
      </c>
      <c r="N18" s="74">
        <f>DD_projekcie!P13+DD_projekcie!P14+DD_projekcie!P15+DD_projekcie!P16</f>
        <v>9583219.2536579315</v>
      </c>
      <c r="O18" s="74">
        <f>DD_projekcie!Q13+DD_projekcie!Q14+DD_projekcie!Q15+DD_projekcie!Q16</f>
        <v>10011966.121893125</v>
      </c>
      <c r="P18" s="74">
        <f>DD_projekcie!R13+DD_projekcie!R14+DD_projekcie!R15+DD_projekcie!R16</f>
        <v>10442039.745243618</v>
      </c>
      <c r="Q18" s="74">
        <f>DD_projekcie!S13+DD_projekcie!S14+DD_projekcie!S15+DD_projekcie!S16</f>
        <v>10888100.909163002</v>
      </c>
      <c r="R18" s="74">
        <f>DD_projekcie!T13+DD_projekcie!T14+DD_projekcie!T15+DD_projekcie!T16</f>
        <v>11352664.007062126</v>
      </c>
      <c r="S18" s="74">
        <f>DD_projekcie!U13+DD_projekcie!U14+DD_projekcie!U15+DD_projekcie!U16</f>
        <v>11764686.153933188</v>
      </c>
      <c r="T18" s="74">
        <f>DD_projekcie!V13+DD_projekcie!V14+DD_projekcie!V15+DD_projekcie!V16</f>
        <v>12173443.863668086</v>
      </c>
      <c r="U18" s="74">
        <f>DD_projekcie!W13+DD_projekcie!W14+DD_projekcie!W15+DD_projekcie!W16</f>
        <v>12624341.458724312</v>
      </c>
      <c r="V18" s="74">
        <f>DD_projekcie!X13+DD_projekcie!X14+DD_projekcie!X15+DD_projekcie!X16</f>
        <v>13135468.616738779</v>
      </c>
      <c r="W18" s="74">
        <f>DD_projekcie!Y13+DD_projekcie!Y14+DD_projekcie!Y15+DD_projekcie!Y16</f>
        <v>13658895.975821495</v>
      </c>
      <c r="X18" s="74">
        <f>DD_projekcie!Z13+DD_projekcie!Z14+DD_projekcie!Z15+DD_projekcie!Z16</f>
        <v>14216201.12051115</v>
      </c>
      <c r="Y18" s="74">
        <f>DD_projekcie!AA13+DD_projekcie!AA14+DD_projekcie!AA15+DD_projekcie!AA16</f>
        <v>14833334.044584053</v>
      </c>
      <c r="Z18" s="74">
        <f>DD_projekcie!AB13+DD_projekcie!AB14+DD_projekcie!AB15+DD_projekcie!AB16</f>
        <v>15406972.20457839</v>
      </c>
      <c r="AA18" s="74">
        <f>DD_projekcie!AC13+DD_projekcie!AC14+DD_projekcie!AC15+DD_projekcie!AC16</f>
        <v>15949561.545636492</v>
      </c>
      <c r="AB18" s="74">
        <f>DD_projekcie!AD13+DD_projekcie!AD14+DD_projekcie!AD15+DD_projekcie!AD16</f>
        <v>16624733.914364843</v>
      </c>
      <c r="AC18" s="74">
        <f>DD_projekcie!AE13+DD_projekcie!AE14+DD_projekcie!AE15+DD_projekcie!AE16</f>
        <v>17326485.051256653</v>
      </c>
      <c r="AD18" s="74">
        <f>DD_projekcie!AF13+DD_projekcie!AF14+DD_projekcie!AF15+DD_projekcie!AF16</f>
        <v>18066281.912672613</v>
      </c>
      <c r="AE18" s="74">
        <f>DD_projekcie!AG13+DD_projekcie!AG14+DD_projekcie!AG15+DD_projekcie!AG16</f>
        <v>18816436.300778314</v>
      </c>
      <c r="AF18" s="74">
        <f>DD_projekcie!AH13+DD_projekcie!AH14+DD_projekcie!AH15+DD_projekcie!AH16</f>
        <v>19598300.977189198</v>
      </c>
      <c r="AG18" s="74">
        <f>DD_projekcie!AI13+DD_projekcie!AI14+DD_projekcie!AI15+DD_projekcie!AI16</f>
        <v>20450047.672876343</v>
      </c>
      <c r="AH18" s="74">
        <f>DD_projekcie!AJ13+DD_projekcie!AJ14+DD_projekcie!AJ15+DD_projekcie!AJ16</f>
        <v>21220950.012427323</v>
      </c>
      <c r="AI18" s="74">
        <f>DD_projekcie!AK13+DD_projekcie!AK14+DD_projekcie!AK15+DD_projekcie!AK16</f>
        <v>21907192.687179852</v>
      </c>
      <c r="AJ18" s="74">
        <f>DD_projekcie!AL13+DD_projekcie!AL14+DD_projekcie!AL15+DD_projekcie!AL16</f>
        <v>22711076.739383224</v>
      </c>
      <c r="AK18" s="74">
        <f>DD_projekcie!AM13+DD_projekcie!AM14+DD_projekcie!AM15+DD_projekcie!AM16</f>
        <v>23615028.973783087</v>
      </c>
      <c r="AL18" s="74">
        <f>DD_projekcie!AN13+DD_projekcie!AN14+DD_projekcie!AN15+DD_projekcie!AN16</f>
        <v>24532860.755801402</v>
      </c>
      <c r="AM18" s="74">
        <f>DD_projekcie!AO13+DD_projekcie!AO14+DD_projekcie!AO15+DD_projekcie!AO16</f>
        <v>25511691.432340205</v>
      </c>
      <c r="AN18" s="74">
        <f>DD_projekcie!AP13+DD_projekcie!AP14+DD_projekcie!AP15+DD_projekcie!AP16</f>
        <v>26561357.892468166</v>
      </c>
      <c r="AO18" s="74">
        <f>DD_projekcie!AQ13+DD_projekcie!AQ14+DD_projekcie!AQ15+DD_projekcie!AQ16</f>
        <v>27685256.910415616</v>
      </c>
      <c r="AP18" s="74">
        <f>DD_projekcie!AR13+DD_projekcie!AR14+DD_projekcie!AR15+DD_projekcie!AR16</f>
        <v>28677043.654136088</v>
      </c>
      <c r="AQ18" s="74">
        <f>DD_projekcie!AS13+DD_projekcie!AS14+DD_projekcie!AS15+DD_projekcie!AS16</f>
        <v>29602160.899778202</v>
      </c>
      <c r="AR18" s="74">
        <f>DD_projekcie!AT13+DD_projekcie!AT14+DD_projekcie!AT15+DD_projekcie!AT16</f>
        <v>30772310.639542099</v>
      </c>
      <c r="AS18" s="74">
        <f>DD_projekcie!AU13+DD_projekcie!AU14+DD_projekcie!AU15+DD_projekcie!AU16</f>
        <v>32039430.559935365</v>
      </c>
      <c r="AT18" s="74">
        <f>DD_projekcie!AV13+DD_projekcie!AV14+DD_projekcie!AV15+DD_projekcie!AV16</f>
        <v>33369488.225276697</v>
      </c>
      <c r="AU18" s="74">
        <f>DD_projekcie!AW13+DD_projekcie!AW14+DD_projekcie!AW15+DD_projekcie!AW16</f>
        <v>34692512.569426551</v>
      </c>
      <c r="AV18" s="74">
        <f>DD_projekcie!AX13+DD_projekcie!AX14+DD_projekcie!AX15+DD_projekcie!AX16</f>
        <v>36040168.198855184</v>
      </c>
      <c r="AW18" s="74">
        <f>DD_projekcie!AY13+DD_projekcie!AY14+DD_projekcie!AY15+DD_projekcie!AY16</f>
        <v>37432851.110084139</v>
      </c>
      <c r="AX18" s="74">
        <f>DD_projekcie!AZ13+DD_projekcie!AZ14+DD_projekcie!AZ15+DD_projekcie!AZ16</f>
        <v>38845524.920163512</v>
      </c>
      <c r="AY18" s="74">
        <f>DD_projekcie!BA13+DD_projekcie!BA14+DD_projekcie!BA15+DD_projekcie!BA16</f>
        <v>40014818.826682411</v>
      </c>
      <c r="AZ18" s="74">
        <f>DD_projekcie!BB13+DD_projekcie!BB14+DD_projekcie!BB15+DD_projekcie!BB16</f>
        <v>41052610.549129628</v>
      </c>
      <c r="BA18" s="74">
        <f>DD_projekcie!BC13+DD_projekcie!BC14+DD_projekcie!BC15+DD_projekcie!BC16</f>
        <v>42197709.549246661</v>
      </c>
    </row>
    <row r="19" spans="1:55" x14ac:dyDescent="0.25">
      <c r="A19" s="68" t="s">
        <v>1035</v>
      </c>
      <c r="B19" s="74">
        <f>C19</f>
        <v>287779.11307134462</v>
      </c>
      <c r="C19" s="74">
        <f>DD_projekcie!E24</f>
        <v>287779.11307134462</v>
      </c>
      <c r="D19" s="74">
        <f>DD_projekcie!F24</f>
        <v>295693.21940625494</v>
      </c>
      <c r="E19" s="74">
        <f>DD_projekcie!G24</f>
        <v>308881.12497867481</v>
      </c>
      <c r="F19" s="74">
        <f>DD_projekcie!H24</f>
        <v>322428.60158287344</v>
      </c>
      <c r="G19" s="74">
        <f>DD_projekcie!I24</f>
        <v>337250.21702029696</v>
      </c>
      <c r="H19" s="74">
        <f>DD_projekcie!J24</f>
        <v>354256.905398804</v>
      </c>
      <c r="I19" s="74">
        <f>DD_projekcie!K24</f>
        <v>370089.3388321058</v>
      </c>
      <c r="J19" s="74">
        <f>DD_projekcie!L24</f>
        <v>387243.54701961577</v>
      </c>
      <c r="K19" s="74">
        <f>DD_projekcie!M24</f>
        <v>405076.70962936117</v>
      </c>
      <c r="L19" s="74">
        <f>DD_projekcie!N24</f>
        <v>424813.10263079638</v>
      </c>
      <c r="M19" s="74">
        <f>DD_projekcie!O24</f>
        <v>447736.20308519539</v>
      </c>
      <c r="N19" s="74">
        <f>DD_projekcie!P24</f>
        <v>468569.12928377709</v>
      </c>
      <c r="O19" s="74">
        <f>DD_projekcie!Q24</f>
        <v>489508.6976535123</v>
      </c>
      <c r="P19" s="74">
        <f>DD_projekcie!R24</f>
        <v>511302.69450456882</v>
      </c>
      <c r="Q19" s="74">
        <f>DD_projekcie!S24</f>
        <v>535823.36598242703</v>
      </c>
      <c r="R19" s="74">
        <f>DD_projekcie!T24</f>
        <v>557796.25835912791</v>
      </c>
      <c r="S19" s="74">
        <f>DD_projekcie!U24</f>
        <v>579248.59170171013</v>
      </c>
      <c r="T19" s="74">
        <f>DD_projekcie!V24</f>
        <v>599240.75363949861</v>
      </c>
      <c r="U19" s="74">
        <f>DD_projekcie!W24</f>
        <v>623726.03398676228</v>
      </c>
      <c r="V19" s="74">
        <f>DD_projekcie!X24</f>
        <v>644103.0324921303</v>
      </c>
      <c r="W19" s="74">
        <f>DD_projekcie!Y24</f>
        <v>662765.64607041772</v>
      </c>
      <c r="X19" s="74">
        <f>DD_projekcie!Z24</f>
        <v>681320.47527981969</v>
      </c>
      <c r="Y19" s="74">
        <f>DD_projekcie!AA24</f>
        <v>698562.68975317478</v>
      </c>
      <c r="Z19" s="74">
        <f>DD_projekcie!AB24</f>
        <v>719437.56982886686</v>
      </c>
      <c r="AA19" s="74">
        <f>DD_projekcie!AC24</f>
        <v>735125.45299950405</v>
      </c>
      <c r="AB19" s="74">
        <f>DD_projekcie!AD24</f>
        <v>748485.75920354924</v>
      </c>
      <c r="AC19" s="74">
        <f>DD_projekcie!AE24</f>
        <v>761126.66478238767</v>
      </c>
      <c r="AD19" s="74">
        <f>DD_projekcie!AF24</f>
        <v>774923.64507184341</v>
      </c>
      <c r="AE19" s="74">
        <f>DD_projekcie!AG24</f>
        <v>791011.55594661238</v>
      </c>
      <c r="AF19" s="74">
        <f>DD_projekcie!AH24</f>
        <v>803777.42263416923</v>
      </c>
      <c r="AG19" s="74">
        <f>DD_projekcie!AI24</f>
        <v>817477.58078979328</v>
      </c>
      <c r="AH19" s="74">
        <f>DD_projekcie!AJ24</f>
        <v>832201.73523306043</v>
      </c>
      <c r="AI19" s="74">
        <f>DD_projekcie!AK24</f>
        <v>856247.97676423495</v>
      </c>
      <c r="AJ19" s="74">
        <f>DD_projekcie!AL24</f>
        <v>874927.463354729</v>
      </c>
      <c r="AK19" s="74">
        <f>DD_projekcie!AM24</f>
        <v>896894.75399269909</v>
      </c>
      <c r="AL19" s="74">
        <f>DD_projekcie!AN24</f>
        <v>920611.50712433271</v>
      </c>
      <c r="AM19" s="74">
        <f>DD_projekcie!AO24</f>
        <v>946476.74144368106</v>
      </c>
      <c r="AN19" s="74">
        <f>DD_projekcie!AP24</f>
        <v>976725.45381104841</v>
      </c>
      <c r="AO19" s="74">
        <f>DD_projekcie!AQ24</f>
        <v>1011938.3862210056</v>
      </c>
      <c r="AP19" s="74">
        <f>DD_projekcie!AR24</f>
        <v>1042947.503133866</v>
      </c>
      <c r="AQ19" s="74">
        <f>DD_projekcie!AS24</f>
        <v>1074102.707068691</v>
      </c>
      <c r="AR19" s="74">
        <f>DD_projekcie!AT24</f>
        <v>1106170.5805364437</v>
      </c>
      <c r="AS19" s="74">
        <f>DD_projekcie!AU24</f>
        <v>1142358.526486187</v>
      </c>
      <c r="AT19" s="74">
        <f>DD_projekcie!AV24</f>
        <v>1183576.3768341895</v>
      </c>
      <c r="AU19" s="74">
        <f>DD_projekcie!AW24</f>
        <v>1217336.7626587304</v>
      </c>
      <c r="AV19" s="74">
        <f>DD_projekcie!AX24</f>
        <v>1252003.5349148791</v>
      </c>
      <c r="AW19" s="74">
        <f>DD_projekcie!AY24</f>
        <v>1286712.4031817743</v>
      </c>
      <c r="AX19" s="74">
        <f>DD_projekcie!AZ24</f>
        <v>1320353.5461976891</v>
      </c>
      <c r="AY19" s="74">
        <f>DD_projekcie!BA24</f>
        <v>1369264.335092851</v>
      </c>
      <c r="AZ19" s="74">
        <f>DD_projekcie!BB24</f>
        <v>1404062.303994583</v>
      </c>
      <c r="BA19" s="74">
        <f>DD_projekcie!BC24</f>
        <v>1437701.0591970659</v>
      </c>
    </row>
    <row r="20" spans="1:55" x14ac:dyDescent="0.25">
      <c r="A20" s="68" t="s">
        <v>1036</v>
      </c>
      <c r="B20" s="74">
        <f>C20-93780</f>
        <v>3682942.9737399998</v>
      </c>
      <c r="C20" s="74">
        <f>DD_projekcie!E38</f>
        <v>3776722.9737399998</v>
      </c>
      <c r="D20" s="74">
        <f>DD_projekcie!F38</f>
        <v>3918510.6361400788</v>
      </c>
      <c r="E20" s="74">
        <f>DD_projekcie!G38</f>
        <v>4127617.659390281</v>
      </c>
      <c r="F20" s="74">
        <f>DD_projekcie!H38</f>
        <v>4376031.156885663</v>
      </c>
      <c r="G20" s="74">
        <f>DD_projekcie!I38</f>
        <v>4658650.6677112412</v>
      </c>
      <c r="H20" s="74">
        <f>DD_projekcie!J38</f>
        <v>4937231.1014394267</v>
      </c>
      <c r="I20" s="74">
        <f>DD_projekcie!K38</f>
        <v>5232144.2535680057</v>
      </c>
      <c r="J20" s="74">
        <f>DD_projekcie!L38</f>
        <v>5542224.7853955766</v>
      </c>
      <c r="K20" s="74">
        <f>DD_projekcie!M38</f>
        <v>5867245.3182542659</v>
      </c>
      <c r="L20" s="74">
        <f>DD_projekcie!N38</f>
        <v>6202124.0891489033</v>
      </c>
      <c r="M20" s="74">
        <f>DD_projekcie!O38</f>
        <v>6548773.0800898112</v>
      </c>
      <c r="N20" s="74">
        <f>DD_projekcie!P38</f>
        <v>6913071.8341950616</v>
      </c>
      <c r="O20" s="74">
        <f>DD_projekcie!Q38</f>
        <v>7290982.2677762602</v>
      </c>
      <c r="P20" s="74">
        <f>DD_projekcie!R38</f>
        <v>7686966.6293984232</v>
      </c>
      <c r="Q20" s="74">
        <f>DD_projekcie!S38</f>
        <v>8082165.2886134405</v>
      </c>
      <c r="R20" s="74">
        <f>DD_projekcie!T38</f>
        <v>8482002.07807732</v>
      </c>
      <c r="S20" s="74">
        <f>DD_projekcie!U38</f>
        <v>8883125.2062492594</v>
      </c>
      <c r="T20" s="74">
        <f>DD_projekcie!V38</f>
        <v>9272676.0096976757</v>
      </c>
      <c r="U20" s="74">
        <f>DD_projekcie!W38</f>
        <v>9651380.1870388351</v>
      </c>
      <c r="V20" s="74">
        <f>DD_projekcie!X38</f>
        <v>10032855.307792172</v>
      </c>
      <c r="W20" s="74">
        <f>DD_projekcie!Y38</f>
        <v>10438684.977114854</v>
      </c>
      <c r="X20" s="74">
        <f>DD_projekcie!Z38</f>
        <v>10850423.029037526</v>
      </c>
      <c r="Y20" s="74">
        <f>DD_projekcie!AA38</f>
        <v>11265438.024358217</v>
      </c>
      <c r="Z20" s="74">
        <f>DD_projekcie!AB38</f>
        <v>11673334.209497029</v>
      </c>
      <c r="AA20" s="74">
        <f>DD_projekcie!AC38</f>
        <v>12091286.966521448</v>
      </c>
      <c r="AB20" s="74">
        <f>DD_projekcie!AD38</f>
        <v>12521605.907066202</v>
      </c>
      <c r="AC20" s="74">
        <f>DD_projekcie!AE38</f>
        <v>12967328.682313206</v>
      </c>
      <c r="AD20" s="74">
        <f>DD_projekcie!AF38</f>
        <v>13424339.716655323</v>
      </c>
      <c r="AE20" s="74">
        <f>DD_projekcie!AG38</f>
        <v>13894296.049757784</v>
      </c>
      <c r="AF20" s="74">
        <f>DD_projekcie!AH38</f>
        <v>14395756.971970992</v>
      </c>
      <c r="AG20" s="74">
        <f>DD_projekcie!AI38</f>
        <v>14910876.592836963</v>
      </c>
      <c r="AH20" s="74">
        <f>DD_projekcie!AJ38</f>
        <v>15420708.842265222</v>
      </c>
      <c r="AI20" s="74">
        <f>DD_projekcie!AK38</f>
        <v>15933311.514947405</v>
      </c>
      <c r="AJ20" s="74">
        <f>DD_projekcie!AL38</f>
        <v>16458845.274696615</v>
      </c>
      <c r="AK20" s="74">
        <f>DD_projekcie!AM38</f>
        <v>17008109.697331615</v>
      </c>
      <c r="AL20" s="74">
        <f>DD_projekcie!AN38</f>
        <v>17580502.242884677</v>
      </c>
      <c r="AM20" s="74">
        <f>DD_projekcie!AO38</f>
        <v>18198671.545994345</v>
      </c>
      <c r="AN20" s="74">
        <f>DD_projekcie!AP38</f>
        <v>18839056.100570455</v>
      </c>
      <c r="AO20" s="74">
        <f>DD_projekcie!AQ38</f>
        <v>19496688.027921531</v>
      </c>
      <c r="AP20" s="74">
        <f>DD_projekcie!AR38</f>
        <v>20173320.92879054</v>
      </c>
      <c r="AQ20" s="74">
        <f>DD_projekcie!AS38</f>
        <v>20890201.469190374</v>
      </c>
      <c r="AR20" s="74">
        <f>DD_projekcie!AT38</f>
        <v>21637978.708512332</v>
      </c>
      <c r="AS20" s="74">
        <f>DD_projekcie!AU38</f>
        <v>22407346.081782315</v>
      </c>
      <c r="AT20" s="74">
        <f>DD_projekcie!AV38</f>
        <v>23193038.965255674</v>
      </c>
      <c r="AU20" s="74">
        <f>DD_projekcie!AW38</f>
        <v>23992561.102491446</v>
      </c>
      <c r="AV20" s="74">
        <f>DD_projekcie!AX38</f>
        <v>24827226.57793865</v>
      </c>
      <c r="AW20" s="74">
        <f>DD_projekcie!AY38</f>
        <v>25650744.135960992</v>
      </c>
      <c r="AX20" s="74">
        <f>DD_projekcie!AZ38</f>
        <v>26450493.169025797</v>
      </c>
      <c r="AY20" s="74">
        <f>DD_projekcie!BA38</f>
        <v>27244163.6682177</v>
      </c>
      <c r="AZ20" s="74">
        <f>DD_projekcie!BB38</f>
        <v>28077028.279050712</v>
      </c>
      <c r="BA20" s="74">
        <f>DD_projekcie!BC38</f>
        <v>28932363.332618132</v>
      </c>
    </row>
    <row r="21" spans="1:55" x14ac:dyDescent="0.25">
      <c r="A21" s="68" t="s">
        <v>1037</v>
      </c>
      <c r="B21" s="74">
        <f>C21</f>
        <v>218316.71300000005</v>
      </c>
      <c r="C21" s="74">
        <f>-(SDcast!U943+SDcast!U949+SDcast!U955+SDcast!U957+SDcast!U961+SDcast!U968)</f>
        <v>218316.71300000005</v>
      </c>
      <c r="D21" s="74">
        <f>-(SDcast!V943+SDcast!V949+SDcast!V955+SDcast!V957+SDcast!V961+SDcast!V968)</f>
        <v>234290.72797881978</v>
      </c>
      <c r="E21" s="74">
        <f>-(SDcast!W943+SDcast!W949+SDcast!W955+SDcast!W957+SDcast!W961+SDcast!W968)</f>
        <v>251268.21904006784</v>
      </c>
      <c r="F21" s="74">
        <f>-(SDcast!X943+SDcast!X949+SDcast!X955+SDcast!X957+SDcast!X961+SDcast!X968)</f>
        <v>267509.39177173277</v>
      </c>
      <c r="G21" s="74">
        <f>-(SDcast!Y943+SDcast!Y949+SDcast!Y955+SDcast!Y957+SDcast!Y961+SDcast!Y968)</f>
        <v>284592.46046289522</v>
      </c>
      <c r="H21" s="157">
        <f>G21*(1+DD_projekcie!J43/100)</f>
        <v>302456.13691988186</v>
      </c>
      <c r="I21" s="157">
        <f>H21*(1+DD_projekcie!K43/100)</f>
        <v>321258.95155871124</v>
      </c>
      <c r="J21" s="157">
        <f>I21*(1+DD_projekcie!L43/100)</f>
        <v>341161.82760098495</v>
      </c>
      <c r="K21" s="157">
        <f>J21*(1+DD_projekcie!M43/100)</f>
        <v>362227.37001070718</v>
      </c>
      <c r="L21" s="157">
        <f>K21*(1+DD_projekcie!N43/100)</f>
        <v>384717.98286326264</v>
      </c>
      <c r="M21" s="157">
        <f>L21*(1+DD_projekcie!O43/100)</f>
        <v>408626.18557552784</v>
      </c>
      <c r="N21" s="157">
        <f>M21*(1+DD_projekcie!P43/100)</f>
        <v>434040.91524287598</v>
      </c>
      <c r="O21" s="157">
        <f>N21*(1+DD_projekcie!Q43/100)</f>
        <v>461187.42708750808</v>
      </c>
      <c r="P21" s="157">
        <f>O21*(1+DD_projekcie!R43/100)</f>
        <v>490143.78512376046</v>
      </c>
      <c r="Q21" s="157">
        <f>P21*(1+DD_projekcie!S43/100)</f>
        <v>521182.90156064351</v>
      </c>
      <c r="R21" s="157">
        <f>Q21*(1+DD_projekcie!T43/100)</f>
        <v>554033.5630328299</v>
      </c>
      <c r="S21" s="157">
        <f>R21*(1+DD_projekcie!U43/100)</f>
        <v>588511.2632931876</v>
      </c>
      <c r="T21" s="157">
        <f>S21*(1+DD_projekcie!V43/100)</f>
        <v>624783.45974766114</v>
      </c>
      <c r="U21" s="157">
        <f>T21*(1+DD_projekcie!W43/100)</f>
        <v>663435.95706327818</v>
      </c>
      <c r="V21" s="157">
        <f>U21*(1+DD_projekcie!X43/100)</f>
        <v>704720.44791001803</v>
      </c>
      <c r="W21" s="157">
        <f>V21*(1+DD_projekcie!Y43/100)</f>
        <v>748079.15948695166</v>
      </c>
      <c r="X21" s="157">
        <f>W21*(1+DD_projekcie!Z43/100)</f>
        <v>793074.82396887965</v>
      </c>
      <c r="Y21" s="157">
        <f>X21*(1+DD_projekcie!AA43/100)</f>
        <v>840236.07293702709</v>
      </c>
      <c r="Z21" s="157">
        <f>Y21*(1+DD_projekcie!AB43/100)</f>
        <v>890029.45094915025</v>
      </c>
      <c r="AA21" s="157">
        <f>Z21*(1+DD_projekcie!AC43/100)</f>
        <v>941917.81839403149</v>
      </c>
      <c r="AB21" s="157">
        <f>AA21*(1+DD_projekcie!AD43/100)</f>
        <v>995338.03842314426</v>
      </c>
      <c r="AC21" s="157">
        <f>AB21*(1+DD_projekcie!AE43/100)</f>
        <v>1050285.2168395056</v>
      </c>
      <c r="AD21" s="157">
        <f>AC21*(1+DD_projekcie!AF43/100)</f>
        <v>1107346.6643840552</v>
      </c>
      <c r="AE21" s="157">
        <f>AD21*(1+DD_projekcie!AG43/100)</f>
        <v>1166487.6493969571</v>
      </c>
      <c r="AF21" s="157">
        <f>AE21*(1+DD_projekcie!AH43/100)</f>
        <v>1226635.4475405435</v>
      </c>
      <c r="AG21" s="157">
        <f>AF21*(1+DD_projekcie!AI43/100)</f>
        <v>1287742.5695244081</v>
      </c>
      <c r="AH21" s="157">
        <f>AG21*(1+DD_projekcie!AJ43/100)</f>
        <v>1350821.6049571051</v>
      </c>
      <c r="AI21" s="157">
        <f>AH21*(1+DD_projekcie!AK43/100)</f>
        <v>1416016.2097954568</v>
      </c>
      <c r="AJ21" s="157">
        <f>AI21*(1+DD_projekcie!AL43/100)</f>
        <v>1483392.0520059224</v>
      </c>
      <c r="AK21" s="157">
        <f>AJ21*(1+DD_projekcie!AM43/100)</f>
        <v>1552551.8585945466</v>
      </c>
      <c r="AL21" s="157">
        <f>AK21*(1+DD_projekcie!AN43/100)</f>
        <v>1624384.1533757765</v>
      </c>
      <c r="AM21" s="157">
        <f>AL21*(1+DD_projekcie!AO43/100)</f>
        <v>1700850.1187127104</v>
      </c>
      <c r="AN21" s="157">
        <f>AM21*(1+DD_projekcie!AP43/100)</f>
        <v>1781316.826137135</v>
      </c>
      <c r="AO21" s="157">
        <f>AN21*(1+DD_projekcie!AQ43/100)</f>
        <v>1865237.1544115162</v>
      </c>
      <c r="AP21" s="157">
        <f>AO21*(1+DD_projekcie!AR43/100)</f>
        <v>1953072.0003705439</v>
      </c>
      <c r="AQ21" s="157">
        <f>AP21*(1+DD_projekcie!AS43/100)</f>
        <v>2045950.5108518586</v>
      </c>
      <c r="AR21" s="157">
        <f>AQ21*(1+DD_projekcie!AT43/100)</f>
        <v>2146104.2410745183</v>
      </c>
      <c r="AS21" s="157">
        <f>AR21*(1+DD_projekcie!AU43/100)</f>
        <v>2252412.9667572747</v>
      </c>
      <c r="AT21" s="157">
        <f>AS21*(1+DD_projekcie!AV43/100)</f>
        <v>2363536.8961983016</v>
      </c>
      <c r="AU21" s="157">
        <f>AT21*(1+DD_projekcie!AW43/100)</f>
        <v>2480572.3446896169</v>
      </c>
      <c r="AV21" s="157">
        <f>AU21*(1+DD_projekcie!AX43/100)</f>
        <v>2604212.0203112201</v>
      </c>
      <c r="AW21" s="157">
        <f>AV21*(1+DD_projekcie!AY43/100)</f>
        <v>2735538.8173020147</v>
      </c>
      <c r="AX21" s="157">
        <f>AW21*(1+DD_projekcie!AZ43/100)</f>
        <v>2872389.9435794516</v>
      </c>
      <c r="AY21" s="157">
        <f>AX21*(1+DD_projekcie!BA43/100)</f>
        <v>2959731.1000269777</v>
      </c>
      <c r="AZ21" s="157">
        <f>AY21*(1+DD_projekcie!BB43/100)</f>
        <v>3049728.0510425926</v>
      </c>
      <c r="BA21" s="157">
        <f>AZ21*(1+DD_projekcie!BC43/100)</f>
        <v>3142461.5517373434</v>
      </c>
    </row>
    <row r="22" spans="1:55" x14ac:dyDescent="0.25">
      <c r="A22" s="68" t="s">
        <v>1038</v>
      </c>
      <c r="B22" s="74">
        <f>C22</f>
        <v>2960016.5877700015</v>
      </c>
      <c r="C22" s="74">
        <f>-(SDcast!U4+SDcast!U20+SDcast!U31+SDcast!U34+SDcast!U36+SDcast!U38+SDcast!U40+SDcast!U46+SDcast!U49+SDcast!U52+SDcast!U60+SDcast!U62+SDcast!U64+SDcast!U88+SDcast!U109+SDcast!U111+SDcast!U117+SDcast!U121+SDcast!U125+SDcast!U142+SDcast!U153+SDcast!U156+SDcast!U158+SDcast!U160+SDcast!U162+SDcast!U164+SDcast!U170+SDcast!U173+SDcast!U176+SDcast!U184+SDcast!U186+SDcast!U188+SDcast!U236+SDcast!U246+SDcast!U250+SDcast!U270+SDcast!U288+SDcast!U294+SDcast!U297+SDcast!U303+SDcast!U309+SDcast!U312+SDcast!U314+SDcast!U330+SDcast!U336+SDcast!U339+SDcast!U341+SDcast!U355+SDcast!U359+SDcast!U361+SDcast!U363+SDcast!U438+SDcast!U464+SDcast!U466+SDcast!U470)</f>
        <v>2960016.5877700015</v>
      </c>
      <c r="D22" s="74">
        <f>-(SDcast!V4+SDcast!V20+SDcast!V31+SDcast!V34+SDcast!V36+SDcast!V38+SDcast!V40+SDcast!V46+SDcast!V49+SDcast!V52+SDcast!V60+SDcast!V62+SDcast!V64+SDcast!V88+SDcast!V109+SDcast!V111+SDcast!V117+SDcast!V121+SDcast!V125+SDcast!V142+SDcast!V153+SDcast!V156+SDcast!V158+SDcast!V160+SDcast!V162+SDcast!V164+SDcast!V170+SDcast!V173+SDcast!V176+SDcast!V184+SDcast!V186+SDcast!V188+SDcast!V236+SDcast!V246+SDcast!V250+SDcast!V270+SDcast!V288+SDcast!V294+SDcast!V297+SDcast!V303+SDcast!V309+SDcast!V312+SDcast!V314+SDcast!V330+SDcast!V336+SDcast!V339+SDcast!V341+SDcast!V355+SDcast!V359+SDcast!V361+SDcast!V363+SDcast!V438+SDcast!V464+SDcast!V466+SDcast!V470)</f>
        <v>3056956.1635489878</v>
      </c>
      <c r="E22" s="74">
        <f>-(SDcast!W4+SDcast!W20+SDcast!W31+SDcast!W34+SDcast!W36+SDcast!W38+SDcast!W40+SDcast!W46+SDcast!W49+SDcast!W52+SDcast!W60+SDcast!W62+SDcast!W64+SDcast!W88+SDcast!W109+SDcast!W111+SDcast!W117+SDcast!W121+SDcast!W125+SDcast!W142+SDcast!W153+SDcast!W156+SDcast!W158+SDcast!W160+SDcast!W162+SDcast!W164+SDcast!W170+SDcast!W173+SDcast!W176+SDcast!W184+SDcast!W186+SDcast!W188+SDcast!W236+SDcast!W246+SDcast!W250+SDcast!W270+SDcast!W288+SDcast!W294+SDcast!W297+SDcast!W303+SDcast!W309+SDcast!W312+SDcast!W314+SDcast!W330+SDcast!W336+SDcast!W339+SDcast!W341+SDcast!W355+SDcast!W359+SDcast!W361+SDcast!W363+SDcast!W438+SDcast!W464+SDcast!W466+SDcast!W470)</f>
        <v>3147910.9033948691</v>
      </c>
      <c r="F22" s="74">
        <f>-(SDcast!X4+SDcast!X20+SDcast!X31+SDcast!X34+SDcast!X36+SDcast!X38+SDcast!X40+SDcast!X46+SDcast!X49+SDcast!X52+SDcast!X60+SDcast!X62+SDcast!X64+SDcast!X88+SDcast!X109+SDcast!X111+SDcast!X117+SDcast!X121+SDcast!X125+SDcast!X142+SDcast!X153+SDcast!X156+SDcast!X158+SDcast!X160+SDcast!X162+SDcast!X164+SDcast!X170+SDcast!X173+SDcast!X176+SDcast!X184+SDcast!X186+SDcast!X188+SDcast!X236+SDcast!X246+SDcast!X250+SDcast!X270+SDcast!X288+SDcast!X294+SDcast!X297+SDcast!X303+SDcast!X309+SDcast!X312+SDcast!X314+SDcast!X330+SDcast!X336+SDcast!X339+SDcast!X341+SDcast!X355+SDcast!X359+SDcast!X361+SDcast!X363+SDcast!X438+SDcast!X464+SDcast!X466+SDcast!X470)</f>
        <v>3185122.3552884287</v>
      </c>
      <c r="G22" s="74">
        <f>-(SDcast!Y4+SDcast!Y20+SDcast!Y31+SDcast!Y34+SDcast!Y36+SDcast!Y38+SDcast!Y40+SDcast!Y46+SDcast!Y49+SDcast!Y52+SDcast!Y60+SDcast!Y62+SDcast!Y64+SDcast!Y88+SDcast!Y109+SDcast!Y111+SDcast!Y117+SDcast!Y121+SDcast!Y125+SDcast!Y142+SDcast!Y153+SDcast!Y156+SDcast!Y158+SDcast!Y160+SDcast!Y162+SDcast!Y164+SDcast!Y170+SDcast!Y173+SDcast!Y176+SDcast!Y184+SDcast!Y186+SDcast!Y188+SDcast!Y236+SDcast!Y246+SDcast!Y250+SDcast!Y270+SDcast!Y288+SDcast!Y294+SDcast!Y297+SDcast!Y303+SDcast!Y309+SDcast!Y312+SDcast!Y314+SDcast!Y330+SDcast!Y336+SDcast!Y339+SDcast!Y341+SDcast!Y355+SDcast!Y359+SDcast!Y361+SDcast!Y363+SDcast!Y438+SDcast!Y464+SDcast!Y466+SDcast!Y470)</f>
        <v>3349625.7485789051</v>
      </c>
      <c r="H22" s="157">
        <f>G22*(1+DD_projekcie!J47/100)</f>
        <v>3503962.1453571077</v>
      </c>
      <c r="I22" s="157">
        <f>H22*(1+DD_projekcie!K47/100)</f>
        <v>3667160.4796130457</v>
      </c>
      <c r="J22" s="157">
        <f>I22*(1+DD_projekcie!L47/100)</f>
        <v>3839404.0793970805</v>
      </c>
      <c r="K22" s="157">
        <f>J22*(1+DD_projekcie!M47/100)</f>
        <v>4021129.3487849724</v>
      </c>
      <c r="L22" s="157">
        <f>K22*(1+DD_projekcie!N47/100)</f>
        <v>4211398.3927525263</v>
      </c>
      <c r="M22" s="157">
        <f>L22*(1+DD_projekcie!O47/100)</f>
        <v>4407580.7013849383</v>
      </c>
      <c r="N22" s="157">
        <f>M22*(1+DD_projekcie!P47/100)</f>
        <v>4609071.0495449118</v>
      </c>
      <c r="O22" s="157">
        <f>N22*(1+DD_projekcie!Q47/100)</f>
        <v>4814809.2560899192</v>
      </c>
      <c r="P22" s="157">
        <f>O22*(1+DD_projekcie!R47/100)</f>
        <v>5021237.7750409357</v>
      </c>
      <c r="Q22" s="157">
        <f>P22*(1+DD_projekcie!S47/100)</f>
        <v>5225293.1476786761</v>
      </c>
      <c r="R22" s="157">
        <f>Q22*(1+DD_projekcie!T47/100)</f>
        <v>5421650.8549983967</v>
      </c>
      <c r="S22" s="157">
        <f>R22*(1+DD_projekcie!U47/100)</f>
        <v>5608201.0681907861</v>
      </c>
      <c r="T22" s="157">
        <f>S22*(1+DD_projekcie!V47/100)</f>
        <v>5786218.9526516525</v>
      </c>
      <c r="U22" s="157">
        <f>T22*(1+DD_projekcie!W47/100)</f>
        <v>5961037.822990723</v>
      </c>
      <c r="V22" s="157">
        <f>U22*(1+DD_projekcie!X47/100)</f>
        <v>6131783.221508217</v>
      </c>
      <c r="W22" s="157">
        <f>V22*(1+DD_projekcie!Y47/100)</f>
        <v>6297665.8639330147</v>
      </c>
      <c r="X22" s="157">
        <f>W22*(1+DD_projekcie!Z47/100)</f>
        <v>6460911.0014481163</v>
      </c>
      <c r="Y22" s="157">
        <f>X22*(1+DD_projekcie!AA47/100)</f>
        <v>6624811.4758842755</v>
      </c>
      <c r="Z22" s="157">
        <f>Y22*(1+DD_projekcie!AB47/100)</f>
        <v>6791044.9043518752</v>
      </c>
      <c r="AA22" s="157">
        <f>Z22*(1+DD_projekcie!AC47/100)</f>
        <v>6961550.0629684171</v>
      </c>
      <c r="AB22" s="157">
        <f>AA22*(1+DD_projekcie!AD47/100)</f>
        <v>7138060.1953718076</v>
      </c>
      <c r="AC22" s="157">
        <f>AB22*(1+DD_projekcie!AE47/100)</f>
        <v>7321955.5477718012</v>
      </c>
      <c r="AD22" s="157">
        <f>AC22*(1+DD_projekcie!AF47/100)</f>
        <v>7515805.5217495905</v>
      </c>
      <c r="AE22" s="157">
        <f>AD22*(1+DD_projekcie!AG47/100)</f>
        <v>7721282.865889824</v>
      </c>
      <c r="AF22" s="157">
        <f>AE22*(1+DD_projekcie!AH47/100)</f>
        <v>7940331.6780533437</v>
      </c>
      <c r="AG22" s="157">
        <f>AF22*(1+DD_projekcie!AI47/100)</f>
        <v>8173821.9348129425</v>
      </c>
      <c r="AH22" s="157">
        <f>AG22*(1+DD_projekcie!AJ47/100)</f>
        <v>8422801.5012815706</v>
      </c>
      <c r="AI22" s="157">
        <f>AH22*(1+DD_projekcie!AK47/100)</f>
        <v>8688075.7967101727</v>
      </c>
      <c r="AJ22" s="157">
        <f>AI22*(1+DD_projekcie!AL47/100)</f>
        <v>8971105.5871540662</v>
      </c>
      <c r="AK22" s="157">
        <f>AJ22*(1+DD_projekcie!AM47/100)</f>
        <v>9272714.7964278851</v>
      </c>
      <c r="AL22" s="157">
        <f>AK22*(1+DD_projekcie!AN47/100)</f>
        <v>9591826.3325105514</v>
      </c>
      <c r="AM22" s="157">
        <f>AL22*(1+DD_projekcie!AO47/100)</f>
        <v>9926856.4145708978</v>
      </c>
      <c r="AN22" s="157">
        <f>AM22*(1+DD_projekcie!AP47/100)</f>
        <v>10277847.660425648</v>
      </c>
      <c r="AO22" s="157">
        <f>AN22*(1+DD_projekcie!AQ47/100)</f>
        <v>10644511.872528844</v>
      </c>
      <c r="AP22" s="157">
        <f>AO22*(1+DD_projekcie!AR47/100)</f>
        <v>11024760.128398342</v>
      </c>
      <c r="AQ22" s="157">
        <f>AP22*(1+DD_projekcie!AS47/100)</f>
        <v>11417030.845366882</v>
      </c>
      <c r="AR22" s="157">
        <f>AQ22*(1+DD_projekcie!AT47/100)</f>
        <v>11819071.801358066</v>
      </c>
      <c r="AS22" s="157">
        <f>AR22*(1+DD_projekcie!AU47/100)</f>
        <v>12228892.948137</v>
      </c>
      <c r="AT22" s="157">
        <f>AS22*(1+DD_projekcie!AV47/100)</f>
        <v>12644745.332132872</v>
      </c>
      <c r="AU22" s="157">
        <f>AT22*(1+DD_projekcie!AW47/100)</f>
        <v>13063720.152173961</v>
      </c>
      <c r="AV22" s="157">
        <f>AU22*(1+DD_projekcie!AX47/100)</f>
        <v>13483883.74379628</v>
      </c>
      <c r="AW22" s="157">
        <f>AV22*(1+DD_projekcie!AY47/100)</f>
        <v>13902957.038217355</v>
      </c>
      <c r="AX22" s="157">
        <f>AW22*(1+DD_projekcie!AZ47/100)</f>
        <v>14318932.14938518</v>
      </c>
      <c r="AY22" s="157">
        <f>AX22*(1+DD_projekcie!BA47/100)</f>
        <v>14754329.890494967</v>
      </c>
      <c r="AZ22" s="157">
        <f>AY22*(1+DD_projekcie!BB47/100)</f>
        <v>15202966.830658546</v>
      </c>
      <c r="BA22" s="157">
        <f>AZ22*(1+DD_projekcie!BC47/100)</f>
        <v>15665245.536024153</v>
      </c>
    </row>
    <row r="23" spans="1:55" x14ac:dyDescent="0.25">
      <c r="A23" s="68" t="s">
        <v>1039</v>
      </c>
      <c r="B23" s="74">
        <f>C23</f>
        <v>174309.47812000001</v>
      </c>
      <c r="C23" s="74">
        <f>-SDcast!U1227</f>
        <v>174309.47812000001</v>
      </c>
      <c r="D23" s="74">
        <f>-SDcast!V1227</f>
        <v>173988.59107564099</v>
      </c>
      <c r="E23" s="74">
        <f>-SDcast!W1227</f>
        <v>170794.96176012786</v>
      </c>
      <c r="F23" s="74">
        <f>-SDcast!X1227</f>
        <v>165330.20281843661</v>
      </c>
      <c r="G23" s="74">
        <f>-SDcast!Y1227</f>
        <v>158132.74011656677</v>
      </c>
      <c r="H23" s="157">
        <f>G23*(1+DD_projekcie!J51/100)</f>
        <v>160215.22524893278</v>
      </c>
      <c r="I23" s="157">
        <f>H23*(1+DD_projekcie!K51/100)</f>
        <v>161999.99110373622</v>
      </c>
      <c r="J23" s="157">
        <f>I23*(1+DD_projekcie!L51/100)</f>
        <v>164564.1485275061</v>
      </c>
      <c r="K23" s="157">
        <f>J23*(1+DD_projekcie!M51/100)</f>
        <v>166738.66454024098</v>
      </c>
      <c r="L23" s="157">
        <f>K23*(1+DD_projekcie!N51/100)</f>
        <v>169807.47931794936</v>
      </c>
      <c r="M23" s="157">
        <f>L23*(1+DD_projekcie!O51/100)</f>
        <v>172668.71916674779</v>
      </c>
      <c r="N23" s="157">
        <f>M23*(1+DD_projekcie!P51/100)</f>
        <v>176692.24643986067</v>
      </c>
      <c r="O23" s="157">
        <f>N23*(1+DD_projekcie!Q51/100)</f>
        <v>179204.40539444768</v>
      </c>
      <c r="P23" s="157">
        <f>O23*(1+DD_projekcie!R51/100)</f>
        <v>182910.92829769393</v>
      </c>
      <c r="Q23" s="157">
        <f>P23*(1+DD_projekcie!S51/100)</f>
        <v>187868.49772432263</v>
      </c>
      <c r="R23" s="157">
        <f>Q23*(1+DD_projekcie!T51/100)</f>
        <v>190964.85065966073</v>
      </c>
      <c r="S23" s="157">
        <f>R23*(1+DD_projekcie!U51/100)</f>
        <v>195371.48737718852</v>
      </c>
      <c r="T23" s="157">
        <f>S23*(1+DD_projekcie!V51/100)</f>
        <v>199455.67868102834</v>
      </c>
      <c r="U23" s="157">
        <f>T23*(1+DD_projekcie!W51/100)</f>
        <v>203249.7425472514</v>
      </c>
      <c r="V23" s="157">
        <f>U23*(1+DD_projekcie!X51/100)</f>
        <v>208842.20892672686</v>
      </c>
      <c r="W23" s="157">
        <f>V23*(1+DD_projekcie!Y51/100)</f>
        <v>212529.36628897386</v>
      </c>
      <c r="X23" s="157">
        <f>W23*(1+DD_projekcie!Z51/100)</f>
        <v>218131.88648973702</v>
      </c>
      <c r="Y23" s="157">
        <f>X23*(1+DD_projekcie!AA51/100)</f>
        <v>223733.77256916388</v>
      </c>
      <c r="Z23" s="157">
        <f>Y23*(1+DD_projekcie!AB51/100)</f>
        <v>229319.54085350409</v>
      </c>
      <c r="AA23" s="157">
        <f>Z23*(1+DD_projekcie!AC51/100)</f>
        <v>234907.01290830004</v>
      </c>
      <c r="AB23" s="157">
        <f>AA23*(1+DD_projekcie!AD51/100)</f>
        <v>240524.99148570848</v>
      </c>
      <c r="AC23" s="157">
        <f>AB23*(1+DD_projekcie!AE51/100)</f>
        <v>246173.40723662867</v>
      </c>
      <c r="AD23" s="157">
        <f>AC23*(1+DD_projekcie!AF51/100)</f>
        <v>251851.97218535002</v>
      </c>
      <c r="AE23" s="157">
        <f>AD23*(1+DD_projekcie!AG51/100)</f>
        <v>257481.33655458325</v>
      </c>
      <c r="AF23" s="157">
        <f>AE23*(1+DD_projekcie!AH51/100)</f>
        <v>265710.80375555047</v>
      </c>
      <c r="AG23" s="157">
        <f>AF23*(1+DD_projekcie!AI51/100)</f>
        <v>271368.80550345755</v>
      </c>
      <c r="AH23" s="157">
        <f>AG23*(1+DD_projekcie!AJ51/100)</f>
        <v>276993.93179161992</v>
      </c>
      <c r="AI23" s="157">
        <f>AH23*(1+DD_projekcie!AK51/100)</f>
        <v>285479.55295557663</v>
      </c>
      <c r="AJ23" s="157">
        <f>AI23*(1+DD_projekcie!AL51/100)</f>
        <v>294101.32867043541</v>
      </c>
      <c r="AK23" s="157">
        <f>AJ23*(1+DD_projekcie!AM51/100)</f>
        <v>299820.97877054056</v>
      </c>
      <c r="AL23" s="157">
        <f>AK23*(1+DD_projekcie!AN51/100)</f>
        <v>308697.21971010452</v>
      </c>
      <c r="AM23" s="157">
        <f>AL23*(1+DD_projekcie!AO51/100)</f>
        <v>314556.69354760257</v>
      </c>
      <c r="AN23" s="157">
        <f>AM23*(1+DD_projekcie!AP51/100)</f>
        <v>323795.58660329145</v>
      </c>
      <c r="AO23" s="157">
        <f>AN23*(1+DD_projekcie!AQ51/100)</f>
        <v>333274.75537016941</v>
      </c>
      <c r="AP23" s="157">
        <f>AO23*(1+DD_projekcie!AR51/100)</f>
        <v>339473.43659124378</v>
      </c>
      <c r="AQ23" s="157">
        <f>AP23*(1+DD_projekcie!AS51/100)</f>
        <v>349384.39584957017</v>
      </c>
      <c r="AR23" s="157">
        <f>AQ23*(1+DD_projekcie!AT51/100)</f>
        <v>359627.88165980834</v>
      </c>
      <c r="AS23" s="157">
        <f>AR23*(1+DD_projekcie!AU51/100)</f>
        <v>370216.69561277505</v>
      </c>
      <c r="AT23" s="157">
        <f>AS23*(1+DD_projekcie!AV51/100)</f>
        <v>381172.16380164505</v>
      </c>
      <c r="AU23" s="157">
        <f>AT23*(1+DD_projekcie!AW51/100)</f>
        <v>392520.01589708973</v>
      </c>
      <c r="AV23" s="157">
        <f>AU23*(1+DD_projekcie!AX51/100)</f>
        <v>400072.65743617259</v>
      </c>
      <c r="AW23" s="157">
        <f>AV23*(1+DD_projekcie!AY51/100)</f>
        <v>412124.21261969855</v>
      </c>
      <c r="AX23" s="157">
        <f>AW23*(1+DD_projekcie!AZ51/100)</f>
        <v>420185.66996987246</v>
      </c>
      <c r="AY23" s="157">
        <f>AX23*(1+DD_projekcie!BA51/100)</f>
        <v>432962.31348231772</v>
      </c>
      <c r="AZ23" s="157">
        <f>AY23*(1+DD_projekcie!BB51/100)</f>
        <v>446127.45815296716</v>
      </c>
      <c r="BA23" s="157">
        <f>AZ23*(1+DD_projekcie!BC51/100)</f>
        <v>459692.91719002207</v>
      </c>
    </row>
    <row r="24" spans="1:55" x14ac:dyDescent="0.25">
      <c r="A24" s="68" t="s">
        <v>1040</v>
      </c>
      <c r="B24" s="74">
        <f>C24</f>
        <v>59280.060366116668</v>
      </c>
      <c r="C24" s="74">
        <f>DD_projekcie!E8+DD_projekcie!E9</f>
        <v>59280.060366116668</v>
      </c>
      <c r="D24" s="74">
        <f>DD_projekcie!F8+DD_projekcie!F9</f>
        <v>58222.286756514004</v>
      </c>
      <c r="E24" s="74">
        <f>DD_projekcie!G8+DD_projekcie!G9</f>
        <v>70452.61559492255</v>
      </c>
      <c r="F24" s="74">
        <f>DD_projekcie!H8+DD_projekcie!H9</f>
        <v>75716.691902737235</v>
      </c>
      <c r="G24" s="74">
        <f>DD_projekcie!I8+DD_projekcie!I9</f>
        <v>79809.650580100308</v>
      </c>
      <c r="H24" s="74">
        <f>DD_projekcie!J8+DD_projekcie!J9</f>
        <v>81413.273676697732</v>
      </c>
      <c r="I24" s="74">
        <f>DD_projekcie!K8+DD_projekcie!K9</f>
        <v>69224.225388284336</v>
      </c>
      <c r="J24" s="74">
        <f>DD_projekcie!L8+DD_projekcie!L9</f>
        <v>69415.184748995482</v>
      </c>
      <c r="K24" s="74">
        <f>DD_projekcie!M8+DD_projekcie!M9</f>
        <v>70345.807205866848</v>
      </c>
      <c r="L24" s="74">
        <f>DD_projekcie!N8+DD_projekcie!N9</f>
        <v>72937.489565168318</v>
      </c>
      <c r="M24" s="74">
        <f>DD_projekcie!O8+DD_projekcie!O9</f>
        <v>75238.058995932661</v>
      </c>
      <c r="N24" s="74">
        <f>DD_projekcie!P8+DD_projekcie!P9</f>
        <v>79752.584304590011</v>
      </c>
      <c r="O24" s="74">
        <f>DD_projekcie!Q8+DD_projekcie!Q9</f>
        <v>83631.418413911364</v>
      </c>
      <c r="P24" s="74">
        <f>DD_projekcie!R8+DD_projekcie!R9</f>
        <v>83615.039530137452</v>
      </c>
      <c r="Q24" s="74">
        <f>DD_projekcie!S8+DD_projekcie!S9</f>
        <v>88677.849120402418</v>
      </c>
      <c r="R24" s="74">
        <f>DD_projekcie!T8+DD_projekcie!T9</f>
        <v>95635.591729536827</v>
      </c>
      <c r="S24" s="74">
        <f>DD_projekcie!U8+DD_projekcie!U9</f>
        <v>101319.49650237539</v>
      </c>
      <c r="T24" s="74">
        <f>DD_projekcie!V8+DD_projekcie!V9</f>
        <v>114229.96048082178</v>
      </c>
      <c r="U24" s="74">
        <f>DD_projekcie!W8+DD_projekcie!W9</f>
        <v>155839.48762131401</v>
      </c>
      <c r="V24" s="74">
        <f>DD_projekcie!X8+DD_projekcie!X9</f>
        <v>175828.44143228614</v>
      </c>
      <c r="W24" s="74">
        <f>DD_projekcie!Y8+DD_projekcie!Y9</f>
        <v>185988.41156873509</v>
      </c>
      <c r="X24" s="74">
        <f>DD_projekcie!Z8+DD_projekcie!Z9</f>
        <v>151055.91947678936</v>
      </c>
      <c r="Y24" s="74">
        <f>DD_projekcie!AA8+DD_projekcie!AA9</f>
        <v>164188.02626755065</v>
      </c>
      <c r="Z24" s="74">
        <f>DD_projekcie!AB8+DD_projekcie!AB9</f>
        <v>188289.8783248117</v>
      </c>
      <c r="AA24" s="74">
        <f>DD_projekcie!AC8+DD_projekcie!AC9</f>
        <v>206053.69850581005</v>
      </c>
      <c r="AB24" s="74">
        <f>DD_projekcie!AD8+DD_projekcie!AD9</f>
        <v>212922.48544106592</v>
      </c>
      <c r="AC24" s="74">
        <f>DD_projekcie!AE8+DD_projekcie!AE9</f>
        <v>211461.69966950634</v>
      </c>
      <c r="AD24" s="74">
        <f>DD_projekcie!AF8+DD_projekcie!AF9</f>
        <v>211146.34650248184</v>
      </c>
      <c r="AE24" s="74">
        <f>DD_projekcie!AG8+DD_projekcie!AG9</f>
        <v>229891.63816562993</v>
      </c>
      <c r="AF24" s="74">
        <f>DD_projekcie!AH8+DD_projekcie!AH9</f>
        <v>236112.71220494711</v>
      </c>
      <c r="AG24" s="74">
        <f>DD_projekcie!AI8+DD_projekcie!AI9</f>
        <v>257440.80912112459</v>
      </c>
      <c r="AH24" s="74">
        <f>DD_projekcie!AJ8+DD_projekcie!AJ9</f>
        <v>252067.55178203731</v>
      </c>
      <c r="AI24" s="74">
        <f>DD_projekcie!AK8+DD_projekcie!AK9</f>
        <v>253291.22943537755</v>
      </c>
      <c r="AJ24" s="74">
        <f>DD_projekcie!AL8+DD_projekcie!AL9</f>
        <v>235668.17235687864</v>
      </c>
      <c r="AK24" s="74">
        <f>DD_projekcie!AM8+DD_projekcie!AM9</f>
        <v>297072.83466000709</v>
      </c>
      <c r="AL24" s="74">
        <f>DD_projekcie!AN8+DD_projekcie!AN9</f>
        <v>292197.62758593832</v>
      </c>
      <c r="AM24" s="74">
        <f>DD_projekcie!AO8+DD_projekcie!AO9</f>
        <v>298765.49192565307</v>
      </c>
      <c r="AN24" s="74">
        <f>DD_projekcie!AP8+DD_projekcie!AP9</f>
        <v>313462.57925718883</v>
      </c>
      <c r="AO24" s="74">
        <f>DD_projekcie!AQ8+DD_projekcie!AQ9</f>
        <v>318627.72348017117</v>
      </c>
      <c r="AP24" s="74">
        <f>DD_projekcie!AR8+DD_projekcie!AR9</f>
        <v>313702.55245283293</v>
      </c>
      <c r="AQ24" s="74">
        <f>DD_projekcie!AS8+DD_projekcie!AS9</f>
        <v>314289.6323091829</v>
      </c>
      <c r="AR24" s="74">
        <f>DD_projekcie!AT8+DD_projekcie!AT9</f>
        <v>308554.59549710061</v>
      </c>
      <c r="AS24" s="74">
        <f>DD_projekcie!AU8+DD_projekcie!AU9</f>
        <v>325445.11529252958</v>
      </c>
      <c r="AT24" s="74">
        <f>DD_projekcie!AV8+DD_projekcie!AV9</f>
        <v>318914.98808540893</v>
      </c>
      <c r="AU24" s="74">
        <f>DD_projekcie!AW8+DD_projekcie!AW9</f>
        <v>330808.70629007596</v>
      </c>
      <c r="AV24" s="74">
        <f>DD_projekcie!AX8+DD_projekcie!AX9</f>
        <v>302894.14101522102</v>
      </c>
      <c r="AW24" s="74">
        <f>DD_projekcie!AY8+DD_projekcie!AY9</f>
        <v>289337.9556391167</v>
      </c>
      <c r="AX24" s="74">
        <f>DD_projekcie!AZ8+DD_projekcie!AZ9</f>
        <v>308894.8294523044</v>
      </c>
      <c r="AY24" s="74">
        <f>DD_projekcie!BA8+DD_projekcie!BA9</f>
        <v>312311.13419145119</v>
      </c>
      <c r="AZ24" s="74">
        <f>DD_projekcie!BB8+DD_projekcie!BB9</f>
        <v>275037.15576281917</v>
      </c>
      <c r="BA24" s="74">
        <f>DD_projekcie!BC8+DD_projekcie!BC9</f>
        <v>260195.79732192913</v>
      </c>
    </row>
    <row r="25" spans="1:55" x14ac:dyDescent="0.25">
      <c r="A25" s="68" t="s">
        <v>135</v>
      </c>
      <c r="B25" s="74">
        <f>DD_projekcie!E3+DD_projekcie!E4</f>
        <v>124961.561</v>
      </c>
      <c r="C25" s="74">
        <f>DD_projekcie!E3+DD_projekcie!E4</f>
        <v>124961.561</v>
      </c>
      <c r="D25" s="74">
        <f>DD_projekcie!F3+DD_projekcie!F4</f>
        <v>131477.777</v>
      </c>
      <c r="E25" s="74">
        <f>DD_projekcie!G3+DD_projekcie!G4</f>
        <v>131972.52237999998</v>
      </c>
      <c r="F25" s="74">
        <f>DD_projekcie!H3+DD_projekcie!H4</f>
        <v>132482.11126000001</v>
      </c>
      <c r="G25" s="74">
        <f>DD_projekcie!I3+DD_projekcie!I4</f>
        <v>133006.98670000001</v>
      </c>
      <c r="H25" s="74">
        <f>DD_projekcie!J3+DD_projekcie!J4</f>
        <v>133088.69961999997</v>
      </c>
      <c r="I25" s="74">
        <f>DD_projekcie!K3+DD_projekcie!K4</f>
        <v>133456.51486</v>
      </c>
      <c r="J25" s="74">
        <f>DD_projekcie!L3+DD_projekcie!L4</f>
        <v>133832.05401999998</v>
      </c>
      <c r="K25" s="74">
        <f>DD_projekcie!M3+DD_projekcie!M4</f>
        <v>134215.47915999999</v>
      </c>
      <c r="L25" s="74">
        <f>DD_projekcie!N3+DD_projekcie!N4</f>
        <v>134606.95522</v>
      </c>
      <c r="M25" s="74">
        <f>DD_projekcie!O3+DD_projekcie!O4</f>
        <v>135006.65260000003</v>
      </c>
      <c r="N25" s="74">
        <f>DD_projekcie!P3+DD_projekcie!P4</f>
        <v>135414.74475999997</v>
      </c>
      <c r="O25" s="74">
        <f>DD_projekcie!Q3+DD_projekcie!Q4</f>
        <v>135831.40617999999</v>
      </c>
      <c r="P25" s="74">
        <f>DD_projekcie!R3+DD_projekcie!R4</f>
        <v>136256.81865999999</v>
      </c>
      <c r="Q25" s="74">
        <f>DD_projekcie!S3+DD_projekcie!S4</f>
        <v>136691.16381999999</v>
      </c>
      <c r="R25" s="74">
        <f>DD_projekcie!T3+DD_projekcie!T4</f>
        <v>137134.62993999998</v>
      </c>
      <c r="S25" s="74">
        <f>DD_projekcie!U3+DD_projekcie!U4</f>
        <v>137587.41021999999</v>
      </c>
      <c r="T25" s="74">
        <f>DD_projekcie!V3+DD_projekcie!V4</f>
        <v>138049.69785999999</v>
      </c>
      <c r="U25" s="74">
        <f>DD_projekcie!W3+DD_projekcie!W4</f>
        <v>138521.69235999999</v>
      </c>
      <c r="V25" s="74">
        <f>DD_projekcie!X3+DD_projekcie!X4</f>
        <v>139003.60090000002</v>
      </c>
      <c r="W25" s="74">
        <f>DD_projekcie!Y3+DD_projekcie!Y4</f>
        <v>139495.62789999999</v>
      </c>
      <c r="X25" s="74">
        <f>DD_projekcie!Z3+DD_projekcie!Z4</f>
        <v>139997.98887999999</v>
      </c>
      <c r="Y25" s="74">
        <f>DD_projekcie!AA3+DD_projekcie!AA4</f>
        <v>140510.89779999998</v>
      </c>
      <c r="Z25" s="74">
        <f>DD_projekcie!AB3+DD_projekcie!AB4</f>
        <v>141034.57935999997</v>
      </c>
      <c r="AA25" s="74">
        <f>DD_projekcie!AC3+DD_projekcie!AC4</f>
        <v>141569.25724000001</v>
      </c>
      <c r="AB25" s="74">
        <f>DD_projekcie!AD3+DD_projekcie!AD4</f>
        <v>142115.1643</v>
      </c>
      <c r="AC25" s="74">
        <f>DD_projekcie!AE3+DD_projekcie!AE4</f>
        <v>142672.53460000001</v>
      </c>
      <c r="AD25" s="74">
        <f>DD_projekcie!AF3+DD_projekcie!AF4</f>
        <v>143241.60934</v>
      </c>
      <c r="AE25" s="74">
        <f>DD_projekcie!AG3+DD_projekcie!AG4</f>
        <v>82271.844219999999</v>
      </c>
      <c r="AF25" s="74">
        <f>DD_projekcie!AH3+DD_projekcie!AH4</f>
        <v>0</v>
      </c>
      <c r="AG25" s="74">
        <f>DD_projekcie!AI3+DD_projekcie!AI4</f>
        <v>0</v>
      </c>
      <c r="AH25" s="74">
        <f>DD_projekcie!AJ3+DD_projekcie!AJ4</f>
        <v>0</v>
      </c>
      <c r="AI25" s="74">
        <f>DD_projekcie!AK3+DD_projekcie!AK4</f>
        <v>0</v>
      </c>
      <c r="AJ25" s="74">
        <f>DD_projekcie!AL3+DD_projekcie!AL4</f>
        <v>0</v>
      </c>
      <c r="AK25" s="74">
        <f>DD_projekcie!AM3+DD_projekcie!AM4</f>
        <v>0</v>
      </c>
      <c r="AL25" s="74">
        <f>DD_projekcie!AN3+DD_projekcie!AN4</f>
        <v>0</v>
      </c>
      <c r="AM25" s="74">
        <f>DD_projekcie!AO3+DD_projekcie!AO4</f>
        <v>0</v>
      </c>
      <c r="AN25" s="74">
        <f>DD_projekcie!AP3+DD_projekcie!AP4</f>
        <v>0</v>
      </c>
      <c r="AO25" s="74">
        <f>DD_projekcie!AQ3+DD_projekcie!AQ4</f>
        <v>0</v>
      </c>
      <c r="AP25" s="74">
        <f>DD_projekcie!AR3+DD_projekcie!AR4</f>
        <v>0</v>
      </c>
      <c r="AQ25" s="74">
        <f>DD_projekcie!AS3+DD_projekcie!AS4</f>
        <v>0</v>
      </c>
      <c r="AR25" s="74">
        <f>DD_projekcie!AT3+DD_projekcie!AT4</f>
        <v>0</v>
      </c>
      <c r="AS25" s="74">
        <f>DD_projekcie!AU3+DD_projekcie!AU4</f>
        <v>0</v>
      </c>
      <c r="AT25" s="74">
        <f>DD_projekcie!AV3+DD_projekcie!AV4</f>
        <v>0</v>
      </c>
      <c r="AU25" s="74">
        <f>DD_projekcie!AW3+DD_projekcie!AW4</f>
        <v>0</v>
      </c>
      <c r="AV25" s="74">
        <f>DD_projekcie!AX3+DD_projekcie!AX4</f>
        <v>0</v>
      </c>
      <c r="AW25" s="74">
        <f>DD_projekcie!AY3+DD_projekcie!AY4</f>
        <v>0</v>
      </c>
      <c r="AX25" s="74">
        <f>DD_projekcie!AZ3+DD_projekcie!AZ4</f>
        <v>0</v>
      </c>
      <c r="AY25" s="74">
        <f>DD_projekcie!BA3+DD_projekcie!BA4</f>
        <v>0</v>
      </c>
      <c r="AZ25" s="74">
        <f>DD_projekcie!BB3+DD_projekcie!BB4</f>
        <v>0</v>
      </c>
      <c r="BA25" s="74">
        <f>DD_projekcie!BC3+DD_projekcie!BC4</f>
        <v>0</v>
      </c>
    </row>
    <row r="26" spans="1:55" s="39" customFormat="1" x14ac:dyDescent="0.25">
      <c r="A26" s="68" t="s">
        <v>1045</v>
      </c>
      <c r="B26" s="74">
        <f>B27</f>
        <v>7534.4414500000003</v>
      </c>
      <c r="C26" s="74">
        <f t="shared" ref="C26:BA26" si="11">C27</f>
        <v>7534.4414500000003</v>
      </c>
      <c r="D26" s="74">
        <f t="shared" si="11"/>
        <v>7722.6247040979861</v>
      </c>
      <c r="E26" s="74">
        <f t="shared" si="11"/>
        <v>7946.4757970155306</v>
      </c>
      <c r="F26" s="74">
        <f t="shared" si="11"/>
        <v>25819.842860817083</v>
      </c>
      <c r="G26" s="74">
        <f t="shared" si="11"/>
        <v>8592.4490632885609</v>
      </c>
      <c r="H26" s="74">
        <f t="shared" si="11"/>
        <v>9038.3032086403746</v>
      </c>
      <c r="I26" s="74">
        <f t="shared" si="11"/>
        <v>9502.1267155997029</v>
      </c>
      <c r="J26" s="74">
        <f t="shared" si="11"/>
        <v>31650.968832064929</v>
      </c>
      <c r="K26" s="74">
        <f t="shared" si="11"/>
        <v>10473.696387551938</v>
      </c>
      <c r="L26" s="74">
        <f t="shared" si="11"/>
        <v>10977.893729198071</v>
      </c>
      <c r="M26" s="74">
        <f t="shared" si="11"/>
        <v>11498.595611989558</v>
      </c>
      <c r="N26" s="74">
        <f t="shared" si="11"/>
        <v>38166.187280229184</v>
      </c>
      <c r="O26" s="74">
        <f t="shared" si="11"/>
        <v>12596.819630411341</v>
      </c>
      <c r="P26" s="74">
        <f t="shared" si="11"/>
        <v>13170.956538364195</v>
      </c>
      <c r="Q26" s="74">
        <f t="shared" si="11"/>
        <v>13751.540953012127</v>
      </c>
      <c r="R26" s="74">
        <f t="shared" si="11"/>
        <v>45443.949365045853</v>
      </c>
      <c r="S26" s="74">
        <f t="shared" si="11"/>
        <v>14917.153814105082</v>
      </c>
      <c r="T26" s="74">
        <f t="shared" si="11"/>
        <v>15496.168442427212</v>
      </c>
      <c r="U26" s="74">
        <f t="shared" si="11"/>
        <v>16072.918987704294</v>
      </c>
      <c r="V26" s="74">
        <f t="shared" si="11"/>
        <v>52832.350930053151</v>
      </c>
      <c r="W26" s="74">
        <f t="shared" si="11"/>
        <v>17269.319464536631</v>
      </c>
      <c r="X26" s="74">
        <f t="shared" si="11"/>
        <v>17888.675007673653</v>
      </c>
      <c r="Y26" s="74">
        <f t="shared" si="11"/>
        <v>18519.554800564423</v>
      </c>
      <c r="Z26" s="74">
        <f t="shared" si="11"/>
        <v>60749.098190589059</v>
      </c>
      <c r="AA26" s="74">
        <f t="shared" si="11"/>
        <v>19814.789251489554</v>
      </c>
      <c r="AB26" s="74">
        <f t="shared" si="11"/>
        <v>20483.758309831108</v>
      </c>
      <c r="AC26" s="74">
        <f t="shared" si="11"/>
        <v>21168.334336716147</v>
      </c>
      <c r="AD26" s="74">
        <f t="shared" si="11"/>
        <v>69334.569171545489</v>
      </c>
      <c r="AE26" s="74">
        <f t="shared" si="11"/>
        <v>22579.127466156006</v>
      </c>
      <c r="AF26" s="74">
        <f t="shared" si="11"/>
        <v>23300.788272316211</v>
      </c>
      <c r="AG26" s="74">
        <f t="shared" si="11"/>
        <v>24034.92090381926</v>
      </c>
      <c r="AH26" s="74">
        <f t="shared" si="11"/>
        <v>78566.914422566202</v>
      </c>
      <c r="AI26" s="74">
        <f t="shared" si="11"/>
        <v>25540.09966425542</v>
      </c>
      <c r="AJ26" s="74">
        <f t="shared" si="11"/>
        <v>26311.436906312181</v>
      </c>
      <c r="AK26" s="74">
        <f t="shared" si="11"/>
        <v>27096.844318287975</v>
      </c>
      <c r="AL26" s="74">
        <f t="shared" si="11"/>
        <v>88452.737705977779</v>
      </c>
      <c r="AM26" s="74">
        <f t="shared" si="11"/>
        <v>28721.688719979753</v>
      </c>
      <c r="AN26" s="74">
        <f t="shared" si="11"/>
        <v>29565.277859571601</v>
      </c>
      <c r="AO26" s="74">
        <f t="shared" si="11"/>
        <v>30430.806205434696</v>
      </c>
      <c r="AP26" s="74">
        <f t="shared" si="11"/>
        <v>99297.702669111473</v>
      </c>
      <c r="AQ26" s="74">
        <f t="shared" si="11"/>
        <v>32234.062667400784</v>
      </c>
      <c r="AR26" s="74">
        <f t="shared" si="11"/>
        <v>33179.122513983093</v>
      </c>
      <c r="AS26" s="74">
        <f t="shared" si="11"/>
        <v>34156.042194964873</v>
      </c>
      <c r="AT26" s="74">
        <f t="shared" si="11"/>
        <v>111494.79195478791</v>
      </c>
      <c r="AU26" s="74">
        <f t="shared" si="11"/>
        <v>36213.737479230658</v>
      </c>
      <c r="AV26" s="74">
        <f t="shared" si="11"/>
        <v>37299.073136472798</v>
      </c>
      <c r="AW26" s="74">
        <f t="shared" si="11"/>
        <v>38422.648641680338</v>
      </c>
      <c r="AX26" s="74">
        <f t="shared" si="11"/>
        <v>125521.47110909747</v>
      </c>
      <c r="AY26" s="74">
        <f t="shared" si="11"/>
        <v>40794.81952644042</v>
      </c>
      <c r="AZ26" s="74">
        <f t="shared" si="11"/>
        <v>42035.273219878465</v>
      </c>
      <c r="BA26" s="74">
        <f t="shared" si="11"/>
        <v>43313.445559542335</v>
      </c>
    </row>
    <row r="27" spans="1:55" s="39" customFormat="1" x14ac:dyDescent="0.25">
      <c r="A27" s="68" t="s">
        <v>1046</v>
      </c>
      <c r="B27" s="74">
        <f>C27</f>
        <v>7534.4414500000003</v>
      </c>
      <c r="C27" s="74">
        <f>EKRK_rozdelenie_podpoloziek!E33</f>
        <v>7534.4414500000003</v>
      </c>
      <c r="D27" s="74">
        <f>EKRK_rozdelenie_podpoloziek!F33</f>
        <v>7722.6247040979861</v>
      </c>
      <c r="E27" s="74">
        <f>EKRK_rozdelenie_podpoloziek!G33</f>
        <v>7946.4757970155306</v>
      </c>
      <c r="F27" s="74">
        <f>EKRK_rozdelenie_podpoloziek!H33</f>
        <v>25819.842860817083</v>
      </c>
      <c r="G27" s="74">
        <f>EKRK_rozdelenie_podpoloziek!I33</f>
        <v>8592.4490632885609</v>
      </c>
      <c r="H27" s="74">
        <f>G27*(DD_projekcie!J59/DD_projekcie!I59)</f>
        <v>9038.3032086403746</v>
      </c>
      <c r="I27" s="74">
        <f>H27*(DD_projekcie!K59/DD_projekcie!J59)</f>
        <v>9502.1267155997029</v>
      </c>
      <c r="J27" s="74">
        <f>F27*(DD_projekcie!L59/DD_projekcie!H59)</f>
        <v>31650.968832064929</v>
      </c>
      <c r="K27" s="74">
        <f>I27*(DD_projekcie!M59/DD_projekcie!K59)</f>
        <v>10473.696387551938</v>
      </c>
      <c r="L27" s="74">
        <f>K27*(DD_projekcie!N59/DD_projekcie!M59)</f>
        <v>10977.893729198071</v>
      </c>
      <c r="M27" s="74">
        <f>L27*(DD_projekcie!O59/DD_projekcie!N59)</f>
        <v>11498.595611989558</v>
      </c>
      <c r="N27" s="74">
        <f>J27*(DD_projekcie!P59/DD_projekcie!L59)</f>
        <v>38166.187280229184</v>
      </c>
      <c r="O27" s="74">
        <f>M27*(DD_projekcie!Q59/DD_projekcie!O59)</f>
        <v>12596.819630411341</v>
      </c>
      <c r="P27" s="74">
        <f>O27*(DD_projekcie!R59/DD_projekcie!Q59)</f>
        <v>13170.956538364195</v>
      </c>
      <c r="Q27" s="74">
        <f>P27*(DD_projekcie!S59/DD_projekcie!R59)</f>
        <v>13751.540953012127</v>
      </c>
      <c r="R27" s="74">
        <f>N27*(DD_projekcie!T59/DD_projekcie!P59)</f>
        <v>45443.949365045853</v>
      </c>
      <c r="S27" s="74">
        <f>Q27*(DD_projekcie!U59/DD_projekcie!S59)</f>
        <v>14917.153814105082</v>
      </c>
      <c r="T27" s="74">
        <f>S27*(DD_projekcie!V59/DD_projekcie!U59)</f>
        <v>15496.168442427212</v>
      </c>
      <c r="U27" s="74">
        <f>T27*(DD_projekcie!W59/DD_projekcie!V59)</f>
        <v>16072.918987704294</v>
      </c>
      <c r="V27" s="74">
        <f>R27*(DD_projekcie!X59/DD_projekcie!T59)</f>
        <v>52832.350930053151</v>
      </c>
      <c r="W27" s="74">
        <f>U27*(DD_projekcie!Y59/DD_projekcie!W59)</f>
        <v>17269.319464536631</v>
      </c>
      <c r="X27" s="74">
        <f>W27*(DD_projekcie!Z59/DD_projekcie!Y59)</f>
        <v>17888.675007673653</v>
      </c>
      <c r="Y27" s="74">
        <f>X27*(DD_projekcie!AA59/DD_projekcie!Z59)</f>
        <v>18519.554800564423</v>
      </c>
      <c r="Z27" s="74">
        <f>V27*(DD_projekcie!AB59/DD_projekcie!X59)</f>
        <v>60749.098190589059</v>
      </c>
      <c r="AA27" s="74">
        <f>Y27*(DD_projekcie!AC59/DD_projekcie!AA59)</f>
        <v>19814.789251489554</v>
      </c>
      <c r="AB27" s="74">
        <f>AA27*(DD_projekcie!AD59/DD_projekcie!AC59)</f>
        <v>20483.758309831108</v>
      </c>
      <c r="AC27" s="74">
        <f>AB27*(DD_projekcie!AE59/DD_projekcie!AD59)</f>
        <v>21168.334336716147</v>
      </c>
      <c r="AD27" s="74">
        <f>Z27*(DD_projekcie!AF59/DD_projekcie!AB59)</f>
        <v>69334.569171545489</v>
      </c>
      <c r="AE27" s="74">
        <f>AC27*(DD_projekcie!AG59/DD_projekcie!AE59)</f>
        <v>22579.127466156006</v>
      </c>
      <c r="AF27" s="74">
        <f>AE27*(DD_projekcie!AH59/DD_projekcie!AG59)</f>
        <v>23300.788272316211</v>
      </c>
      <c r="AG27" s="74">
        <f>AF27*(DD_projekcie!AI59/DD_projekcie!AH59)</f>
        <v>24034.92090381926</v>
      </c>
      <c r="AH27" s="74">
        <f>AD27*(DD_projekcie!AJ59/DD_projekcie!AF59)</f>
        <v>78566.914422566202</v>
      </c>
      <c r="AI27" s="74">
        <f>AG27*(DD_projekcie!AK59/DD_projekcie!AI59)</f>
        <v>25540.09966425542</v>
      </c>
      <c r="AJ27" s="74">
        <f>AI27*(DD_projekcie!AL59/DD_projekcie!AK59)</f>
        <v>26311.436906312181</v>
      </c>
      <c r="AK27" s="74">
        <f>AJ27*(DD_projekcie!AM59/DD_projekcie!AL59)</f>
        <v>27096.844318287975</v>
      </c>
      <c r="AL27" s="74">
        <f>AH27*(DD_projekcie!AN59/DD_projekcie!AJ59)</f>
        <v>88452.737705977779</v>
      </c>
      <c r="AM27" s="74">
        <f>AK27*(DD_projekcie!AO59/DD_projekcie!AM59)</f>
        <v>28721.688719979753</v>
      </c>
      <c r="AN27" s="74">
        <f>AM27*(DD_projekcie!AP59/DD_projekcie!AO59)</f>
        <v>29565.277859571601</v>
      </c>
      <c r="AO27" s="74">
        <f>AN27*(DD_projekcie!AQ59/DD_projekcie!AP59)</f>
        <v>30430.806205434696</v>
      </c>
      <c r="AP27" s="74">
        <f>AL27*(DD_projekcie!AR59/DD_projekcie!AN59)</f>
        <v>99297.702669111473</v>
      </c>
      <c r="AQ27" s="74">
        <f>AO27*(DD_projekcie!AS59/DD_projekcie!AQ59)</f>
        <v>32234.062667400784</v>
      </c>
      <c r="AR27" s="74">
        <f>AQ27*(DD_projekcie!AT59/DD_projekcie!AS59)</f>
        <v>33179.122513983093</v>
      </c>
      <c r="AS27" s="74">
        <f>AR27*(DD_projekcie!AU59/DD_projekcie!AT59)</f>
        <v>34156.042194964873</v>
      </c>
      <c r="AT27" s="74">
        <f>AP27*(DD_projekcie!AV59/DD_projekcie!AR59)</f>
        <v>111494.79195478791</v>
      </c>
      <c r="AU27" s="74">
        <f>AS27*(DD_projekcie!AW59/DD_projekcie!AU59)</f>
        <v>36213.737479230658</v>
      </c>
      <c r="AV27" s="74">
        <f>AU27*(DD_projekcie!AX59/DD_projekcie!AW59)</f>
        <v>37299.073136472798</v>
      </c>
      <c r="AW27" s="74">
        <f>AV27*(DD_projekcie!AY59/DD_projekcie!AX59)</f>
        <v>38422.648641680338</v>
      </c>
      <c r="AX27" s="74">
        <f>AT27*(DD_projekcie!AZ59/DD_projekcie!AV59)</f>
        <v>125521.47110909747</v>
      </c>
      <c r="AY27" s="74">
        <f>AW27*(DD_projekcie!BA59/DD_projekcie!AY59)</f>
        <v>40794.81952644042</v>
      </c>
      <c r="AZ27" s="74">
        <f>AY27*(DD_projekcie!BB59/DD_projekcie!BA59)</f>
        <v>42035.273219878465</v>
      </c>
      <c r="BA27" s="74">
        <f>AZ27*(DD_projekcie!BC59/DD_projekcie!BB59)</f>
        <v>43313.445559542335</v>
      </c>
      <c r="BB27" s="44"/>
      <c r="BC27" s="44"/>
    </row>
    <row r="28" spans="1:55" x14ac:dyDescent="0.25">
      <c r="A28" s="76" t="s">
        <v>1041</v>
      </c>
      <c r="B28" s="77">
        <f>vystup_ESA95_SDcast!C22</f>
        <v>1413356.5721599993</v>
      </c>
      <c r="C28" s="77">
        <f>vystup_ESA95_SDcast!D22</f>
        <v>1413356.57216</v>
      </c>
      <c r="D28" s="77">
        <f>vystup_ESA95_SDcast!E22</f>
        <v>1438960.9101305346</v>
      </c>
      <c r="E28" s="77">
        <f>vystup_ESA95_SDcast!F22</f>
        <v>1495719.0849443206</v>
      </c>
      <c r="F28" s="77">
        <f>vystup_ESA95_SDcast!G22</f>
        <v>1598562.4384136319</v>
      </c>
      <c r="G28" s="77">
        <f>vystup_ESA95_SDcast!H22</f>
        <v>1739324.0871311806</v>
      </c>
      <c r="H28" s="159">
        <f>uroky!S14*1000</f>
        <v>1922754.8309813256</v>
      </c>
      <c r="I28" s="159">
        <f>uroky!T14*1000</f>
        <v>2152962.2609271375</v>
      </c>
      <c r="J28" s="159">
        <f>uroky!U14*1000</f>
        <v>2398603.1644561463</v>
      </c>
      <c r="K28" s="159">
        <f>uroky!V14*1000</f>
        <v>2663669.2507151994</v>
      </c>
      <c r="L28" s="159">
        <f>uroky!W14*1000</f>
        <v>2952420.8240960301</v>
      </c>
      <c r="M28" s="159">
        <f>uroky!X14*1000</f>
        <v>3249233.0134824235</v>
      </c>
      <c r="N28" s="159">
        <f>uroky!Y14*1000</f>
        <v>3738627.4547046982</v>
      </c>
      <c r="O28" s="159">
        <f>uroky!Z14*1000</f>
        <v>4140745.0651353477</v>
      </c>
      <c r="P28" s="159">
        <f>uroky!AA14*1000</f>
        <v>4574720.5809069434</v>
      </c>
      <c r="Q28" s="159">
        <f>uroky!AB14*1000</f>
        <v>4983286.8875590349</v>
      </c>
      <c r="R28" s="159">
        <f>uroky!AC14*1000</f>
        <v>5392640.8330701506</v>
      </c>
      <c r="S28" s="159">
        <f>uroky!AD14*1000</f>
        <v>5812615.8887515804</v>
      </c>
      <c r="T28" s="159">
        <f>uroky!AE14*1000</f>
        <v>6250550.7128649326</v>
      </c>
      <c r="U28" s="159">
        <f>uroky!AF14*1000</f>
        <v>6716603.9139522118</v>
      </c>
      <c r="V28" s="159">
        <f>uroky!AG14*1000</f>
        <v>7214935.5430202177</v>
      </c>
      <c r="W28" s="159">
        <f>uroky!AH14*1000</f>
        <v>7744602.4887133464</v>
      </c>
      <c r="X28" s="159">
        <f>uroky!AI14*1000</f>
        <v>8235076.1903338861</v>
      </c>
      <c r="Y28" s="159">
        <f>uroky!AJ14*1000</f>
        <v>8911931.5750202779</v>
      </c>
      <c r="Z28" s="159">
        <f>uroky!AK14*1000</f>
        <v>9517355.0698204841</v>
      </c>
      <c r="AA28" s="159">
        <f>uroky!AL14*1000</f>
        <v>10208617.777923996</v>
      </c>
      <c r="AB28" s="159">
        <f>uroky!AM14*1000</f>
        <v>10912667.32098351</v>
      </c>
      <c r="AC28" s="159">
        <f>uroky!AN14*1000</f>
        <v>11672247.890121341</v>
      </c>
      <c r="AD28" s="159">
        <f>uroky!AO14*1000</f>
        <v>12485347.790127395</v>
      </c>
      <c r="AE28" s="159">
        <f>uroky!AP14*1000</f>
        <v>13344818.303876976</v>
      </c>
      <c r="AF28" s="159">
        <f>uroky!AQ14*1000</f>
        <v>14262517.578204533</v>
      </c>
      <c r="AG28" s="159">
        <f>uroky!AR14*1000</f>
        <v>15248633.747378593</v>
      </c>
      <c r="AH28" s="159">
        <f>uroky!AS14*1000</f>
        <v>16300622.164362466</v>
      </c>
      <c r="AI28" s="159">
        <f>uroky!AT14*1000</f>
        <v>17346601.458859351</v>
      </c>
      <c r="AJ28" s="159">
        <f>uroky!AU14*1000</f>
        <v>18619013.900240693</v>
      </c>
      <c r="AK28" s="159">
        <f>uroky!AV14*1000</f>
        <v>19857824.283618975</v>
      </c>
      <c r="AL28" s="159">
        <f>uroky!AW14*1000</f>
        <v>21228916.215825524</v>
      </c>
      <c r="AM28" s="159">
        <f>uroky!AX14*1000</f>
        <v>22673800.085688874</v>
      </c>
      <c r="AN28" s="159">
        <f>uroky!AY14*1000</f>
        <v>24229497.72943414</v>
      </c>
      <c r="AO28" s="159">
        <f>uroky!AZ14*1000</f>
        <v>25904129.914518181</v>
      </c>
      <c r="AP28" s="159">
        <f>uroky!BA14*1000</f>
        <v>27684105.556132194</v>
      </c>
      <c r="AQ28" s="159">
        <f>uroky!BB14*1000</f>
        <v>29589911.071457699</v>
      </c>
      <c r="AR28" s="159">
        <f>uroky!BC14*1000</f>
        <v>31631949.908815246</v>
      </c>
      <c r="AS28" s="159">
        <f>uroky!BD14*1000</f>
        <v>33818436.073294885</v>
      </c>
      <c r="AT28" s="159">
        <f>uroky!BE14*1000</f>
        <v>36080696.3816543</v>
      </c>
      <c r="AU28" s="159">
        <f>uroky!BF14*1000</f>
        <v>38669020.358688332</v>
      </c>
      <c r="AV28" s="159">
        <f>uroky!BG14*1000</f>
        <v>41309049.556616142</v>
      </c>
      <c r="AW28" s="159">
        <f>uroky!BH14*1000</f>
        <v>44167708.722746596</v>
      </c>
      <c r="AX28" s="159">
        <f>uroky!BI14*1000</f>
        <v>47184631.630727991</v>
      </c>
      <c r="AY28" s="159">
        <f>uroky!BJ14*1000</f>
        <v>50397672.775597848</v>
      </c>
      <c r="AZ28" s="159">
        <f>uroky!BK14*1000</f>
        <v>53794474.216425516</v>
      </c>
      <c r="BA28" s="159">
        <f>uroky!BL14*1000</f>
        <v>57362925.376123399</v>
      </c>
    </row>
    <row r="29" spans="1:55" x14ac:dyDescent="0.25">
      <c r="A29" s="248" t="s">
        <v>1003</v>
      </c>
      <c r="B29" s="249">
        <f t="shared" ref="B29:G29" si="12">B3-B14</f>
        <v>-1994907.1111300811</v>
      </c>
      <c r="C29" s="249">
        <f t="shared" si="12"/>
        <v>-2536056.7032700069</v>
      </c>
      <c r="D29" s="249">
        <f t="shared" si="12"/>
        <v>-2359803.3947714902</v>
      </c>
      <c r="E29" s="249">
        <f t="shared" si="12"/>
        <v>-2963218.4160597995</v>
      </c>
      <c r="F29" s="249">
        <f t="shared" si="12"/>
        <v>-2973112.9683860056</v>
      </c>
      <c r="G29" s="249">
        <f t="shared" si="12"/>
        <v>-3364502.5195004418</v>
      </c>
      <c r="H29" s="250">
        <f>H3-H14</f>
        <v>-3668591.4148440287</v>
      </c>
      <c r="I29" s="250">
        <f t="shared" ref="I29:BA29" si="13">I3-I14</f>
        <v>-3967679.3349243402</v>
      </c>
      <c r="J29" s="250">
        <f t="shared" si="13"/>
        <v>-4337107.5485807285</v>
      </c>
      <c r="K29" s="250">
        <f t="shared" si="13"/>
        <v>-4716886.303506732</v>
      </c>
      <c r="L29" s="250">
        <f t="shared" si="13"/>
        <v>-5090068.0217885152</v>
      </c>
      <c r="M29" s="250">
        <f t="shared" si="13"/>
        <v>-5487657.5869413763</v>
      </c>
      <c r="N29" s="250">
        <f t="shared" si="13"/>
        <v>-6126141.9927987233</v>
      </c>
      <c r="O29" s="250">
        <f t="shared" si="13"/>
        <v>-6632874.578583084</v>
      </c>
      <c r="P29" s="250">
        <f t="shared" si="13"/>
        <v>-7209356.9162785262</v>
      </c>
      <c r="Q29" s="250">
        <f t="shared" si="13"/>
        <v>-7776139.8394776061</v>
      </c>
      <c r="R29" s="250">
        <f t="shared" si="13"/>
        <v>-8370902.4706956148</v>
      </c>
      <c r="S29" s="250">
        <f t="shared" si="13"/>
        <v>-8852222.7444161996</v>
      </c>
      <c r="T29" s="250">
        <f t="shared" si="13"/>
        <v>-9364971.2341754064</v>
      </c>
      <c r="U29" s="250">
        <f t="shared" si="13"/>
        <v>-9966533.5457706004</v>
      </c>
      <c r="V29" s="250">
        <f t="shared" si="13"/>
        <v>-10646939.815006435</v>
      </c>
      <c r="W29" s="250">
        <f t="shared" si="13"/>
        <v>-11279437.509405673</v>
      </c>
      <c r="X29" s="250">
        <f t="shared" si="13"/>
        <v>-11878239.34961354</v>
      </c>
      <c r="Y29" s="250">
        <f t="shared" si="13"/>
        <v>-12755188.39654541</v>
      </c>
      <c r="Z29" s="250">
        <f t="shared" si="13"/>
        <v>-13565481.118983805</v>
      </c>
      <c r="AA29" s="250">
        <f t="shared" si="13"/>
        <v>-14307160.214492448</v>
      </c>
      <c r="AB29" s="250">
        <f t="shared" si="13"/>
        <v>-15224507.432016551</v>
      </c>
      <c r="AC29" s="250">
        <f t="shared" si="13"/>
        <v>-16211449.896600619</v>
      </c>
      <c r="AD29" s="250">
        <f t="shared" si="13"/>
        <v>-17323238.6862932</v>
      </c>
      <c r="AE29" s="250">
        <f t="shared" si="13"/>
        <v>-18383635.431825727</v>
      </c>
      <c r="AF29" s="250">
        <f t="shared" si="13"/>
        <v>-19661959.101840556</v>
      </c>
      <c r="AG29" s="250">
        <f t="shared" si="13"/>
        <v>-21095697.343756005</v>
      </c>
      <c r="AH29" s="250">
        <f t="shared" si="13"/>
        <v>-22534166.954440251</v>
      </c>
      <c r="AI29" s="250">
        <f t="shared" si="13"/>
        <v>-23765439.270326763</v>
      </c>
      <c r="AJ29" s="250">
        <f t="shared" si="13"/>
        <v>-25375619.318928048</v>
      </c>
      <c r="AK29" s="250">
        <f t="shared" si="13"/>
        <v>-27147267.783510447</v>
      </c>
      <c r="AL29" s="250">
        <f t="shared" si="13"/>
        <v>-29081408.134801537</v>
      </c>
      <c r="AM29" s="250">
        <f t="shared" si="13"/>
        <v>-31073765.130726278</v>
      </c>
      <c r="AN29" s="250">
        <f t="shared" si="13"/>
        <v>-33335602.868042722</v>
      </c>
      <c r="AO29" s="250">
        <f t="shared" si="13"/>
        <v>-35795782.045334563</v>
      </c>
      <c r="AP29" s="250">
        <f t="shared" si="13"/>
        <v>-38297425.948390141</v>
      </c>
      <c r="AQ29" s="250">
        <f t="shared" si="13"/>
        <v>-40721190.390747666</v>
      </c>
      <c r="AR29" s="250">
        <f t="shared" si="13"/>
        <v>-43637700.831211478</v>
      </c>
      <c r="AS29" s="250">
        <f t="shared" si="13"/>
        <v>-46799173.884927899</v>
      </c>
      <c r="AT29" s="250">
        <f t="shared" si="13"/>
        <v>-50112166.202566817</v>
      </c>
      <c r="AU29" s="250">
        <f t="shared" si="13"/>
        <v>-53557365.615825057</v>
      </c>
      <c r="AV29" s="250">
        <f t="shared" si="13"/>
        <v>-57092310.752607465</v>
      </c>
      <c r="AW29" s="250">
        <f t="shared" si="13"/>
        <v>-60842407.459426463</v>
      </c>
      <c r="AX29" s="250">
        <f t="shared" si="13"/>
        <v>-64794815.477467865</v>
      </c>
      <c r="AY29" s="250">
        <f t="shared" si="13"/>
        <v>-68438694.417343765</v>
      </c>
      <c r="AZ29" s="250">
        <f t="shared" si="13"/>
        <v>-72152909.22819072</v>
      </c>
      <c r="BA29" s="250">
        <f t="shared" si="13"/>
        <v>-76141153.91299051</v>
      </c>
    </row>
    <row r="30" spans="1:55" x14ac:dyDescent="0.25">
      <c r="A30" s="248" t="s">
        <v>1042</v>
      </c>
      <c r="B30" s="250">
        <f>uroky!N17*1000</f>
        <v>39975176.000000007</v>
      </c>
      <c r="C30" s="250">
        <f>uroky!N17*1000</f>
        <v>39975176.000000007</v>
      </c>
      <c r="D30" s="250">
        <f ca="1">uroky!O17*1000</f>
        <v>42191584.46704445</v>
      </c>
      <c r="E30" s="250">
        <f ca="1">uroky!P17*1000</f>
        <v>44979700.360051677</v>
      </c>
      <c r="F30" s="250">
        <f ca="1">uroky!Q17*1000</f>
        <v>47731793.035577632</v>
      </c>
      <c r="G30" s="250">
        <f ca="1">uroky!R17*1000</f>
        <v>50837796.218881659</v>
      </c>
      <c r="H30" s="250">
        <f ca="1">uroky!S17*1000</f>
        <v>54180700.915691718</v>
      </c>
      <c r="I30" s="250">
        <f ca="1">uroky!T17*1000</f>
        <v>57918173.022003569</v>
      </c>
      <c r="J30" s="250">
        <f ca="1">uroky!U17*1000</f>
        <v>62009639.951192148</v>
      </c>
      <c r="K30" s="250">
        <f ca="1">uroky!V17*1000</f>
        <v>66461460.504300386</v>
      </c>
      <c r="L30" s="250">
        <f ca="1">uroky!W17*1000</f>
        <v>71262777.322681561</v>
      </c>
      <c r="M30" s="250">
        <f ca="1">uroky!X17*1000</f>
        <v>76453623.12714988</v>
      </c>
      <c r="N30" s="250">
        <f ca="1">uroky!Y17*1000</f>
        <v>82090371.133494377</v>
      </c>
      <c r="O30" s="250">
        <f ca="1">uroky!Z17*1000</f>
        <v>88321128.621994689</v>
      </c>
      <c r="P30" s="250">
        <f ca="1">uroky!AA17*1000</f>
        <v>95096510.637247607</v>
      </c>
      <c r="Q30" s="250">
        <f ca="1">uroky!AB17*1000</f>
        <v>102464084.90574412</v>
      </c>
      <c r="R30" s="250">
        <f ca="1">uroky!AC17*1000</f>
        <v>110425634.33235683</v>
      </c>
      <c r="S30" s="250">
        <f ca="1">uroky!AD17*1000</f>
        <v>118857883.14483057</v>
      </c>
      <c r="T30" s="250">
        <f ca="1">uroky!AE17*1000</f>
        <v>127784920.93757902</v>
      </c>
      <c r="U30" s="250">
        <f ca="1">uroky!AF17*1000</f>
        <v>137285402.93647072</v>
      </c>
      <c r="V30" s="250">
        <f ca="1">uroky!AG17*1000</f>
        <v>147434013.10048258</v>
      </c>
      <c r="W30" s="250">
        <f ca="1">uroky!AH17*1000</f>
        <v>158183786.02285478</v>
      </c>
      <c r="X30" s="250">
        <f ca="1">uroky!AI17*1000</f>
        <v>169571554.45401853</v>
      </c>
      <c r="Y30" s="250">
        <f ca="1">uroky!AJ17*1000</f>
        <v>181649890.6943897</v>
      </c>
      <c r="Z30" s="250">
        <f ca="1">uroky!AK17*1000</f>
        <v>194609952.00210249</v>
      </c>
      <c r="AA30" s="250">
        <f ca="1">uroky!AL17*1000</f>
        <v>208225853.65000817</v>
      </c>
      <c r="AB30" s="250">
        <f ca="1">uroky!AM17*1000</f>
        <v>222746316.13797677</v>
      </c>
      <c r="AC30" s="250">
        <f ca="1">uroky!AN17*1000</f>
        <v>238198190.51488292</v>
      </c>
      <c r="AD30" s="250">
        <f ca="1">uroky!AO17*1000</f>
        <v>254708334.7809526</v>
      </c>
      <c r="AE30" s="250">
        <f ca="1">uroky!AP17*1000</f>
        <v>272232505.56626052</v>
      </c>
      <c r="AF30" s="250">
        <f ca="1">uroky!AQ17*1000</f>
        <v>290976771.59908593</v>
      </c>
      <c r="AG30" s="250">
        <f ca="1">uroky!AR17*1000</f>
        <v>311086359.2650584</v>
      </c>
      <c r="AH30" s="250">
        <f ca="1">uroky!AS17*1000</f>
        <v>332568544.52106118</v>
      </c>
      <c r="AI30" s="250">
        <f ca="1">uroky!AT17*1000</f>
        <v>355288011.38193148</v>
      </c>
      <c r="AJ30" s="250">
        <f ca="1">uroky!AU17*1000</f>
        <v>379391225.24040461</v>
      </c>
      <c r="AK30" s="250">
        <f ca="1">uroky!AV17*1000</f>
        <v>405299689.64626604</v>
      </c>
      <c r="AL30" s="250">
        <f ca="1">uroky!AW17*1000</f>
        <v>433010012.81993067</v>
      </c>
      <c r="AM30" s="250">
        <f ca="1">uroky!AX17*1000</f>
        <v>462638900.97403038</v>
      </c>
      <c r="AN30" s="250">
        <f ca="1">uroky!AY17*1000</f>
        <v>494418812.9714219</v>
      </c>
      <c r="AO30" s="250">
        <f ca="1">uroky!AZ17*1000</f>
        <v>528539969.44597155</v>
      </c>
      <c r="AP30" s="250">
        <f ca="1">uroky!BA17*1000</f>
        <v>565057426.18391788</v>
      </c>
      <c r="AQ30" s="250">
        <f ca="1">uroky!BB17*1000</f>
        <v>603872817.29609311</v>
      </c>
      <c r="AR30" s="250">
        <f ca="1">uroky!BC17*1000</f>
        <v>645468485.34416759</v>
      </c>
      <c r="AS30" s="250">
        <f ca="1">uroky!BD17*1000</f>
        <v>690081178.96149158</v>
      </c>
      <c r="AT30" s="250">
        <f ca="1">uroky!BE17*1000</f>
        <v>737931090.63407516</v>
      </c>
      <c r="AU30" s="250">
        <f ca="1">uroky!BF17*1000</f>
        <v>788900137.9924016</v>
      </c>
      <c r="AV30" s="250">
        <f ca="1">uroky!BG17*1000</f>
        <v>843352425.28255928</v>
      </c>
      <c r="AW30" s="250">
        <f ca="1">uroky!BH17*1000</f>
        <v>901336179.41411757</v>
      </c>
      <c r="AX30" s="250">
        <f ca="1">uroky!BI17*1000</f>
        <v>963114078.03616405</v>
      </c>
      <c r="AY30" s="250">
        <f ca="1">uroky!BJ17*1000</f>
        <v>1028339737.5452389</v>
      </c>
      <c r="AZ30" s="250">
        <f ca="1">uroky!BK17*1000</f>
        <v>1097095851.7588401</v>
      </c>
      <c r="BA30" s="250">
        <f ca="1">uroky!BL17*1000</f>
        <v>1169668561.1337745</v>
      </c>
    </row>
    <row r="31" spans="1:55" s="39" customFormat="1" x14ac:dyDescent="0.25">
      <c r="A31" s="68" t="s">
        <v>1126</v>
      </c>
      <c r="B31" s="242"/>
      <c r="C31" s="242"/>
      <c r="D31" s="242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2"/>
      <c r="P31" s="242"/>
      <c r="Q31" s="242"/>
      <c r="R31" s="242"/>
      <c r="S31" s="242"/>
      <c r="T31" s="242"/>
      <c r="U31" s="242"/>
      <c r="V31" s="242"/>
      <c r="W31" s="242"/>
      <c r="X31" s="242"/>
      <c r="Y31" s="242"/>
      <c r="Z31" s="242"/>
      <c r="AA31" s="242"/>
      <c r="AB31" s="242"/>
      <c r="AC31" s="242"/>
      <c r="AD31" s="242"/>
      <c r="AE31" s="242"/>
      <c r="AF31" s="242"/>
      <c r="AG31" s="242"/>
      <c r="AH31" s="242"/>
      <c r="AI31" s="242"/>
      <c r="AJ31" s="242"/>
      <c r="AK31" s="242"/>
      <c r="AL31" s="242"/>
      <c r="AM31" s="242"/>
      <c r="AN31" s="242"/>
      <c r="AO31" s="242"/>
      <c r="AP31" s="242"/>
      <c r="AQ31" s="242"/>
      <c r="AR31" s="242"/>
      <c r="AS31" s="242"/>
      <c r="AT31" s="242"/>
      <c r="AU31" s="242"/>
      <c r="AV31" s="242"/>
      <c r="AW31" s="242"/>
      <c r="AX31" s="242"/>
      <c r="AY31" s="242"/>
      <c r="AZ31" s="242"/>
      <c r="BA31" s="242"/>
    </row>
    <row r="32" spans="1:55" x14ac:dyDescent="0.25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</row>
    <row r="33" spans="1:53" x14ac:dyDescent="0.25">
      <c r="A33" s="444" t="s">
        <v>1125</v>
      </c>
      <c r="B33" s="444"/>
      <c r="C33" s="444"/>
      <c r="D33" s="444"/>
      <c r="E33" s="444"/>
      <c r="F33" s="444"/>
      <c r="G33" s="444"/>
      <c r="H33" s="444"/>
      <c r="I33" s="444"/>
      <c r="J33" s="444"/>
      <c r="K33" s="444"/>
      <c r="L33" s="444"/>
      <c r="M33" s="444"/>
      <c r="N33" s="444"/>
      <c r="O33" s="444"/>
      <c r="P33" s="444"/>
      <c r="Q33" s="444"/>
      <c r="R33" s="444"/>
      <c r="S33" s="444"/>
      <c r="T33" s="444"/>
      <c r="U33" s="444"/>
      <c r="V33" s="444"/>
      <c r="W33" s="444"/>
      <c r="X33" s="444"/>
      <c r="Y33" s="444"/>
      <c r="Z33" s="444"/>
      <c r="AA33" s="444"/>
      <c r="AB33" s="444"/>
      <c r="AC33" s="444"/>
      <c r="AD33" s="444"/>
      <c r="AE33" s="444"/>
      <c r="AF33" s="444"/>
      <c r="AG33" s="444"/>
      <c r="AH33" s="444"/>
      <c r="AI33" s="444"/>
      <c r="AJ33" s="444"/>
      <c r="AK33" s="444"/>
      <c r="AL33" s="444"/>
      <c r="AM33" s="444"/>
      <c r="AN33" s="444"/>
      <c r="AO33" s="444"/>
      <c r="AP33" s="444"/>
      <c r="AQ33" s="444"/>
      <c r="AR33" s="444"/>
      <c r="AS33" s="444"/>
      <c r="AT33" s="444"/>
      <c r="AU33" s="444"/>
      <c r="AV33" s="444"/>
      <c r="AW33" s="444"/>
      <c r="AX33" s="444"/>
      <c r="AY33" s="444"/>
      <c r="AZ33" s="444"/>
      <c r="BA33" s="444"/>
    </row>
    <row r="34" spans="1:53" x14ac:dyDescent="0.25">
      <c r="A34" s="148"/>
      <c r="B34" s="149">
        <v>2013</v>
      </c>
      <c r="C34" s="149" t="s">
        <v>1116</v>
      </c>
      <c r="D34" s="149">
        <v>2014</v>
      </c>
      <c r="E34" s="149">
        <v>2015</v>
      </c>
      <c r="F34" s="149">
        <v>2016</v>
      </c>
      <c r="G34" s="149">
        <v>2017</v>
      </c>
      <c r="H34" s="192">
        <f>G34+1</f>
        <v>2018</v>
      </c>
      <c r="I34" s="192">
        <f t="shared" ref="I34" si="14">H34+1</f>
        <v>2019</v>
      </c>
      <c r="J34" s="192">
        <f t="shared" ref="J34" si="15">I34+1</f>
        <v>2020</v>
      </c>
      <c r="K34" s="192">
        <f t="shared" ref="K34" si="16">J34+1</f>
        <v>2021</v>
      </c>
      <c r="L34" s="192">
        <f t="shared" ref="L34" si="17">K34+1</f>
        <v>2022</v>
      </c>
      <c r="M34" s="192">
        <f t="shared" ref="M34" si="18">L34+1</f>
        <v>2023</v>
      </c>
      <c r="N34" s="192">
        <f t="shared" ref="N34" si="19">M34+1</f>
        <v>2024</v>
      </c>
      <c r="O34" s="192">
        <f t="shared" ref="O34" si="20">N34+1</f>
        <v>2025</v>
      </c>
      <c r="P34" s="192">
        <f t="shared" ref="P34" si="21">O34+1</f>
        <v>2026</v>
      </c>
      <c r="Q34" s="192">
        <f t="shared" ref="Q34" si="22">P34+1</f>
        <v>2027</v>
      </c>
      <c r="R34" s="192">
        <f t="shared" ref="R34" si="23">Q34+1</f>
        <v>2028</v>
      </c>
      <c r="S34" s="192">
        <f t="shared" ref="S34" si="24">R34+1</f>
        <v>2029</v>
      </c>
      <c r="T34" s="192">
        <f t="shared" ref="T34" si="25">S34+1</f>
        <v>2030</v>
      </c>
      <c r="U34" s="192">
        <f t="shared" ref="U34" si="26">T34+1</f>
        <v>2031</v>
      </c>
      <c r="V34" s="192">
        <f t="shared" ref="V34" si="27">U34+1</f>
        <v>2032</v>
      </c>
      <c r="W34" s="192">
        <f t="shared" ref="W34" si="28">V34+1</f>
        <v>2033</v>
      </c>
      <c r="X34" s="192">
        <f t="shared" ref="X34" si="29">W34+1</f>
        <v>2034</v>
      </c>
      <c r="Y34" s="192">
        <f t="shared" ref="Y34" si="30">X34+1</f>
        <v>2035</v>
      </c>
      <c r="Z34" s="192">
        <f t="shared" ref="Z34" si="31">Y34+1</f>
        <v>2036</v>
      </c>
      <c r="AA34" s="192">
        <f t="shared" ref="AA34" si="32">Z34+1</f>
        <v>2037</v>
      </c>
      <c r="AB34" s="192">
        <f t="shared" ref="AB34" si="33">AA34+1</f>
        <v>2038</v>
      </c>
      <c r="AC34" s="192">
        <f t="shared" ref="AC34" si="34">AB34+1</f>
        <v>2039</v>
      </c>
      <c r="AD34" s="192">
        <f t="shared" ref="AD34" si="35">AC34+1</f>
        <v>2040</v>
      </c>
      <c r="AE34" s="192">
        <f t="shared" ref="AE34" si="36">AD34+1</f>
        <v>2041</v>
      </c>
      <c r="AF34" s="192">
        <f t="shared" ref="AF34" si="37">AE34+1</f>
        <v>2042</v>
      </c>
      <c r="AG34" s="192">
        <f t="shared" ref="AG34" si="38">AF34+1</f>
        <v>2043</v>
      </c>
      <c r="AH34" s="192">
        <f>AG34+1</f>
        <v>2044</v>
      </c>
      <c r="AI34" s="192">
        <f t="shared" ref="AI34" si="39">AH34+1</f>
        <v>2045</v>
      </c>
      <c r="AJ34" s="192">
        <f t="shared" ref="AJ34" si="40">AI34+1</f>
        <v>2046</v>
      </c>
      <c r="AK34" s="192">
        <f t="shared" ref="AK34" si="41">AJ34+1</f>
        <v>2047</v>
      </c>
      <c r="AL34" s="192">
        <f t="shared" ref="AL34" si="42">AK34+1</f>
        <v>2048</v>
      </c>
      <c r="AM34" s="192">
        <f t="shared" ref="AM34" si="43">AL34+1</f>
        <v>2049</v>
      </c>
      <c r="AN34" s="192">
        <f t="shared" ref="AN34" si="44">AM34+1</f>
        <v>2050</v>
      </c>
      <c r="AO34" s="192">
        <f t="shared" ref="AO34" si="45">AN34+1</f>
        <v>2051</v>
      </c>
      <c r="AP34" s="192">
        <f t="shared" ref="AP34" si="46">AO34+1</f>
        <v>2052</v>
      </c>
      <c r="AQ34" s="192">
        <f t="shared" ref="AQ34" si="47">AP34+1</f>
        <v>2053</v>
      </c>
      <c r="AR34" s="192">
        <f>AQ34+1</f>
        <v>2054</v>
      </c>
      <c r="AS34" s="192">
        <f t="shared" ref="AS34" si="48">AR34+1</f>
        <v>2055</v>
      </c>
      <c r="AT34" s="192">
        <f t="shared" ref="AT34" si="49">AS34+1</f>
        <v>2056</v>
      </c>
      <c r="AU34" s="192">
        <f t="shared" ref="AU34" si="50">AT34+1</f>
        <v>2057</v>
      </c>
      <c r="AV34" s="192">
        <f t="shared" ref="AV34" si="51">AU34+1</f>
        <v>2058</v>
      </c>
      <c r="AW34" s="192">
        <f t="shared" ref="AW34" si="52">AV34+1</f>
        <v>2059</v>
      </c>
      <c r="AX34" s="192">
        <f t="shared" ref="AX34" si="53">AW34+1</f>
        <v>2060</v>
      </c>
      <c r="AY34" s="192">
        <f t="shared" ref="AY34" si="54">AX34+1</f>
        <v>2061</v>
      </c>
      <c r="AZ34" s="192">
        <f t="shared" ref="AZ34" si="55">AY34+1</f>
        <v>2062</v>
      </c>
      <c r="BA34" s="192">
        <f t="shared" ref="BA34" si="56">AZ34+1</f>
        <v>2063</v>
      </c>
    </row>
    <row r="35" spans="1:53" x14ac:dyDescent="0.25">
      <c r="A35" s="70" t="s">
        <v>1023</v>
      </c>
      <c r="B35" s="73">
        <f>B3/DD_projekcie!E$59/10</f>
        <v>35.933414508120258</v>
      </c>
      <c r="C35" s="73">
        <f>C3/DD_projekcie!E$59/10</f>
        <v>35.140778977220066</v>
      </c>
      <c r="D35" s="73">
        <f>D3/DD_projekcie!F$59/10</f>
        <v>35.395264562182568</v>
      </c>
      <c r="E35" s="73">
        <f>E3/DD_projekcie!G$59/10</f>
        <v>34.377933478611062</v>
      </c>
      <c r="F35" s="73">
        <f>F3/DD_projekcie!H$59/10</f>
        <v>33.446448489809569</v>
      </c>
      <c r="G35" s="73">
        <f>G3/DD_projekcie!I$59/10</f>
        <v>33.21465257550274</v>
      </c>
      <c r="H35" s="73">
        <f>H3/DD_projekcie!J$59/10</f>
        <v>33.174497011070585</v>
      </c>
      <c r="I35" s="73">
        <f>I3/DD_projekcie!K$59/10</f>
        <v>33.136200856031046</v>
      </c>
      <c r="J35" s="73">
        <f>J3/DD_projekcie!L$59/10</f>
        <v>33.097298693841708</v>
      </c>
      <c r="K35" s="73">
        <f>K3/DD_projekcie!M$59/10</f>
        <v>33.060288319757817</v>
      </c>
      <c r="L35" s="73">
        <f>L3/DD_projekcie!N$59/10</f>
        <v>33.021698191362447</v>
      </c>
      <c r="M35" s="73">
        <f>M3/DD_projekcie!O$59/10</f>
        <v>32.989554276483837</v>
      </c>
      <c r="N35" s="73">
        <f>N3/DD_projekcie!P$59/10</f>
        <v>32.961108877788092</v>
      </c>
      <c r="O35" s="73">
        <f>O3/DD_projekcie!Q$59/10</f>
        <v>32.966219978339367</v>
      </c>
      <c r="P35" s="73">
        <f>P3/DD_projekcie!R$59/10</f>
        <v>32.957781681841041</v>
      </c>
      <c r="Q35" s="73">
        <f>Q3/DD_projekcie!S$59/10</f>
        <v>32.948266961521973</v>
      </c>
      <c r="R35" s="73">
        <f>R3/DD_projekcie!T$59/10</f>
        <v>32.950839870634908</v>
      </c>
      <c r="S35" s="73">
        <f>S3/DD_projekcie!U$59/10</f>
        <v>32.952762756846155</v>
      </c>
      <c r="T35" s="73">
        <f>T3/DD_projekcie!V$59/10</f>
        <v>32.9604148903828</v>
      </c>
      <c r="U35" s="73">
        <f>U3/DD_projekcie!W$59/10</f>
        <v>32.971522310099047</v>
      </c>
      <c r="V35" s="73">
        <f>V3/DD_projekcie!X$59/10</f>
        <v>32.98391341860453</v>
      </c>
      <c r="W35" s="73">
        <f>W3/DD_projekcie!Y$59/10</f>
        <v>32.99743700885621</v>
      </c>
      <c r="X35" s="73">
        <f>X3/DD_projekcie!Z$59/10</f>
        <v>33.011618372963667</v>
      </c>
      <c r="Y35" s="73">
        <f>Y3/DD_projekcie!AA$59/10</f>
        <v>33.025746765124822</v>
      </c>
      <c r="Z35" s="73">
        <f>Z3/DD_projekcie!AB$59/10</f>
        <v>33.03275754958937</v>
      </c>
      <c r="AA35" s="73">
        <f>AA3/DD_projekcie!AC$59/10</f>
        <v>33.051619992234798</v>
      </c>
      <c r="AB35" s="73">
        <f>AB3/DD_projekcie!AD$59/10</f>
        <v>33.06567376292427</v>
      </c>
      <c r="AC35" s="73">
        <f>AC3/DD_projekcie!AE$59/10</f>
        <v>33.079620177444184</v>
      </c>
      <c r="AD35" s="73">
        <f>AD3/DD_projekcie!AF$59/10</f>
        <v>33.09860457613317</v>
      </c>
      <c r="AE35" s="73">
        <f>AE3/DD_projekcie!AG$59/10</f>
        <v>33.109146241028498</v>
      </c>
      <c r="AF35" s="73">
        <f>AF3/DD_projekcie!AH$59/10</f>
        <v>33.081280502222896</v>
      </c>
      <c r="AG35" s="73">
        <f>AG3/DD_projekcie!AI$59/10</f>
        <v>33.091086485869276</v>
      </c>
      <c r="AH35" s="73">
        <f>AH3/DD_projekcie!AJ$59/10</f>
        <v>33.10054785122653</v>
      </c>
      <c r="AI35" s="73">
        <f>AI3/DD_projekcie!AK$59/10</f>
        <v>33.119937652352753</v>
      </c>
      <c r="AJ35" s="73">
        <f>AJ3/DD_projekcie!AL$59/10</f>
        <v>33.140954584963808</v>
      </c>
      <c r="AK35" s="73">
        <f>AK3/DD_projekcie!AM$59/10</f>
        <v>33.162540734493348</v>
      </c>
      <c r="AL35" s="73">
        <f>AL3/DD_projekcie!AN$59/10</f>
        <v>33.182130484906004</v>
      </c>
      <c r="AM35" s="73">
        <f>AM3/DD_projekcie!AO$59/10</f>
        <v>33.199885053296185</v>
      </c>
      <c r="AN35" s="73">
        <f>AN3/DD_projekcie!AP$59/10</f>
        <v>33.215093648331717</v>
      </c>
      <c r="AO35" s="73">
        <f>AO3/DD_projekcie!AQ$59/10</f>
        <v>33.226105126036096</v>
      </c>
      <c r="AP35" s="73">
        <f>AP3/DD_projekcie!AR$59/10</f>
        <v>33.229875969751824</v>
      </c>
      <c r="AQ35" s="73">
        <f>AQ3/DD_projekcie!AS$59/10</f>
        <v>33.241049622635288</v>
      </c>
      <c r="AR35" s="73">
        <f>AR3/DD_projekcie!AT$59/10</f>
        <v>33.235806454407864</v>
      </c>
      <c r="AS35" s="73">
        <f>AS3/DD_projekcie!AU$59/10</f>
        <v>33.232363893287314</v>
      </c>
      <c r="AT35" s="73">
        <f>AT3/DD_projekcie!AV$59/10</f>
        <v>33.233491627089187</v>
      </c>
      <c r="AU35" s="73">
        <f>AU3/DD_projekcie!AW$59/10</f>
        <v>33.236520314455802</v>
      </c>
      <c r="AV35" s="73">
        <f>AV3/DD_projekcie!AX$59/10</f>
        <v>33.238894330748579</v>
      </c>
      <c r="AW35" s="73">
        <f>AW3/DD_projekcie!AY$59/10</f>
        <v>33.240647967431549</v>
      </c>
      <c r="AX35" s="73">
        <f>AX3/DD_projekcie!AZ$59/10</f>
        <v>33.240499061782273</v>
      </c>
      <c r="AY35" s="73">
        <f>AY3/DD_projekcie!BA$59/10</f>
        <v>33.239614586364027</v>
      </c>
      <c r="AZ35" s="73">
        <f>AZ3/DD_projekcie!BB$59/10</f>
        <v>33.240339598772735</v>
      </c>
      <c r="BA35" s="73">
        <f>BA3/DD_projekcie!BC$59/10</f>
        <v>33.24139219789766</v>
      </c>
    </row>
    <row r="36" spans="1:53" x14ac:dyDescent="0.25">
      <c r="A36" s="68" t="s">
        <v>61</v>
      </c>
      <c r="B36" s="75">
        <f>B4/DD_projekcie!E$59/10</f>
        <v>16.270656238843657</v>
      </c>
      <c r="C36" s="75">
        <f>C4/DD_projekcie!E$59/10</f>
        <v>15.938002285371033</v>
      </c>
      <c r="D36" s="75">
        <f>D4/DD_projekcie!F$59/10</f>
        <v>16.007876983817006</v>
      </c>
      <c r="E36" s="75">
        <f>E4/DD_projekcie!G$59/10</f>
        <v>15.440668944586275</v>
      </c>
      <c r="F36" s="75">
        <f>F4/DD_projekcie!H$59/10</f>
        <v>15.266132458507752</v>
      </c>
      <c r="G36" s="75">
        <f>G4/DD_projekcie!I$59/10</f>
        <v>15.005170231564946</v>
      </c>
      <c r="H36" s="75">
        <f>H4/DD_projekcie!J$59/10</f>
        <v>15.00517023156495</v>
      </c>
      <c r="I36" s="75">
        <f>I4/DD_projekcie!K$59/10</f>
        <v>15.00517023156495</v>
      </c>
      <c r="J36" s="75">
        <f>J4/DD_projekcie!L$59/10</f>
        <v>15.005170231564946</v>
      </c>
      <c r="K36" s="75">
        <f>K4/DD_projekcie!M$59/10</f>
        <v>15.005170231564946</v>
      </c>
      <c r="L36" s="75">
        <f>L4/DD_projekcie!N$59/10</f>
        <v>15.00517023156495</v>
      </c>
      <c r="M36" s="75">
        <f>M4/DD_projekcie!O$59/10</f>
        <v>15.00517023156495</v>
      </c>
      <c r="N36" s="75">
        <f>N4/DD_projekcie!P$59/10</f>
        <v>15.00517023156495</v>
      </c>
      <c r="O36" s="75">
        <f>O4/DD_projekcie!Q$59/10</f>
        <v>15.00517023156495</v>
      </c>
      <c r="P36" s="75">
        <f>P4/DD_projekcie!R$59/10</f>
        <v>15.005170231564952</v>
      </c>
      <c r="Q36" s="75">
        <f>Q4/DD_projekcie!S$59/10</f>
        <v>15.005170231564952</v>
      </c>
      <c r="R36" s="75">
        <f>R4/DD_projekcie!T$59/10</f>
        <v>15.00517023156495</v>
      </c>
      <c r="S36" s="75">
        <f>S4/DD_projekcie!U$59/10</f>
        <v>15.00517023156495</v>
      </c>
      <c r="T36" s="75">
        <f>T4/DD_projekcie!V$59/10</f>
        <v>15.005170231564946</v>
      </c>
      <c r="U36" s="75">
        <f>U4/DD_projekcie!W$59/10</f>
        <v>15.005170231564946</v>
      </c>
      <c r="V36" s="75">
        <f>V4/DD_projekcie!X$59/10</f>
        <v>15.005170231564946</v>
      </c>
      <c r="W36" s="75">
        <f>W4/DD_projekcie!Y$59/10</f>
        <v>15.005170231564946</v>
      </c>
      <c r="X36" s="75">
        <f>X4/DD_projekcie!Z$59/10</f>
        <v>15.005170231564946</v>
      </c>
      <c r="Y36" s="75">
        <f>Y4/DD_projekcie!AA$59/10</f>
        <v>15.005170231564946</v>
      </c>
      <c r="Z36" s="75">
        <f>Z4/DD_projekcie!AB$59/10</f>
        <v>15.005170231564943</v>
      </c>
      <c r="AA36" s="75">
        <f>AA4/DD_projekcie!AC$59/10</f>
        <v>15.005170231564943</v>
      </c>
      <c r="AB36" s="75">
        <f>AB4/DD_projekcie!AD$59/10</f>
        <v>15.005170231564943</v>
      </c>
      <c r="AC36" s="75">
        <f>AC4/DD_projekcie!AE$59/10</f>
        <v>15.005170231564941</v>
      </c>
      <c r="AD36" s="75">
        <f>AD4/DD_projekcie!AF$59/10</f>
        <v>15.005170231564941</v>
      </c>
      <c r="AE36" s="75">
        <f>AE4/DD_projekcie!AG$59/10</f>
        <v>15.005170231564941</v>
      </c>
      <c r="AF36" s="75">
        <f>AF4/DD_projekcie!AH$59/10</f>
        <v>15.005170231564941</v>
      </c>
      <c r="AG36" s="75">
        <f>AG4/DD_projekcie!AI$59/10</f>
        <v>15.005170231564941</v>
      </c>
      <c r="AH36" s="75">
        <f>AH4/DD_projekcie!AJ$59/10</f>
        <v>15.005170231564938</v>
      </c>
      <c r="AI36" s="75">
        <f>AI4/DD_projekcie!AK$59/10</f>
        <v>15.005170231564938</v>
      </c>
      <c r="AJ36" s="75">
        <f>AJ4/DD_projekcie!AL$59/10</f>
        <v>15.005170231564936</v>
      </c>
      <c r="AK36" s="75">
        <f>AK4/DD_projekcie!AM$59/10</f>
        <v>15.005170231564932</v>
      </c>
      <c r="AL36" s="75">
        <f>AL4/DD_projekcie!AN$59/10</f>
        <v>15.005170231564932</v>
      </c>
      <c r="AM36" s="75">
        <f>AM4/DD_projekcie!AO$59/10</f>
        <v>15.005170231564932</v>
      </c>
      <c r="AN36" s="75">
        <f>AN4/DD_projekcie!AP$59/10</f>
        <v>15.005170231564929</v>
      </c>
      <c r="AO36" s="75">
        <f>AO4/DD_projekcie!AQ$59/10</f>
        <v>15.005170231564929</v>
      </c>
      <c r="AP36" s="75">
        <f>AP4/DD_projekcie!AR$59/10</f>
        <v>15.005170231564932</v>
      </c>
      <c r="AQ36" s="75">
        <f>AQ4/DD_projekcie!AS$59/10</f>
        <v>15.005170231564932</v>
      </c>
      <c r="AR36" s="75">
        <f>AR4/DD_projekcie!AT$59/10</f>
        <v>15.005170231564932</v>
      </c>
      <c r="AS36" s="75">
        <f>AS4/DD_projekcie!AU$59/10</f>
        <v>15.005170231564932</v>
      </c>
      <c r="AT36" s="75">
        <f>AT4/DD_projekcie!AV$59/10</f>
        <v>15.005170231564936</v>
      </c>
      <c r="AU36" s="75">
        <f>AU4/DD_projekcie!AW$59/10</f>
        <v>15.005170231564936</v>
      </c>
      <c r="AV36" s="75">
        <f>AV4/DD_projekcie!AX$59/10</f>
        <v>15.005170231564932</v>
      </c>
      <c r="AW36" s="75">
        <f>AW4/DD_projekcie!AY$59/10</f>
        <v>15.005170231564932</v>
      </c>
      <c r="AX36" s="75">
        <f>AX4/DD_projekcie!AZ$59/10</f>
        <v>15.005170231564932</v>
      </c>
      <c r="AY36" s="75">
        <f>AY4/DD_projekcie!BA$59/10</f>
        <v>15.005170231564932</v>
      </c>
      <c r="AZ36" s="75">
        <f>AZ4/DD_projekcie!BB$59/10</f>
        <v>15.005170231564932</v>
      </c>
      <c r="BA36" s="75">
        <f>BA4/DD_projekcie!BC$59/10</f>
        <v>15.005170231564932</v>
      </c>
    </row>
    <row r="37" spans="1:53" x14ac:dyDescent="0.25">
      <c r="A37" s="68" t="s">
        <v>1024</v>
      </c>
      <c r="B37" s="75">
        <f>B5/DD_projekcie!E$59/10</f>
        <v>13.765203396184191</v>
      </c>
      <c r="C37" s="75">
        <f>C5/DD_projekcie!E$59/10</f>
        <v>13.765203396184191</v>
      </c>
      <c r="D37" s="75">
        <f>D5/DD_projekcie!F$59/10</f>
        <v>13.629282250229659</v>
      </c>
      <c r="E37" s="75">
        <f>E5/DD_projekcie!G$59/10</f>
        <v>13.546253744735433</v>
      </c>
      <c r="F37" s="75">
        <f>F5/DD_projekcie!H$59/10</f>
        <v>13.454337493836295</v>
      </c>
      <c r="G37" s="75">
        <f>G5/DD_projekcie!I$59/10</f>
        <v>13.39012696708167</v>
      </c>
      <c r="H37" s="75">
        <f>H5/DD_projekcie!J$59/10</f>
        <v>13.359792352837733</v>
      </c>
      <c r="I37" s="75">
        <f>I5/DD_projekcie!K$59/10</f>
        <v>13.331342588149024</v>
      </c>
      <c r="J37" s="75">
        <f>J5/DD_projekcie!L$59/10</f>
        <v>13.305145008290847</v>
      </c>
      <c r="K37" s="75">
        <f>K5/DD_projekcie!M$59/10</f>
        <v>13.280304260234081</v>
      </c>
      <c r="L37" s="75">
        <f>L5/DD_projekcie!N$59/10</f>
        <v>13.25451006970016</v>
      </c>
      <c r="M37" s="75">
        <f>M5/DD_projekcie!O$59/10</f>
        <v>13.23338529496759</v>
      </c>
      <c r="N37" s="75">
        <f>N5/DD_projekcie!P$59/10</f>
        <v>13.215272387752467</v>
      </c>
      <c r="O37" s="75">
        <f>O5/DD_projekcie!Q$59/10</f>
        <v>13.230038622132572</v>
      </c>
      <c r="P37" s="75">
        <f>P5/DD_projekcie!R$59/10</f>
        <v>13.245944750242401</v>
      </c>
      <c r="Q37" s="75">
        <f>Q5/DD_projekcie!S$59/10</f>
        <v>13.262446207911804</v>
      </c>
      <c r="R37" s="75">
        <f>R5/DD_projekcie!T$59/10</f>
        <v>13.276478359442994</v>
      </c>
      <c r="S37" s="75">
        <f>S5/DD_projekcie!U$59/10</f>
        <v>13.285128797168047</v>
      </c>
      <c r="T37" s="75">
        <f>T5/DD_projekcie!V$59/10</f>
        <v>13.299814027479323</v>
      </c>
      <c r="U37" s="75">
        <f>U5/DD_projekcie!W$59/10</f>
        <v>13.315970679322835</v>
      </c>
      <c r="V37" s="75">
        <f>V5/DD_projekcie!X$59/10</f>
        <v>13.333286591872252</v>
      </c>
      <c r="W37" s="75">
        <f>W5/DD_projekcie!Y$59/10</f>
        <v>13.351805054195353</v>
      </c>
      <c r="X37" s="75">
        <f>X5/DD_projekcie!Z$59/10</f>
        <v>13.371605205825343</v>
      </c>
      <c r="Y37" s="75">
        <f>Y5/DD_projekcie!AA$59/10</f>
        <v>13.389774334844407</v>
      </c>
      <c r="Z37" s="75">
        <f>Z5/DD_projekcie!AB$59/10</f>
        <v>13.400795263557537</v>
      </c>
      <c r="AA37" s="75">
        <f>AA5/DD_projekcie!AC$59/10</f>
        <v>13.423740257068633</v>
      </c>
      <c r="AB37" s="75">
        <f>AB5/DD_projekcie!AD$59/10</f>
        <v>13.44250177576933</v>
      </c>
      <c r="AC37" s="75">
        <f>AC5/DD_projekcie!AE$59/10</f>
        <v>13.471100301270591</v>
      </c>
      <c r="AD37" s="75">
        <f>AD5/DD_projekcie!AF$59/10</f>
        <v>13.496933919375754</v>
      </c>
      <c r="AE37" s="75">
        <f>AE5/DD_projekcie!AG$59/10</f>
        <v>13.522646133009923</v>
      </c>
      <c r="AF37" s="75">
        <f>AF5/DD_projekcie!AH$59/10</f>
        <v>13.548300887825196</v>
      </c>
      <c r="AG37" s="75">
        <f>AG5/DD_projekcie!AI$59/10</f>
        <v>13.569130221729585</v>
      </c>
      <c r="AH37" s="75">
        <f>AH5/DD_projekcie!AJ$59/10</f>
        <v>13.580863836253465</v>
      </c>
      <c r="AI37" s="75">
        <f>AI5/DD_projekcie!AK$59/10</f>
        <v>13.602212153828074</v>
      </c>
      <c r="AJ37" s="75">
        <f>AJ5/DD_projekcie!AL$59/10</f>
        <v>13.625820236280465</v>
      </c>
      <c r="AK37" s="75">
        <f>AK5/DD_projekcie!AM$59/10</f>
        <v>13.648713259334254</v>
      </c>
      <c r="AL37" s="75">
        <f>AL5/DD_projekcie!AN$59/10</f>
        <v>13.669792565184485</v>
      </c>
      <c r="AM37" s="75">
        <f>AM5/DD_projekcie!AO$59/10</f>
        <v>13.689209717135046</v>
      </c>
      <c r="AN37" s="75">
        <f>AN5/DD_projekcie!AP$59/10</f>
        <v>13.706721230598003</v>
      </c>
      <c r="AO37" s="75">
        <f>AO5/DD_projekcie!AQ$59/10</f>
        <v>13.718827590833968</v>
      </c>
      <c r="AP37" s="75">
        <f>AP5/DD_projekcie!AR$59/10</f>
        <v>13.723891329579356</v>
      </c>
      <c r="AQ37" s="75">
        <f>AQ5/DD_projekcie!AS$59/10</f>
        <v>13.736540253123172</v>
      </c>
      <c r="AR37" s="75">
        <f>AR5/DD_projekcie!AT$59/10</f>
        <v>13.742365688295317</v>
      </c>
      <c r="AS37" s="75">
        <f>AS5/DD_projekcie!AU$59/10</f>
        <v>13.752904270960162</v>
      </c>
      <c r="AT37" s="75">
        <f>AT5/DD_projekcie!AV$59/10</f>
        <v>13.75829855316006</v>
      </c>
      <c r="AU37" s="75">
        <f>AU5/DD_projekcie!AW$59/10</f>
        <v>13.762448871931459</v>
      </c>
      <c r="AV37" s="75">
        <f>AV5/DD_projekcie!AX$59/10</f>
        <v>13.765918751108686</v>
      </c>
      <c r="AW37" s="75">
        <f>AW5/DD_projekcie!AY$59/10</f>
        <v>13.768743549092369</v>
      </c>
      <c r="AX37" s="75">
        <f>AX5/DD_projekcie!AZ$59/10</f>
        <v>13.769639887935568</v>
      </c>
      <c r="AY37" s="75">
        <f>AY5/DD_projekcie!BA$59/10</f>
        <v>13.769799212112488</v>
      </c>
      <c r="AZ37" s="75">
        <f>AZ5/DD_projekcie!BB$59/10</f>
        <v>13.771566581388925</v>
      </c>
      <c r="BA37" s="75">
        <f>BA5/DD_projekcie!BC$59/10</f>
        <v>13.773660096819032</v>
      </c>
    </row>
    <row r="38" spans="1:53" x14ac:dyDescent="0.25">
      <c r="A38" s="68" t="s">
        <v>1033</v>
      </c>
      <c r="B38" s="75">
        <f>B6/DD_projekcie!E$59/10</f>
        <v>7.5930688792871752</v>
      </c>
      <c r="C38" s="75">
        <f>C6/DD_projekcie!E$59/10</f>
        <v>7.5930688792871752</v>
      </c>
      <c r="D38" s="75">
        <f>D6/DD_projekcie!F$59/10</f>
        <v>7.5587572140963291</v>
      </c>
      <c r="E38" s="75">
        <f>E6/DD_projekcie!G$59/10</f>
        <v>7.5286634386637576</v>
      </c>
      <c r="F38" s="75">
        <f>F6/DD_projekcie!H$59/10</f>
        <v>7.4868918531859734</v>
      </c>
      <c r="G38" s="75">
        <f>G6/DD_projekcie!I$59/10</f>
        <v>7.460270174100236</v>
      </c>
      <c r="H38" s="75">
        <f>H6/DD_projekcie!J$59/10</f>
        <v>7.4301612363353033</v>
      </c>
      <c r="I38" s="75">
        <f>I6/DD_projekcie!K$59/10</f>
        <v>7.402141304910872</v>
      </c>
      <c r="J38" s="75">
        <f>J6/DD_projekcie!L$59/10</f>
        <v>7.3765375700930322</v>
      </c>
      <c r="K38" s="75">
        <f>K6/DD_projekcie!M$59/10</f>
        <v>7.3521282573972986</v>
      </c>
      <c r="L38" s="75">
        <f>L6/DD_projekcie!N$59/10</f>
        <v>7.3267430354648679</v>
      </c>
      <c r="M38" s="75">
        <f>M6/DD_projekcie!O$59/10</f>
        <v>7.3060893965420322</v>
      </c>
      <c r="N38" s="75">
        <f>N6/DD_projekcie!P$59/10</f>
        <v>7.2885612863959279</v>
      </c>
      <c r="O38" s="75">
        <f>O6/DD_projekcie!Q$59/10</f>
        <v>7.3040100000948254</v>
      </c>
      <c r="P38" s="75">
        <f>P6/DD_projekcie!R$59/10</f>
        <v>7.3206146168174344</v>
      </c>
      <c r="Q38" s="75">
        <f>Q6/DD_projekcie!S$59/10</f>
        <v>7.3376622836718015</v>
      </c>
      <c r="R38" s="75">
        <f>R6/DD_projekcie!T$59/10</f>
        <v>7.3520065268741757</v>
      </c>
      <c r="S38" s="75">
        <f>S6/DD_projekcie!U$59/10</f>
        <v>7.3607746418560698</v>
      </c>
      <c r="T38" s="75">
        <f>T6/DD_projekcie!V$59/10</f>
        <v>7.3753146363124049</v>
      </c>
      <c r="U38" s="75">
        <f>U6/DD_projekcie!W$59/10</f>
        <v>7.3909311592867422</v>
      </c>
      <c r="V38" s="75">
        <f>V6/DD_projekcie!X$59/10</f>
        <v>7.4076210465540271</v>
      </c>
      <c r="W38" s="75">
        <f>W6/DD_projekcie!Y$59/10</f>
        <v>7.4254257547942872</v>
      </c>
      <c r="X38" s="75">
        <f>X6/DD_projekcie!Z$59/10</f>
        <v>7.4444023400662074</v>
      </c>
      <c r="Y38" s="75">
        <f>Y6/DD_projekcie!AA$59/10</f>
        <v>7.4616051509353856</v>
      </c>
      <c r="Z38" s="75">
        <f>Z6/DD_projekcie!AB$59/10</f>
        <v>7.4714988626186649</v>
      </c>
      <c r="AA38" s="75">
        <f>AA6/DD_projekcie!AC$59/10</f>
        <v>7.4931841916078614</v>
      </c>
      <c r="AB38" s="75">
        <f>AB6/DD_projekcie!AD$59/10</f>
        <v>7.5105954677256834</v>
      </c>
      <c r="AC38" s="75">
        <f>AC6/DD_projekcie!AE$59/10</f>
        <v>7.5377522774094148</v>
      </c>
      <c r="AD38" s="75">
        <f>AD6/DD_projekcie!AF$59/10</f>
        <v>7.5620652849411316</v>
      </c>
      <c r="AE38" s="75">
        <f>AE6/DD_projekcie!AG$59/10</f>
        <v>7.5861485397206634</v>
      </c>
      <c r="AF38" s="75">
        <f>AF6/DD_projekcie!AH$59/10</f>
        <v>7.610099686984154</v>
      </c>
      <c r="AG38" s="75">
        <f>AG6/DD_projekcie!AI$59/10</f>
        <v>7.6291639807548375</v>
      </c>
      <c r="AH38" s="75">
        <f>AH6/DD_projekcie!AJ$59/10</f>
        <v>7.6390663166919293</v>
      </c>
      <c r="AI38" s="75">
        <f>AI6/DD_projekcie!AK$59/10</f>
        <v>7.6585440203871613</v>
      </c>
      <c r="AJ38" s="75">
        <f>AJ6/DD_projekcie!AL$59/10</f>
        <v>7.6802223969570491</v>
      </c>
      <c r="AK38" s="75">
        <f>AK6/DD_projekcie!AM$59/10</f>
        <v>7.7011446287845384</v>
      </c>
      <c r="AL38" s="75">
        <f>AL6/DD_projekcie!AN$59/10</f>
        <v>7.7202520655155258</v>
      </c>
      <c r="AM38" s="75">
        <f>AM6/DD_projekcie!AO$59/10</f>
        <v>7.7377265350321078</v>
      </c>
      <c r="AN38" s="75">
        <f>AN6/DD_projekcie!AP$59/10</f>
        <v>7.7533252109747437</v>
      </c>
      <c r="AO38" s="75">
        <f>AO6/DD_projekcie!AQ$59/10</f>
        <v>7.763561855382223</v>
      </c>
      <c r="AP38" s="75">
        <f>AP6/DD_projekcie!AR$59/10</f>
        <v>7.7668125326594311</v>
      </c>
      <c r="AQ38" s="75">
        <f>AQ6/DD_projekcie!AS$59/10</f>
        <v>7.7777065205710603</v>
      </c>
      <c r="AR38" s="75">
        <f>AR6/DD_projekcie!AT$59/10</f>
        <v>7.7818898583393761</v>
      </c>
      <c r="AS38" s="75">
        <f>AS6/DD_projekcie!AU$59/10</f>
        <v>7.7908937733778902</v>
      </c>
      <c r="AT38" s="75">
        <f>AT6/DD_projekcie!AV$59/10</f>
        <v>7.7948794633858283</v>
      </c>
      <c r="AU38" s="75">
        <f>AU6/DD_projekcie!AW$59/10</f>
        <v>7.7977649559996394</v>
      </c>
      <c r="AV38" s="75">
        <f>AV6/DD_projekcie!AX$59/10</f>
        <v>7.8001113025336437</v>
      </c>
      <c r="AW38" s="75">
        <f>AW6/DD_projekcie!AY$59/10</f>
        <v>7.8019651549885882</v>
      </c>
      <c r="AX38" s="75">
        <f>AX6/DD_projekcie!AZ$59/10</f>
        <v>7.802073690206174</v>
      </c>
      <c r="AY38" s="75">
        <f>AY6/DD_projekcie!BA$59/10</f>
        <v>7.8003707974010705</v>
      </c>
      <c r="AZ38" s="75">
        <f>AZ6/DD_projekcie!BB$59/10</f>
        <v>7.8006851500046821</v>
      </c>
      <c r="BA38" s="75">
        <f>BA6/DD_projekcie!BC$59/10</f>
        <v>7.8016085734341276</v>
      </c>
    </row>
    <row r="39" spans="1:53" x14ac:dyDescent="0.25">
      <c r="A39" s="68" t="s">
        <v>1028</v>
      </c>
      <c r="B39" s="75">
        <f>B7/DD_projekcie!E$59/10</f>
        <v>0.24151511038897439</v>
      </c>
      <c r="C39" s="75">
        <f>C7/DD_projekcie!E$59/10</f>
        <v>0.24151511038897439</v>
      </c>
      <c r="D39" s="75">
        <f>D7/DD_projekcie!F$59/10</f>
        <v>0.26380956113024318</v>
      </c>
      <c r="E39" s="75">
        <f>E7/DD_projekcie!G$59/10</f>
        <v>0.26490510067496764</v>
      </c>
      <c r="F39" s="75">
        <f>F7/DD_projekcie!H$59/10</f>
        <v>0.26535442429793227</v>
      </c>
      <c r="G39" s="75">
        <f>G7/DD_projekcie!I$59/10</f>
        <v>0.26565416946647796</v>
      </c>
      <c r="H39" s="75">
        <f>H7/DD_projekcie!J$59/10</f>
        <v>0.26542849298747401</v>
      </c>
      <c r="I39" s="75">
        <f>I7/DD_projekcie!K$59/10</f>
        <v>0.26499865972319664</v>
      </c>
      <c r="J39" s="75">
        <f>J7/DD_projekcie!L$59/10</f>
        <v>0.2644048146828592</v>
      </c>
      <c r="K39" s="75">
        <f>K7/DD_projekcie!M$59/10</f>
        <v>0.2639733793218263</v>
      </c>
      <c r="L39" s="75">
        <f>L7/DD_projekcie!N$59/10</f>
        <v>0.26356441072033643</v>
      </c>
      <c r="M39" s="75">
        <f>M7/DD_projekcie!O$59/10</f>
        <v>0.26309327491060214</v>
      </c>
      <c r="N39" s="75">
        <f>N7/DD_projekcie!P$59/10</f>
        <v>0.26250847784158232</v>
      </c>
      <c r="O39" s="75">
        <f>O7/DD_projekcie!Q$59/10</f>
        <v>0.26182599852278876</v>
      </c>
      <c r="P39" s="75">
        <f>P7/DD_projekcie!R$59/10</f>
        <v>0.26112750991001188</v>
      </c>
      <c r="Q39" s="75">
        <f>Q7/DD_projekcie!S$59/10</f>
        <v>0.26058130072504698</v>
      </c>
      <c r="R39" s="75">
        <f>R7/DD_projekcie!T$59/10</f>
        <v>0.26026920905386158</v>
      </c>
      <c r="S39" s="75">
        <f>S7/DD_projekcie!U$59/10</f>
        <v>0.26015153179702322</v>
      </c>
      <c r="T39" s="75">
        <f>T7/DD_projekcie!V$59/10</f>
        <v>0.26029676765196369</v>
      </c>
      <c r="U39" s="75">
        <f>U7/DD_projekcie!W$59/10</f>
        <v>0.26083689652113351</v>
      </c>
      <c r="V39" s="75">
        <f>V7/DD_projekcie!X$59/10</f>
        <v>0.26146292180326969</v>
      </c>
      <c r="W39" s="75">
        <f>W7/DD_projekcie!Y$59/10</f>
        <v>0.26217667588610932</v>
      </c>
      <c r="X39" s="75">
        <f>X7/DD_projekcie!Z$59/10</f>
        <v>0.26300024224418073</v>
      </c>
      <c r="Y39" s="75">
        <f>Y7/DD_projekcie!AA$59/10</f>
        <v>0.26396656039406591</v>
      </c>
      <c r="Z39" s="75">
        <f>Z7/DD_projekcie!AB$59/10</f>
        <v>0.26509377742391838</v>
      </c>
      <c r="AA39" s="75">
        <f>AA7/DD_projekcie!AC$59/10</f>
        <v>0.26635344194581395</v>
      </c>
      <c r="AB39" s="75">
        <f>AB7/DD_projekcie!AD$59/10</f>
        <v>0.26770368452869159</v>
      </c>
      <c r="AC39" s="75">
        <f>AC7/DD_projekcie!AE$59/10</f>
        <v>0.26914540034622136</v>
      </c>
      <c r="AD39" s="75">
        <f>AD7/DD_projekcie!AF$59/10</f>
        <v>0.27066601091966802</v>
      </c>
      <c r="AE39" s="75">
        <f>AE7/DD_projekcie!AG$59/10</f>
        <v>0.27229496977430168</v>
      </c>
      <c r="AF39" s="75">
        <f>AF7/DD_projekcie!AH$59/10</f>
        <v>0.27399857732608479</v>
      </c>
      <c r="AG39" s="75">
        <f>AG7/DD_projekcie!AI$59/10</f>
        <v>0.27576361745979133</v>
      </c>
      <c r="AH39" s="75">
        <f>AH7/DD_projekcie!AJ$59/10</f>
        <v>0.27759489604657989</v>
      </c>
      <c r="AI39" s="75">
        <f>AI7/DD_projekcie!AK$59/10</f>
        <v>0.2794655099259532</v>
      </c>
      <c r="AJ39" s="75">
        <f>AJ7/DD_projekcie!AL$59/10</f>
        <v>0.28139521580845706</v>
      </c>
      <c r="AK39" s="75">
        <f>AK7/DD_projekcie!AM$59/10</f>
        <v>0.28336600703475956</v>
      </c>
      <c r="AL39" s="75">
        <f>AL7/DD_projekcie!AN$59/10</f>
        <v>0.28533787615400297</v>
      </c>
      <c r="AM39" s="75">
        <f>AM7/DD_projekcie!AO$59/10</f>
        <v>0.28728055858798035</v>
      </c>
      <c r="AN39" s="75">
        <f>AN7/DD_projekcie!AP$59/10</f>
        <v>0.28919339610830469</v>
      </c>
      <c r="AO39" s="75">
        <f>AO7/DD_projekcie!AQ$59/10</f>
        <v>0.29106311193678663</v>
      </c>
      <c r="AP39" s="75">
        <f>AP7/DD_projekcie!AR$59/10</f>
        <v>0.29287617340496996</v>
      </c>
      <c r="AQ39" s="75">
        <f>AQ7/DD_projekcie!AS$59/10</f>
        <v>0.29463110903715795</v>
      </c>
      <c r="AR39" s="75">
        <f>AR7/DD_projekcie!AT$59/10</f>
        <v>0.29627320644098204</v>
      </c>
      <c r="AS39" s="75">
        <f>AS7/DD_projekcie!AU$59/10</f>
        <v>0.29780787406731485</v>
      </c>
      <c r="AT39" s="75">
        <f>AT7/DD_projekcie!AV$59/10</f>
        <v>0.29921646625927256</v>
      </c>
      <c r="AU39" s="75">
        <f>AU7/DD_projekcie!AW$59/10</f>
        <v>0.30048129241686494</v>
      </c>
      <c r="AV39" s="75">
        <f>AV7/DD_projekcie!AX$59/10</f>
        <v>0.30160482506008335</v>
      </c>
      <c r="AW39" s="75">
        <f>AW7/DD_projekcie!AY$59/10</f>
        <v>0.30257577058882401</v>
      </c>
      <c r="AX39" s="75">
        <f>AX7/DD_projekcie!AZ$59/10</f>
        <v>0.30336357421443688</v>
      </c>
      <c r="AY39" s="75">
        <f>AY7/DD_projekcie!BA$59/10</f>
        <v>0.30522579119645976</v>
      </c>
      <c r="AZ39" s="75">
        <f>AZ7/DD_projekcie!BB$59/10</f>
        <v>0.30667880786928714</v>
      </c>
      <c r="BA39" s="75">
        <f>BA7/DD_projekcie!BC$59/10</f>
        <v>0.3078488998699449</v>
      </c>
    </row>
    <row r="40" spans="1:53" x14ac:dyDescent="0.25">
      <c r="A40" s="68" t="s">
        <v>1029</v>
      </c>
      <c r="B40" s="75">
        <f>B8/DD_projekcie!E$59/10</f>
        <v>5.9306194065080424</v>
      </c>
      <c r="C40" s="75">
        <f>C8/DD_projekcie!E$59/10</f>
        <v>5.9306194065080424</v>
      </c>
      <c r="D40" s="75">
        <f>D8/DD_projekcie!F$59/10</f>
        <v>5.8067154750030863</v>
      </c>
      <c r="E40" s="75">
        <f>E8/DD_projekcie!G$59/10</f>
        <v>5.7526852053967072</v>
      </c>
      <c r="F40" s="75">
        <f>F8/DD_projekcie!H$59/10</f>
        <v>5.7020912163523896</v>
      </c>
      <c r="G40" s="75">
        <f>G8/DD_projekcie!I$59/10</f>
        <v>5.6642026235149547</v>
      </c>
      <c r="H40" s="75">
        <f>H8/DD_projekcie!J$59/10</f>
        <v>5.6642026235149547</v>
      </c>
      <c r="I40" s="75">
        <f>I8/DD_projekcie!K$59/10</f>
        <v>5.6642026235149556</v>
      </c>
      <c r="J40" s="75">
        <f>J8/DD_projekcie!L$59/10</f>
        <v>5.6642026235149556</v>
      </c>
      <c r="K40" s="75">
        <f>K8/DD_projekcie!M$59/10</f>
        <v>5.6642026235149556</v>
      </c>
      <c r="L40" s="75">
        <f>L8/DD_projekcie!N$59/10</f>
        <v>5.6642026235149556</v>
      </c>
      <c r="M40" s="75">
        <f>M8/DD_projekcie!O$59/10</f>
        <v>5.6642026235149556</v>
      </c>
      <c r="N40" s="75">
        <f>N8/DD_projekcie!P$59/10</f>
        <v>5.6642026235149565</v>
      </c>
      <c r="O40" s="75">
        <f>O8/DD_projekcie!Q$59/10</f>
        <v>5.6642026235149565</v>
      </c>
      <c r="P40" s="75">
        <f>P8/DD_projekcie!R$59/10</f>
        <v>5.6642026235149565</v>
      </c>
      <c r="Q40" s="75">
        <f>Q8/DD_projekcie!S$59/10</f>
        <v>5.6642026235149556</v>
      </c>
      <c r="R40" s="75">
        <f>R8/DD_projekcie!T$59/10</f>
        <v>5.6642026235149556</v>
      </c>
      <c r="S40" s="75">
        <f>S8/DD_projekcie!U$59/10</f>
        <v>5.6642026235149547</v>
      </c>
      <c r="T40" s="75">
        <f>T8/DD_projekcie!V$59/10</f>
        <v>5.6642026235149547</v>
      </c>
      <c r="U40" s="75">
        <f>U8/DD_projekcie!W$59/10</f>
        <v>5.6642026235149556</v>
      </c>
      <c r="V40" s="75">
        <f>V8/DD_projekcie!X$59/10</f>
        <v>5.6642026235149565</v>
      </c>
      <c r="W40" s="75">
        <f>W8/DD_projekcie!Y$59/10</f>
        <v>5.6642026235149574</v>
      </c>
      <c r="X40" s="75">
        <f>X8/DD_projekcie!Z$59/10</f>
        <v>5.6642026235149565</v>
      </c>
      <c r="Y40" s="75">
        <f>Y8/DD_projekcie!AA$59/10</f>
        <v>5.6642026235149556</v>
      </c>
      <c r="Z40" s="75">
        <f>Z8/DD_projekcie!AB$59/10</f>
        <v>5.6642026235149547</v>
      </c>
      <c r="AA40" s="75">
        <f>AA8/DD_projekcie!AC$59/10</f>
        <v>5.6642026235149547</v>
      </c>
      <c r="AB40" s="75">
        <f>AB8/DD_projekcie!AD$59/10</f>
        <v>5.6642026235149556</v>
      </c>
      <c r="AC40" s="75">
        <f>AC8/DD_projekcie!AE$59/10</f>
        <v>5.6642026235149556</v>
      </c>
      <c r="AD40" s="75">
        <f>AD8/DD_projekcie!AF$59/10</f>
        <v>5.6642026235149565</v>
      </c>
      <c r="AE40" s="75">
        <f>AE8/DD_projekcie!AG$59/10</f>
        <v>5.6642026235149574</v>
      </c>
      <c r="AF40" s="75">
        <f>AF8/DD_projekcie!AH$59/10</f>
        <v>5.6642026235149574</v>
      </c>
      <c r="AG40" s="75">
        <f>AG8/DD_projekcie!AI$59/10</f>
        <v>5.6642026235149574</v>
      </c>
      <c r="AH40" s="75">
        <f>AH8/DD_projekcie!AJ$59/10</f>
        <v>5.6642026235149574</v>
      </c>
      <c r="AI40" s="75">
        <f>AI8/DD_projekcie!AK$59/10</f>
        <v>5.6642026235149574</v>
      </c>
      <c r="AJ40" s="75">
        <f>AJ8/DD_projekcie!AL$59/10</f>
        <v>5.6642026235149583</v>
      </c>
      <c r="AK40" s="75">
        <f>AK8/DD_projekcie!AM$59/10</f>
        <v>5.6642026235149583</v>
      </c>
      <c r="AL40" s="75">
        <f>AL8/DD_projekcie!AN$59/10</f>
        <v>5.6642026235149583</v>
      </c>
      <c r="AM40" s="75">
        <f>AM8/DD_projekcie!AO$59/10</f>
        <v>5.6642026235149574</v>
      </c>
      <c r="AN40" s="75">
        <f>AN8/DD_projekcie!AP$59/10</f>
        <v>5.6642026235149574</v>
      </c>
      <c r="AO40" s="75">
        <f>AO8/DD_projekcie!AQ$59/10</f>
        <v>5.6642026235149565</v>
      </c>
      <c r="AP40" s="75">
        <f>AP8/DD_projekcie!AR$59/10</f>
        <v>5.6642026235149565</v>
      </c>
      <c r="AQ40" s="75">
        <f>AQ8/DD_projekcie!AS$59/10</f>
        <v>5.6642026235149565</v>
      </c>
      <c r="AR40" s="75">
        <f>AR8/DD_projekcie!AT$59/10</f>
        <v>5.6642026235149565</v>
      </c>
      <c r="AS40" s="75">
        <f>AS8/DD_projekcie!AU$59/10</f>
        <v>5.6642026235149565</v>
      </c>
      <c r="AT40" s="75">
        <f>AT8/DD_projekcie!AV$59/10</f>
        <v>5.6642026235149565</v>
      </c>
      <c r="AU40" s="75">
        <f>AU8/DD_projekcie!AW$59/10</f>
        <v>5.6642026235149574</v>
      </c>
      <c r="AV40" s="75">
        <f>AV8/DD_projekcie!AX$59/10</f>
        <v>5.6642026235149574</v>
      </c>
      <c r="AW40" s="75">
        <f>AW8/DD_projekcie!AY$59/10</f>
        <v>5.6642026235149574</v>
      </c>
      <c r="AX40" s="75">
        <f>AX8/DD_projekcie!AZ$59/10</f>
        <v>5.6642026235149574</v>
      </c>
      <c r="AY40" s="75">
        <f>AY8/DD_projekcie!BA$59/10</f>
        <v>5.6642026235149574</v>
      </c>
      <c r="AZ40" s="75">
        <f>AZ8/DD_projekcie!BB$59/10</f>
        <v>5.6642026235149583</v>
      </c>
      <c r="BA40" s="75">
        <f>BA8/DD_projekcie!BC$59/10</f>
        <v>5.6642026235149583</v>
      </c>
    </row>
    <row r="41" spans="1:53" x14ac:dyDescent="0.25">
      <c r="A41" s="68" t="s">
        <v>814</v>
      </c>
      <c r="B41" s="75">
        <f>B9/DD_projekcie!E$59/10</f>
        <v>3.1056247905908894</v>
      </c>
      <c r="C41" s="75">
        <f>C9/DD_projekcie!E$59/10</f>
        <v>2.6626855739197817</v>
      </c>
      <c r="D41" s="75">
        <f>D9/DD_projekcie!F$59/10</f>
        <v>3.0625808997310697</v>
      </c>
      <c r="E41" s="75">
        <f>E9/DD_projekcie!G$59/10</f>
        <v>2.7750028170508161</v>
      </c>
      <c r="F41" s="75">
        <f>F9/DD_projekcie!H$59/10</f>
        <v>2.1869576774112249</v>
      </c>
      <c r="G41" s="75">
        <f>G9/DD_projekcie!I$59/10</f>
        <v>2.3418777048173314</v>
      </c>
      <c r="H41" s="75">
        <f>H9/DD_projekcie!J$59/10</f>
        <v>2.3418777048173314</v>
      </c>
      <c r="I41" s="75">
        <f>I9/DD_projekcie!K$59/10</f>
        <v>2.3418777048173314</v>
      </c>
      <c r="J41" s="75">
        <f>J9/DD_projekcie!L$59/10</f>
        <v>2.3418777048173314</v>
      </c>
      <c r="K41" s="75">
        <f>K9/DD_projekcie!M$59/10</f>
        <v>2.3418777048173318</v>
      </c>
      <c r="L41" s="75">
        <f>L9/DD_projekcie!N$59/10</f>
        <v>2.3418777048173318</v>
      </c>
      <c r="M41" s="75">
        <f>M9/DD_projekcie!O$59/10</f>
        <v>2.3418777048173318</v>
      </c>
      <c r="N41" s="75">
        <f>N9/DD_projekcie!P$59/10</f>
        <v>2.3418777048173318</v>
      </c>
      <c r="O41" s="75">
        <f>O9/DD_projekcie!Q$59/10</f>
        <v>2.3418777048173318</v>
      </c>
      <c r="P41" s="75">
        <f>P9/DD_projekcie!R$59/10</f>
        <v>2.3418777048173318</v>
      </c>
      <c r="Q41" s="75">
        <f>Q9/DD_projekcie!S$59/10</f>
        <v>2.3418777048173318</v>
      </c>
      <c r="R41" s="75">
        <f>R9/DD_projekcie!T$59/10</f>
        <v>2.3418777048173318</v>
      </c>
      <c r="S41" s="75">
        <f>S9/DD_projekcie!U$59/10</f>
        <v>2.3418777048173318</v>
      </c>
      <c r="T41" s="75">
        <f>T9/DD_projekcie!V$59/10</f>
        <v>2.3418777048173314</v>
      </c>
      <c r="U41" s="75">
        <f>U9/DD_projekcie!W$59/10</f>
        <v>2.3418777048173314</v>
      </c>
      <c r="V41" s="75">
        <f>V9/DD_projekcie!X$59/10</f>
        <v>2.3418777048173318</v>
      </c>
      <c r="W41" s="75">
        <f>W9/DD_projekcie!Y$59/10</f>
        <v>2.3418777048173318</v>
      </c>
      <c r="X41" s="75">
        <f>X9/DD_projekcie!Z$59/10</f>
        <v>2.3418777048173314</v>
      </c>
      <c r="Y41" s="75">
        <f>Y9/DD_projekcie!AA$59/10</f>
        <v>2.3418777048173314</v>
      </c>
      <c r="Z41" s="75">
        <f>Z9/DD_projekcie!AB$59/10</f>
        <v>2.3418777048173314</v>
      </c>
      <c r="AA41" s="75">
        <f>AA9/DD_projekcie!AC$59/10</f>
        <v>2.3418777048173314</v>
      </c>
      <c r="AB41" s="75">
        <f>AB9/DD_projekcie!AD$59/10</f>
        <v>2.3418777048173309</v>
      </c>
      <c r="AC41" s="75">
        <f>AC9/DD_projekcie!AE$59/10</f>
        <v>2.3418777048173314</v>
      </c>
      <c r="AD41" s="75">
        <f>AD9/DD_projekcie!AF$59/10</f>
        <v>2.3418777048173318</v>
      </c>
      <c r="AE41" s="75">
        <f>AE9/DD_projekcie!AG$59/10</f>
        <v>2.3418777048173314</v>
      </c>
      <c r="AF41" s="75">
        <f>AF9/DD_projekcie!AH$59/10</f>
        <v>2.3418777048173318</v>
      </c>
      <c r="AG41" s="75">
        <f>AG9/DD_projekcie!AI$59/10</f>
        <v>2.3418777048173323</v>
      </c>
      <c r="AH41" s="75">
        <f>AH9/DD_projekcie!AJ$59/10</f>
        <v>2.3418777048173323</v>
      </c>
      <c r="AI41" s="75">
        <f>AI9/DD_projekcie!AK$59/10</f>
        <v>2.3418777048173323</v>
      </c>
      <c r="AJ41" s="75">
        <f>AJ9/DD_projekcie!AL$59/10</f>
        <v>2.3418777048173323</v>
      </c>
      <c r="AK41" s="75">
        <f>AK9/DD_projekcie!AM$59/10</f>
        <v>2.3418777048173323</v>
      </c>
      <c r="AL41" s="75">
        <f>AL9/DD_projekcie!AN$59/10</f>
        <v>2.3418777048173323</v>
      </c>
      <c r="AM41" s="75">
        <f>AM9/DD_projekcie!AO$59/10</f>
        <v>2.3418777048173323</v>
      </c>
      <c r="AN41" s="75">
        <f>AN9/DD_projekcie!AP$59/10</f>
        <v>2.3418777048173327</v>
      </c>
      <c r="AO41" s="75">
        <f>AO9/DD_projekcie!AQ$59/10</f>
        <v>2.3418777048173323</v>
      </c>
      <c r="AP41" s="75">
        <f>AP9/DD_projekcie!AR$59/10</f>
        <v>2.3418777048173318</v>
      </c>
      <c r="AQ41" s="75">
        <f>AQ9/DD_projekcie!AS$59/10</f>
        <v>2.3418777048173318</v>
      </c>
      <c r="AR41" s="75">
        <f>AR9/DD_projekcie!AT$59/10</f>
        <v>2.3418777048173323</v>
      </c>
      <c r="AS41" s="75">
        <f>AS9/DD_projekcie!AU$59/10</f>
        <v>2.3418777048173323</v>
      </c>
      <c r="AT41" s="75">
        <f>AT9/DD_projekcie!AV$59/10</f>
        <v>2.3418777048173327</v>
      </c>
      <c r="AU41" s="75">
        <f>AU9/DD_projekcie!AW$59/10</f>
        <v>2.3418777048173323</v>
      </c>
      <c r="AV41" s="75">
        <f>AV9/DD_projekcie!AX$59/10</f>
        <v>2.3418777048173323</v>
      </c>
      <c r="AW41" s="75">
        <f>AW9/DD_projekcie!AY$59/10</f>
        <v>2.3418777048173318</v>
      </c>
      <c r="AX41" s="75">
        <f>AX9/DD_projekcie!AZ$59/10</f>
        <v>2.3418777048173318</v>
      </c>
      <c r="AY41" s="75">
        <f>AY9/DD_projekcie!BA$59/10</f>
        <v>2.3418777048173318</v>
      </c>
      <c r="AZ41" s="75">
        <f>AZ9/DD_projekcie!BB$59/10</f>
        <v>2.3418777048173318</v>
      </c>
      <c r="BA41" s="75">
        <f>BA9/DD_projekcie!BC$59/10</f>
        <v>2.3418777048173318</v>
      </c>
    </row>
    <row r="42" spans="1:53" x14ac:dyDescent="0.25">
      <c r="A42" s="68" t="s">
        <v>797</v>
      </c>
      <c r="B42" s="75">
        <f>B10/DD_projekcie!E$59/10</f>
        <v>2.7919300825015179</v>
      </c>
      <c r="C42" s="75">
        <f>C10/DD_projekcie!E$59/10</f>
        <v>2.7748877217450598</v>
      </c>
      <c r="D42" s="75">
        <f>D10/DD_projekcie!F$59/10</f>
        <v>2.6955244284048363</v>
      </c>
      <c r="E42" s="75">
        <f>E10/DD_projekcie!G$59/10</f>
        <v>2.6160079722385374</v>
      </c>
      <c r="F42" s="75">
        <f>F10/DD_projekcie!H$59/10</f>
        <v>2.5390208600542929</v>
      </c>
      <c r="G42" s="75">
        <f>G10/DD_projekcie!I$59/10</f>
        <v>2.4774776720387859</v>
      </c>
      <c r="H42" s="75">
        <f>H10/DD_projekcie!J$59/10</f>
        <v>2.4676567218505712</v>
      </c>
      <c r="I42" s="75">
        <f>I10/DD_projekcie!K$59/10</f>
        <v>2.4578103314997435</v>
      </c>
      <c r="J42" s="75">
        <f>J10/DD_projekcie!L$59/10</f>
        <v>2.4451057491685839</v>
      </c>
      <c r="K42" s="75">
        <f>K10/DD_projekcie!M$59/10</f>
        <v>2.4329361231414621</v>
      </c>
      <c r="L42" s="75">
        <f>L10/DD_projekcie!N$59/10</f>
        <v>2.4201401852800055</v>
      </c>
      <c r="M42" s="75">
        <f>M10/DD_projekcie!O$59/10</f>
        <v>2.4091210451339675</v>
      </c>
      <c r="N42" s="75">
        <f>N10/DD_projekcie!P$59/10</f>
        <v>2.3987885536533442</v>
      </c>
      <c r="O42" s="75">
        <f>O10/DD_projekcie!Q$59/10</f>
        <v>2.3891334198245135</v>
      </c>
      <c r="P42" s="75">
        <f>P10/DD_projekcie!R$59/10</f>
        <v>2.364788995216347</v>
      </c>
      <c r="Q42" s="75">
        <f>Q10/DD_projekcie!S$59/10</f>
        <v>2.3387728172278863</v>
      </c>
      <c r="R42" s="75">
        <f>R10/DD_projekcie!T$59/10</f>
        <v>2.3273135748096299</v>
      </c>
      <c r="S42" s="75">
        <f>S10/DD_projekcie!U$59/10</f>
        <v>2.3205860232958231</v>
      </c>
      <c r="T42" s="75">
        <f>T10/DD_projekcie!V$59/10</f>
        <v>2.3135529265212016</v>
      </c>
      <c r="U42" s="75">
        <f>U10/DD_projekcie!W$59/10</f>
        <v>2.3085036943939299</v>
      </c>
      <c r="V42" s="75">
        <f>V10/DD_projekcie!X$59/10</f>
        <v>2.3035788903499959</v>
      </c>
      <c r="W42" s="75">
        <f>W10/DD_projekcie!Y$59/10</f>
        <v>2.2985840182785742</v>
      </c>
      <c r="X42" s="75">
        <f>X10/DD_projekcie!Z$59/10</f>
        <v>2.2929652307560473</v>
      </c>
      <c r="Y42" s="75">
        <f>Y10/DD_projekcie!AA$59/10</f>
        <v>2.2889244938981399</v>
      </c>
      <c r="Z42" s="75">
        <f>Z10/DD_projekcie!AB$59/10</f>
        <v>2.2849143496495565</v>
      </c>
      <c r="AA42" s="75">
        <f>AA10/DD_projekcie!AC$59/10</f>
        <v>2.2808317987838933</v>
      </c>
      <c r="AB42" s="75">
        <f>AB10/DD_projekcie!AD$59/10</f>
        <v>2.2761240507726637</v>
      </c>
      <c r="AC42" s="75">
        <f>AC10/DD_projekcie!AE$59/10</f>
        <v>2.2614719397913188</v>
      </c>
      <c r="AD42" s="75">
        <f>AD10/DD_projekcie!AF$59/10</f>
        <v>2.2546227203751443</v>
      </c>
      <c r="AE42" s="75">
        <f>AE10/DD_projekcie!AG$59/10</f>
        <v>2.2394521716363061</v>
      </c>
      <c r="AF42" s="75">
        <f>AF10/DD_projekcie!AH$59/10</f>
        <v>2.1859316780154279</v>
      </c>
      <c r="AG42" s="75">
        <f>AG10/DD_projekcie!AI$59/10</f>
        <v>2.1749083277574144</v>
      </c>
      <c r="AH42" s="75">
        <f>AH10/DD_projekcie!AJ$59/10</f>
        <v>2.1726360785907928</v>
      </c>
      <c r="AI42" s="75">
        <f>AI10/DD_projekcie!AK$59/10</f>
        <v>2.1706775621424148</v>
      </c>
      <c r="AJ42" s="75">
        <f>AJ10/DD_projekcie!AL$59/10</f>
        <v>2.1680864123010815</v>
      </c>
      <c r="AK42" s="75">
        <f>AK10/DD_projekcie!AM$59/10</f>
        <v>2.1667795387768232</v>
      </c>
      <c r="AL42" s="75">
        <f>AL10/DD_projekcie!AN$59/10</f>
        <v>2.1652899833392483</v>
      </c>
      <c r="AM42" s="75">
        <f>AM10/DD_projekcie!AO$59/10</f>
        <v>2.1636273997788811</v>
      </c>
      <c r="AN42" s="75">
        <f>AN10/DD_projekcie!AP$59/10</f>
        <v>2.1613244813514525</v>
      </c>
      <c r="AO42" s="75">
        <f>AO10/DD_projekcie!AQ$59/10</f>
        <v>2.1602295988198632</v>
      </c>
      <c r="AP42" s="75">
        <f>AP10/DD_projekcie!AR$59/10</f>
        <v>2.1589367037902094</v>
      </c>
      <c r="AQ42" s="75">
        <f>AQ10/DD_projekcie!AS$59/10</f>
        <v>2.1574614331298512</v>
      </c>
      <c r="AR42" s="75">
        <f>AR10/DD_projekcie!AT$59/10</f>
        <v>2.1463928297302908</v>
      </c>
      <c r="AS42" s="75">
        <f>AS10/DD_projekcie!AU$59/10</f>
        <v>2.1324116859448918</v>
      </c>
      <c r="AT42" s="75">
        <f>AT10/DD_projekcie!AV$59/10</f>
        <v>2.1281451375468654</v>
      </c>
      <c r="AU42" s="75">
        <f>AU10/DD_projekcie!AW$59/10</f>
        <v>2.1270235061420717</v>
      </c>
      <c r="AV42" s="75">
        <f>AV10/DD_projekcie!AX$59/10</f>
        <v>2.1259276432576284</v>
      </c>
      <c r="AW42" s="75">
        <f>AW10/DD_projekcie!AY$59/10</f>
        <v>2.124856481956916</v>
      </c>
      <c r="AX42" s="75">
        <f>AX10/DD_projekcie!AZ$59/10</f>
        <v>2.1238112374644431</v>
      </c>
      <c r="AY42" s="75">
        <f>AY10/DD_projekcie!BA$59/10</f>
        <v>2.1227674378692738</v>
      </c>
      <c r="AZ42" s="75">
        <f>AZ10/DD_projekcie!BB$59/10</f>
        <v>2.1217250810015438</v>
      </c>
      <c r="BA42" s="75">
        <f>BA10/DD_projekcie!BC$59/10</f>
        <v>2.1206841646963643</v>
      </c>
    </row>
    <row r="43" spans="1:53" x14ac:dyDescent="0.25">
      <c r="A43" s="68" t="s">
        <v>1025</v>
      </c>
      <c r="B43" s="75">
        <f>B11/DD_projekcie!E$59/10</f>
        <v>0.1954495101478802</v>
      </c>
      <c r="C43" s="75">
        <f>C11/DD_projekcie!E$59/10</f>
        <v>0.1954495101478802</v>
      </c>
      <c r="D43" s="75">
        <f>D11/DD_projekcie!F$59/10</f>
        <v>0.19638633868578265</v>
      </c>
      <c r="E43" s="75">
        <f>E11/DD_projekcie!G$59/10</f>
        <v>0.21394608909115642</v>
      </c>
      <c r="F43" s="75">
        <f>F11/DD_projekcie!H$59/10</f>
        <v>0.22633547182224589</v>
      </c>
      <c r="G43" s="75">
        <f>G11/DD_projekcie!I$59/10</f>
        <v>0.22587461664313499</v>
      </c>
      <c r="H43" s="75">
        <f>H11/DD_projekcie!J$59/10</f>
        <v>0.22414892444092457</v>
      </c>
      <c r="I43" s="75">
        <f>I11/DD_projekcie!K$59/10</f>
        <v>0.22187634665749933</v>
      </c>
      <c r="J43" s="75">
        <f>J11/DD_projekcie!L$59/10</f>
        <v>0.21626151971690799</v>
      </c>
      <c r="K43" s="75">
        <f>K11/DD_projekcie!M$59/10</f>
        <v>0.21073203153052603</v>
      </c>
      <c r="L43" s="75">
        <f>L11/DD_projekcie!N$59/10</f>
        <v>0.20415835411121744</v>
      </c>
      <c r="M43" s="75">
        <f>M11/DD_projekcie!O$59/10</f>
        <v>0.19897286445326784</v>
      </c>
      <c r="N43" s="75">
        <f>N11/DD_projekcie!P$59/10</f>
        <v>0.19412799488687027</v>
      </c>
      <c r="O43" s="75">
        <f>O11/DD_projekcie!Q$59/10</f>
        <v>0.18965762617545417</v>
      </c>
      <c r="P43" s="75">
        <f>P11/DD_projekcie!R$59/10</f>
        <v>0.17021501982501827</v>
      </c>
      <c r="Q43" s="75">
        <f>Q11/DD_projekcie!S$59/10</f>
        <v>0.14880242608359184</v>
      </c>
      <c r="R43" s="75">
        <f>R11/DD_projekcie!T$59/10</f>
        <v>0.14160756021984444</v>
      </c>
      <c r="S43" s="75">
        <f>S11/DD_projekcie!U$59/10</f>
        <v>0.13880821084248113</v>
      </c>
      <c r="T43" s="75">
        <f>T11/DD_projekcie!V$59/10</f>
        <v>0.13540611222924895</v>
      </c>
      <c r="U43" s="75">
        <f>U11/DD_projekcie!W$59/10</f>
        <v>0.13368913408995103</v>
      </c>
      <c r="V43" s="75">
        <f>V11/DD_projekcie!X$59/10</f>
        <v>0.1318448766709108</v>
      </c>
      <c r="W43" s="75">
        <f>W11/DD_projekcie!Y$59/10</f>
        <v>0.12978562348275383</v>
      </c>
      <c r="X43" s="75">
        <f>X11/DD_projekcie!Z$59/10</f>
        <v>0.12696531961662405</v>
      </c>
      <c r="Y43" s="75">
        <f>Y11/DD_projekcie!AA$59/10</f>
        <v>0.12559172076417471</v>
      </c>
      <c r="Z43" s="75">
        <f>Z11/DD_projekcie!AB$59/10</f>
        <v>0.12411493563187301</v>
      </c>
      <c r="AA43" s="75">
        <f>AA11/DD_projekcie!AC$59/10</f>
        <v>0.12243710178279479</v>
      </c>
      <c r="AB43" s="75">
        <f>AB11/DD_projekcie!AD$59/10</f>
        <v>0.1200201951325415</v>
      </c>
      <c r="AC43" s="75">
        <f>AC11/DD_projekcie!AE$59/10</f>
        <v>0.10756071634895055</v>
      </c>
      <c r="AD43" s="75">
        <f>AD11/DD_projekcie!AF$59/10</f>
        <v>0.10281181086967225</v>
      </c>
      <c r="AE43" s="75">
        <f>AE11/DD_projekcie!AG$59/10</f>
        <v>8.9654638162824471E-2</v>
      </c>
      <c r="AF43" s="75">
        <f>AF11/DD_projekcie!AH$59/10</f>
        <v>3.8047474195401582E-2</v>
      </c>
      <c r="AG43" s="75">
        <f>AG11/DD_projekcie!AI$59/10</f>
        <v>2.8848919461548366E-2</v>
      </c>
      <c r="AH43" s="75">
        <f>AH11/DD_projekcie!AJ$59/10</f>
        <v>2.8320564258687352E-2</v>
      </c>
      <c r="AI43" s="75">
        <f>AI11/DD_projekcie!AK$59/10</f>
        <v>2.8028336357621964E-2</v>
      </c>
      <c r="AJ43" s="75">
        <f>AJ11/DD_projekcie!AL$59/10</f>
        <v>2.7032880667574328E-2</v>
      </c>
      <c r="AK43" s="75">
        <f>AK11/DD_projekcie!AM$59/10</f>
        <v>2.7252996477575186E-2</v>
      </c>
      <c r="AL43" s="75">
        <f>AL11/DD_projekcie!AN$59/10</f>
        <v>2.7228957058886699E-2</v>
      </c>
      <c r="AM43" s="75">
        <f>AM11/DD_projekcie!AO$59/10</f>
        <v>2.6978054288668625E-2</v>
      </c>
      <c r="AN43" s="75">
        <f>AN11/DD_projekcie!AP$59/10</f>
        <v>2.6040877561699243E-2</v>
      </c>
      <c r="AO43" s="75">
        <f>AO11/DD_projekcie!AQ$59/10</f>
        <v>2.6267588550646721E-2</v>
      </c>
      <c r="AP43" s="75">
        <f>AP11/DD_projekcie!AR$59/10</f>
        <v>2.6254501251223354E-2</v>
      </c>
      <c r="AQ43" s="75">
        <f>AQ11/DD_projekcie!AS$59/10</f>
        <v>2.6019936748895096E-2</v>
      </c>
      <c r="AR43" s="75">
        <f>AR11/DD_projekcie!AT$59/10</f>
        <v>1.6156240841466142E-2</v>
      </c>
      <c r="AS43" s="75">
        <f>AS11/DD_projekcie!AU$59/10</f>
        <v>3.3506392614659985E-3</v>
      </c>
      <c r="AT43" s="75">
        <f>AT11/DD_projekcie!AV$59/10</f>
        <v>2.3088451016540484E-4</v>
      </c>
      <c r="AU43" s="75">
        <f>AU11/DD_projekcie!AW$59/10</f>
        <v>2.2869377269699748E-4</v>
      </c>
      <c r="AV43" s="75">
        <f>AV11/DD_projekcie!AX$59/10</f>
        <v>2.2647998092679777E-4</v>
      </c>
      <c r="AW43" s="75">
        <f>AW11/DD_projekcie!AY$59/10</f>
        <v>2.242542756575951E-4</v>
      </c>
      <c r="AX43" s="75">
        <f>AX11/DD_projekcie!AZ$59/10</f>
        <v>2.219893019070729E-4</v>
      </c>
      <c r="AY43" s="75">
        <f>AY11/DD_projekcie!BA$59/10</f>
        <v>2.1974720444765155E-4</v>
      </c>
      <c r="AZ43" s="75">
        <f>AZ11/DD_projekcie!BB$59/10</f>
        <v>2.1752775222822312E-4</v>
      </c>
      <c r="BA43" s="75">
        <f>BA11/DD_projekcie!BC$59/10</f>
        <v>2.1533071653130156E-4</v>
      </c>
    </row>
    <row r="44" spans="1:53" x14ac:dyDescent="0.25">
      <c r="A44" s="68" t="s">
        <v>1026</v>
      </c>
      <c r="B44" s="75">
        <f>B12/DD_projekcie!E$59/10</f>
        <v>0.91797562027357849</v>
      </c>
      <c r="C44" s="75">
        <f>C12/DD_projekcie!E$59/10</f>
        <v>0.90093325951712111</v>
      </c>
      <c r="D44" s="75">
        <f>D12/DD_projekcie!F$59/10</f>
        <v>0.87902521003787049</v>
      </c>
      <c r="E44" s="75">
        <f>E12/DD_projekcie!G$59/10</f>
        <v>0.86866042176220171</v>
      </c>
      <c r="F44" s="75">
        <f>F12/DD_projekcie!H$59/10</f>
        <v>0.87482527431157808</v>
      </c>
      <c r="G44" s="75">
        <f>G12/DD_projekcie!I$59/10</f>
        <v>0.89194284022279879</v>
      </c>
      <c r="H44" s="75">
        <f>H12/DD_projekcie!J$59/10</f>
        <v>0.88384758223679449</v>
      </c>
      <c r="I44" s="75">
        <f>I12/DD_projekcie!K$59/10</f>
        <v>0.87627376966939219</v>
      </c>
      <c r="J44" s="75">
        <f>J12/DD_projekcie!L$59/10</f>
        <v>0.86918401427882341</v>
      </c>
      <c r="K44" s="75">
        <f>K12/DD_projekcie!M$59/10</f>
        <v>0.86254387643808406</v>
      </c>
      <c r="L44" s="75">
        <f>L12/DD_projekcie!N$59/10</f>
        <v>0.85632161599593581</v>
      </c>
      <c r="M44" s="75">
        <f>M12/DD_projekcie!O$59/10</f>
        <v>0.85048796550784689</v>
      </c>
      <c r="N44" s="75">
        <f>N12/DD_projekcie!P$59/10</f>
        <v>0.84500034359362142</v>
      </c>
      <c r="O44" s="75">
        <f>O12/DD_projekcie!Q$59/10</f>
        <v>0.8398155784762068</v>
      </c>
      <c r="P44" s="75">
        <f>P12/DD_projekcie!R$59/10</f>
        <v>0.83491376021847652</v>
      </c>
      <c r="Q44" s="75">
        <f>Q12/DD_projekcie!S$59/10</f>
        <v>0.83031017597144197</v>
      </c>
      <c r="R44" s="75">
        <f>R12/DD_projekcie!T$59/10</f>
        <v>0.82604579941693235</v>
      </c>
      <c r="S44" s="75">
        <f>S12/DD_projekcie!U$59/10</f>
        <v>0.82211759728048917</v>
      </c>
      <c r="T44" s="75">
        <f>T12/DD_projekcie!V$59/10</f>
        <v>0.8184865991190996</v>
      </c>
      <c r="U44" s="75">
        <f>U12/DD_projekcie!W$59/10</f>
        <v>0.81515434513112661</v>
      </c>
      <c r="V44" s="75">
        <f>V12/DD_projekcie!X$59/10</f>
        <v>0.81207379850623251</v>
      </c>
      <c r="W44" s="75">
        <f>W12/DD_projekcie!Y$59/10</f>
        <v>0.80913817962296741</v>
      </c>
      <c r="X44" s="75">
        <f>X12/DD_projekcie!Z$59/10</f>
        <v>0.80633969596657074</v>
      </c>
      <c r="Y44" s="75">
        <f>Y12/DD_projekcie!AA$59/10</f>
        <v>0.80367255796111259</v>
      </c>
      <c r="Z44" s="75">
        <f>Z12/DD_projekcie!AB$59/10</f>
        <v>0.80113919884483098</v>
      </c>
      <c r="AA44" s="75">
        <f>AA12/DD_projekcie!AC$59/10</f>
        <v>0.79873448182824591</v>
      </c>
      <c r="AB44" s="75">
        <f>AB12/DD_projekcie!AD$59/10</f>
        <v>0.79644364046726945</v>
      </c>
      <c r="AC44" s="75">
        <f>AC12/DD_projekcie!AE$59/10</f>
        <v>0.79425100826951522</v>
      </c>
      <c r="AD44" s="75">
        <f>AD12/DD_projekcie!AF$59/10</f>
        <v>0.79215069433261909</v>
      </c>
      <c r="AE44" s="75">
        <f>AE12/DD_projekcie!AG$59/10</f>
        <v>0.79013731830062883</v>
      </c>
      <c r="AF44" s="75">
        <f>AF12/DD_projekcie!AH$59/10</f>
        <v>0.78822398864717402</v>
      </c>
      <c r="AG44" s="75">
        <f>AG12/DD_projekcie!AI$59/10</f>
        <v>0.78639919312301365</v>
      </c>
      <c r="AH44" s="75">
        <f>AH12/DD_projekcie!AJ$59/10</f>
        <v>0.78465529915925281</v>
      </c>
      <c r="AI44" s="75">
        <f>AI12/DD_projekcie!AK$59/10</f>
        <v>0.78298901061194026</v>
      </c>
      <c r="AJ44" s="75">
        <f>AJ12/DD_projekcie!AL$59/10</f>
        <v>0.78139331646065424</v>
      </c>
      <c r="AK44" s="75">
        <f>AK12/DD_projekcie!AM$59/10</f>
        <v>0.77986632712639503</v>
      </c>
      <c r="AL44" s="75">
        <f>AL12/DD_projekcie!AN$59/10</f>
        <v>0.77840081110750847</v>
      </c>
      <c r="AM44" s="75">
        <f>AM12/DD_projekcie!AO$59/10</f>
        <v>0.7769891303173595</v>
      </c>
      <c r="AN44" s="75">
        <f>AN12/DD_projekcie!AP$59/10</f>
        <v>0.77562338861690006</v>
      </c>
      <c r="AO44" s="75">
        <f>AO12/DD_projekcie!AQ$59/10</f>
        <v>0.7743017950963631</v>
      </c>
      <c r="AP44" s="75">
        <f>AP12/DD_projekcie!AR$59/10</f>
        <v>0.77302198736613292</v>
      </c>
      <c r="AQ44" s="75">
        <f>AQ12/DD_projekcie!AS$59/10</f>
        <v>0.77178128120810352</v>
      </c>
      <c r="AR44" s="75">
        <f>AR12/DD_projekcie!AT$59/10</f>
        <v>0.77057637371597187</v>
      </c>
      <c r="AS44" s="75">
        <f>AS12/DD_projekcie!AU$59/10</f>
        <v>0.76940083151057315</v>
      </c>
      <c r="AT44" s="75">
        <f>AT12/DD_projekcie!AV$59/10</f>
        <v>0.76825403786384705</v>
      </c>
      <c r="AU44" s="75">
        <f>AU12/DD_projekcie!AW$59/10</f>
        <v>0.76713459719652211</v>
      </c>
      <c r="AV44" s="75">
        <f>AV12/DD_projekcie!AX$59/10</f>
        <v>0.76604094810384937</v>
      </c>
      <c r="AW44" s="75">
        <f>AW12/DD_projekcie!AY$59/10</f>
        <v>0.76497201250840574</v>
      </c>
      <c r="AX44" s="75">
        <f>AX12/DD_projekcie!AZ$59/10</f>
        <v>0.76392903298968284</v>
      </c>
      <c r="AY44" s="75">
        <f>AY12/DD_projekcie!BA$59/10</f>
        <v>0.76288747549197344</v>
      </c>
      <c r="AZ44" s="75">
        <f>AZ12/DD_projekcie!BB$59/10</f>
        <v>0.76184733807646299</v>
      </c>
      <c r="BA44" s="75">
        <f>BA12/DD_projekcie!BC$59/10</f>
        <v>0.76080861880698047</v>
      </c>
    </row>
    <row r="45" spans="1:53" x14ac:dyDescent="0.25">
      <c r="A45" s="76" t="s">
        <v>1027</v>
      </c>
      <c r="B45" s="78">
        <f>B13/DD_projekcie!E$59/10</f>
        <v>1.678504952080059</v>
      </c>
      <c r="C45" s="78">
        <f>C13/DD_projekcie!E$59/10</f>
        <v>1.6785049520800583</v>
      </c>
      <c r="D45" s="78">
        <f>D13/DD_projekcie!F$59/10</f>
        <v>1.6201128796811832</v>
      </c>
      <c r="E45" s="78">
        <f>E13/DD_projekcie!G$59/10</f>
        <v>1.5334014613851794</v>
      </c>
      <c r="F45" s="78">
        <f>F13/DD_projekcie!H$59/10</f>
        <v>1.4378601139204688</v>
      </c>
      <c r="G45" s="78">
        <f>G13/DD_projekcie!I$59/10</f>
        <v>1.3596602151728523</v>
      </c>
      <c r="H45" s="78">
        <f>H13/DD_projekcie!J$59/10</f>
        <v>1.3596602151728523</v>
      </c>
      <c r="I45" s="78">
        <f>I13/DD_projekcie!K$59/10</f>
        <v>1.3596602151728523</v>
      </c>
      <c r="J45" s="78">
        <f>J13/DD_projekcie!L$59/10</f>
        <v>1.3596602151728523</v>
      </c>
      <c r="K45" s="78">
        <f>K13/DD_projekcie!M$59/10</f>
        <v>1.3596602151728523</v>
      </c>
      <c r="L45" s="78">
        <f>L13/DD_projekcie!N$59/10</f>
        <v>1.3596602151728525</v>
      </c>
      <c r="M45" s="78">
        <f>M13/DD_projekcie!O$59/10</f>
        <v>1.3596602151728525</v>
      </c>
      <c r="N45" s="78">
        <f>N13/DD_projekcie!P$59/10</f>
        <v>1.3596602151728523</v>
      </c>
      <c r="O45" s="78">
        <f>O13/DD_projekcie!Q$59/10</f>
        <v>1.3596602151728523</v>
      </c>
      <c r="P45" s="78">
        <f>P13/DD_projekcie!R$59/10</f>
        <v>1.3596602151728525</v>
      </c>
      <c r="Q45" s="78">
        <f>Q13/DD_projekcie!S$59/10</f>
        <v>1.3596602151728525</v>
      </c>
      <c r="R45" s="78">
        <f>R13/DD_projekcie!T$59/10</f>
        <v>1.3596602151728527</v>
      </c>
      <c r="S45" s="78">
        <f>S13/DD_projekcie!U$59/10</f>
        <v>1.3596602151728525</v>
      </c>
      <c r="T45" s="78">
        <f>T13/DD_projekcie!V$59/10</f>
        <v>1.3596602151728527</v>
      </c>
      <c r="U45" s="78">
        <f>U13/DD_projekcie!W$59/10</f>
        <v>1.3596602151728525</v>
      </c>
      <c r="V45" s="78">
        <f>V13/DD_projekcie!X$59/10</f>
        <v>1.3596602151728525</v>
      </c>
      <c r="W45" s="78">
        <f>W13/DD_projekcie!Y$59/10</f>
        <v>1.3596602151728527</v>
      </c>
      <c r="X45" s="78">
        <f>X13/DD_projekcie!Z$59/10</f>
        <v>1.3596602151728525</v>
      </c>
      <c r="Y45" s="78">
        <f>Y13/DD_projekcie!AA$59/10</f>
        <v>1.3596602151728525</v>
      </c>
      <c r="Z45" s="78">
        <f>Z13/DD_projekcie!AB$59/10</f>
        <v>1.3596602151728525</v>
      </c>
      <c r="AA45" s="78">
        <f>AA13/DD_projekcie!AC$59/10</f>
        <v>1.3596602151728525</v>
      </c>
      <c r="AB45" s="78">
        <f>AB13/DD_projekcie!AD$59/10</f>
        <v>1.3596602151728525</v>
      </c>
      <c r="AC45" s="78">
        <f>AC13/DD_projekcie!AE$59/10</f>
        <v>1.3596602151728527</v>
      </c>
      <c r="AD45" s="78">
        <f>AD13/DD_projekcie!AF$59/10</f>
        <v>1.3596602151728527</v>
      </c>
      <c r="AE45" s="78">
        <f>AE13/DD_projekcie!AG$59/10</f>
        <v>1.3596602151728525</v>
      </c>
      <c r="AF45" s="78">
        <f>AF13/DD_projekcie!AH$59/10</f>
        <v>1.3596602151728525</v>
      </c>
      <c r="AG45" s="78">
        <f>AG13/DD_projekcie!AI$59/10</f>
        <v>1.3596602151728525</v>
      </c>
      <c r="AH45" s="78">
        <f>AH13/DD_projekcie!AJ$59/10</f>
        <v>1.3596602151728525</v>
      </c>
      <c r="AI45" s="78">
        <f>AI13/DD_projekcie!AK$59/10</f>
        <v>1.3596602151728525</v>
      </c>
      <c r="AJ45" s="78">
        <f>AJ13/DD_projekcie!AL$59/10</f>
        <v>1.3596602151728525</v>
      </c>
      <c r="AK45" s="78">
        <f>AK13/DD_projekcie!AM$59/10</f>
        <v>1.3596602151728527</v>
      </c>
      <c r="AL45" s="78">
        <f>AL13/DD_projekcie!AN$59/10</f>
        <v>1.3596602151728527</v>
      </c>
      <c r="AM45" s="78">
        <f>AM13/DD_projekcie!AO$59/10</f>
        <v>1.359660215172853</v>
      </c>
      <c r="AN45" s="78">
        <f>AN13/DD_projekcie!AP$59/10</f>
        <v>1.359660215172853</v>
      </c>
      <c r="AO45" s="78">
        <f>AO13/DD_projekcie!AQ$59/10</f>
        <v>1.359660215172853</v>
      </c>
      <c r="AP45" s="78">
        <f>AP13/DD_projekcie!AR$59/10</f>
        <v>1.359660215172853</v>
      </c>
      <c r="AQ45" s="78">
        <f>AQ13/DD_projekcie!AS$59/10</f>
        <v>1.3596602151728527</v>
      </c>
      <c r="AR45" s="78">
        <f>AR13/DD_projekcie!AT$59/10</f>
        <v>1.3596602151728527</v>
      </c>
      <c r="AS45" s="78">
        <f>AS13/DD_projekcie!AU$59/10</f>
        <v>1.3596602151728525</v>
      </c>
      <c r="AT45" s="78">
        <f>AT13/DD_projekcie!AV$59/10</f>
        <v>1.3596602151728527</v>
      </c>
      <c r="AU45" s="78">
        <f>AU13/DD_projekcie!AW$59/10</f>
        <v>1.3596602151728525</v>
      </c>
      <c r="AV45" s="78">
        <f>AV13/DD_projekcie!AX$59/10</f>
        <v>1.3596602151728527</v>
      </c>
      <c r="AW45" s="78">
        <f>AW13/DD_projekcie!AY$59/10</f>
        <v>1.3596602151728527</v>
      </c>
      <c r="AX45" s="78">
        <f>AX13/DD_projekcie!AZ$59/10</f>
        <v>1.3596602151728527</v>
      </c>
      <c r="AY45" s="78">
        <f>AY13/DD_projekcie!BA$59/10</f>
        <v>1.3596602151728527</v>
      </c>
      <c r="AZ45" s="78">
        <f>AZ13/DD_projekcie!BB$59/10</f>
        <v>1.3596602151728527</v>
      </c>
      <c r="BA45" s="78">
        <f>BA13/DD_projekcie!BC$59/10</f>
        <v>1.3596602151728525</v>
      </c>
    </row>
    <row r="46" spans="1:53" x14ac:dyDescent="0.25">
      <c r="A46" s="70" t="s">
        <v>1022</v>
      </c>
      <c r="B46" s="73">
        <f>B14/DD_projekcie!E$59/10</f>
        <v>38.698372759868903</v>
      </c>
      <c r="C46" s="73">
        <f>C14/DD_projekcie!E$59/10</f>
        <v>38.655775174028776</v>
      </c>
      <c r="D46" s="73">
        <f>D14/DD_projekcie!F$59/10</f>
        <v>38.563123495958173</v>
      </c>
      <c r="E46" s="73">
        <f>E14/DD_projekcie!G$59/10</f>
        <v>38.187349932347018</v>
      </c>
      <c r="F46" s="73">
        <f>F14/DD_projekcie!H$59/10</f>
        <v>37.085076381543253</v>
      </c>
      <c r="G46" s="73">
        <f>G14/DD_projekcie!I$59/10</f>
        <v>37.117322815132638</v>
      </c>
      <c r="H46" s="73">
        <f>H14/DD_projekcie!J$59/10</f>
        <v>37.219980229142585</v>
      </c>
      <c r="I46" s="73">
        <f>I14/DD_projekcie!K$59/10</f>
        <v>37.297929052712306</v>
      </c>
      <c r="J46" s="73">
        <f>J14/DD_projekcie!L$59/10</f>
        <v>37.427349689989697</v>
      </c>
      <c r="K46" s="73">
        <f>K14/DD_projekcie!M$59/10</f>
        <v>37.548914030556773</v>
      </c>
      <c r="L46" s="73">
        <f>L14/DD_projekcie!N$59/10</f>
        <v>37.642980808914601</v>
      </c>
      <c r="M46" s="73">
        <f>M14/DD_projekcie!O$59/10</f>
        <v>37.746193022823029</v>
      </c>
      <c r="N46" s="73">
        <f>N14/DD_projekcie!P$59/10</f>
        <v>38.033212406612975</v>
      </c>
      <c r="O46" s="73">
        <f>O14/DD_projekcie!Q$59/10</f>
        <v>38.21428055675095</v>
      </c>
      <c r="P46" s="73">
        <f>P14/DD_projekcie!R$59/10</f>
        <v>38.413314532530087</v>
      </c>
      <c r="Q46" s="73">
        <f>Q14/DD_projekcie!S$59/10</f>
        <v>38.584262757940508</v>
      </c>
      <c r="R46" s="73">
        <f>R14/DD_projekcie!T$59/10</f>
        <v>38.771550945461691</v>
      </c>
      <c r="S46" s="73">
        <f>S14/DD_projekcie!U$59/10</f>
        <v>38.867348479039237</v>
      </c>
      <c r="T46" s="73">
        <f>T14/DD_projekcie!V$59/10</f>
        <v>38.983792417595026</v>
      </c>
      <c r="U46" s="73">
        <f>U14/DD_projekcie!W$59/10</f>
        <v>39.151790794426439</v>
      </c>
      <c r="V46" s="73">
        <f>V14/DD_projekcie!X$59/10</f>
        <v>39.351937405161998</v>
      </c>
      <c r="W46" s="73">
        <f>W14/DD_projekcie!Y$59/10</f>
        <v>39.507275052136649</v>
      </c>
      <c r="X46" s="73">
        <f>X14/DD_projekcie!Z$59/10</f>
        <v>39.629696094812985</v>
      </c>
      <c r="Y46" s="73">
        <f>Y14/DD_projekcie!AA$59/10</f>
        <v>39.890331976889136</v>
      </c>
      <c r="Z46" s="73">
        <f>Z14/DD_projekcie!AB$59/10</f>
        <v>40.089027607274119</v>
      </c>
      <c r="AA46" s="73">
        <f>AA14/DD_projekcie!AC$59/10</f>
        <v>40.248130237301808</v>
      </c>
      <c r="AB46" s="73">
        <f>AB14/DD_projekcie!AD$59/10</f>
        <v>40.473513407096299</v>
      </c>
      <c r="AC46" s="73">
        <f>AC14/DD_projekcie!AE$59/10</f>
        <v>40.712582826874858</v>
      </c>
      <c r="AD46" s="73">
        <f>AD14/DD_projekcie!AF$59/10</f>
        <v>40.993731129396579</v>
      </c>
      <c r="AE46" s="73">
        <f>AE14/DD_projekcie!AG$59/10</f>
        <v>41.224028233485711</v>
      </c>
      <c r="AF46" s="73">
        <f>AF14/DD_projekcie!AH$59/10</f>
        <v>41.491631865348737</v>
      </c>
      <c r="AG46" s="73">
        <f>AG14/DD_projekcie!AI$59/10</f>
        <v>41.839094130896079</v>
      </c>
      <c r="AH46" s="73">
        <f>AH14/DD_projekcie!AJ$59/10</f>
        <v>42.163749403132691</v>
      </c>
      <c r="AI46" s="73">
        <f>AI14/DD_projekcie!AK$59/10</f>
        <v>42.394239431674201</v>
      </c>
      <c r="AJ46" s="73">
        <f>AJ14/DD_projekcie!AL$59/10</f>
        <v>42.753315067651251</v>
      </c>
      <c r="AK46" s="73">
        <f>AK14/DD_projekcie!AM$59/10</f>
        <v>43.147938643712216</v>
      </c>
      <c r="AL46" s="73">
        <f>AL14/DD_projekcie!AN$59/10</f>
        <v>43.571375292752577</v>
      </c>
      <c r="AM46" s="73">
        <f>AM14/DD_projekcie!AO$59/10</f>
        <v>43.982941355026853</v>
      </c>
      <c r="AN46" s="73">
        <f>AN14/DD_projekcie!AP$59/10</f>
        <v>44.452971668714333</v>
      </c>
      <c r="AO46" s="73">
        <f>AO14/DD_projekcie!AQ$59/10</f>
        <v>44.950120029498557</v>
      </c>
      <c r="AP46" s="73">
        <f>AP14/DD_projekcie!AR$59/10</f>
        <v>45.417252026823718</v>
      </c>
      <c r="AQ46" s="73">
        <f>AQ14/DD_projekcie!AS$59/10</f>
        <v>45.832141247521847</v>
      </c>
      <c r="AR46" s="73">
        <f>AR14/DD_projekcie!AT$59/10</f>
        <v>46.344364743001883</v>
      </c>
      <c r="AS46" s="73">
        <f>AS14/DD_projekcie!AU$59/10</f>
        <v>46.888524334553296</v>
      </c>
      <c r="AT46" s="73">
        <f>AT14/DD_projekcie!AV$59/10</f>
        <v>47.436110168208792</v>
      </c>
      <c r="AU46" s="73">
        <f>AU14/DD_projekcie!AW$59/10</f>
        <v>47.976735473350274</v>
      </c>
      <c r="AV46" s="73">
        <f>AV14/DD_projekcie!AX$59/10</f>
        <v>48.494784242062295</v>
      </c>
      <c r="AW46" s="73">
        <f>AW14/DD_projekcie!AY$59/10</f>
        <v>49.023193680745869</v>
      </c>
      <c r="AX46" s="73">
        <f>AX14/DD_projekcie!AZ$59/10</f>
        <v>49.55230570305757</v>
      </c>
      <c r="AY46" s="73">
        <f>AY14/DD_projekcie!BA$59/10</f>
        <v>49.960322673033097</v>
      </c>
      <c r="AZ46" s="73">
        <f>AZ14/DD_projekcie!BB$59/10</f>
        <v>50.348288214403297</v>
      </c>
      <c r="BA46" s="73">
        <f>BA14/DD_projekcie!BC$59/10</f>
        <v>50.762222622362941</v>
      </c>
    </row>
    <row r="47" spans="1:53" x14ac:dyDescent="0.25">
      <c r="A47" s="68" t="s">
        <v>1030</v>
      </c>
      <c r="B47" s="75">
        <f>B15/DD_projekcie!E$59/10</f>
        <v>36.739448509685033</v>
      </c>
      <c r="C47" s="75">
        <f>C15/DD_projekcie!E$59/10</f>
        <v>36.696850923844899</v>
      </c>
      <c r="D47" s="75">
        <f>D15/DD_projekcie!F$59/10</f>
        <v>36.631426480600545</v>
      </c>
      <c r="E47" s="75">
        <f>E15/DD_projekcie!G$59/10</f>
        <v>36.26450251027606</v>
      </c>
      <c r="F47" s="75">
        <f>F15/DD_projekcie!H$59/10</f>
        <v>35.128684566990962</v>
      </c>
      <c r="G47" s="75">
        <f>G15/DD_projekcie!I$59/10</f>
        <v>35.099785805552344</v>
      </c>
      <c r="H47" s="75">
        <f>H15/DD_projekcie!J$59/10</f>
        <v>35.099691671052362</v>
      </c>
      <c r="I47" s="75">
        <f>I15/DD_projekcie!K$59/10</f>
        <v>35.039671015369692</v>
      </c>
      <c r="J47" s="75">
        <f>J15/DD_projekcie!L$59/10</f>
        <v>35.032649096268941</v>
      </c>
      <c r="K47" s="75">
        <f>K15/DD_projekcie!M$59/10</f>
        <v>35.01414564427278</v>
      </c>
      <c r="L47" s="75">
        <f>L15/DD_projekcie!N$59/10</f>
        <v>34.96247222323565</v>
      </c>
      <c r="M47" s="75">
        <f>M15/DD_projekcie!O$59/10</f>
        <v>34.929795060130672</v>
      </c>
      <c r="N47" s="75">
        <f>N15/DD_projekcie!P$59/10</f>
        <v>34.937837613103468</v>
      </c>
      <c r="O47" s="75">
        <f>O15/DD_projekcie!Q$59/10</f>
        <v>34.938041773078481</v>
      </c>
      <c r="P47" s="75">
        <f>P15/DD_projekcie!R$59/10</f>
        <v>34.951488644078417</v>
      </c>
      <c r="Q47" s="75">
        <f>Q15/DD_projekcie!S$59/10</f>
        <v>34.972472778541537</v>
      </c>
      <c r="R47" s="75">
        <f>R15/DD_projekcie!T$59/10</f>
        <v>35.021775538389463</v>
      </c>
      <c r="S47" s="75">
        <f>S15/DD_projekcie!U$59/10</f>
        <v>34.983666839206066</v>
      </c>
      <c r="T47" s="75">
        <f>T15/DD_projekcie!V$59/10</f>
        <v>34.963552979039392</v>
      </c>
      <c r="U47" s="75">
        <f>U15/DD_projekcie!W$59/10</f>
        <v>34.986810533187636</v>
      </c>
      <c r="V47" s="75">
        <f>V15/DD_projekcie!X$59/10</f>
        <v>35.036623953811279</v>
      </c>
      <c r="W47" s="75">
        <f>W15/DD_projekcie!Y$59/10</f>
        <v>35.037539050756287</v>
      </c>
      <c r="X47" s="75">
        <f>X15/DD_projekcie!Z$59/10</f>
        <v>35.041442510349427</v>
      </c>
      <c r="Y47" s="75">
        <f>Y15/DD_projekcie!AA$59/10</f>
        <v>35.094110094764005</v>
      </c>
      <c r="Z47" s="75">
        <f>Z15/DD_projekcie!AB$59/10</f>
        <v>35.138445536613354</v>
      </c>
      <c r="AA47" s="75">
        <f>AA15/DD_projekcie!AC$59/10</f>
        <v>35.113189317832308</v>
      </c>
      <c r="AB47" s="75">
        <f>AB15/DD_projekcie!AD$59/10</f>
        <v>35.163700267655067</v>
      </c>
      <c r="AC47" s="75">
        <f>AC15/DD_projekcie!AE$59/10</f>
        <v>35.216847852616056</v>
      </c>
      <c r="AD47" s="75">
        <f>AD15/DD_projekcie!AF$59/10</f>
        <v>35.30349025414047</v>
      </c>
      <c r="AE47" s="75">
        <f>AE15/DD_projekcie!AG$59/10</f>
        <v>35.333374768977251</v>
      </c>
      <c r="AF47" s="75">
        <f>AF15/DD_projekcie!AH$59/10</f>
        <v>35.390877432173767</v>
      </c>
      <c r="AG47" s="75">
        <f>AG15/DD_projekcie!AI$59/10</f>
        <v>35.515758977542433</v>
      </c>
      <c r="AH47" s="75">
        <f>AH15/DD_projekcie!AJ$59/10</f>
        <v>35.607668390873428</v>
      </c>
      <c r="AI47" s="75">
        <f>AI15/DD_projekcie!AK$59/10</f>
        <v>35.624845651692645</v>
      </c>
      <c r="AJ47" s="75">
        <f>AJ15/DD_projekcie!AL$59/10</f>
        <v>35.700376922894975</v>
      </c>
      <c r="AK47" s="75">
        <f>AK15/DD_projekcie!AM$59/10</f>
        <v>35.843767974878759</v>
      </c>
      <c r="AL47" s="75">
        <f>AL15/DD_projekcie!AN$59/10</f>
        <v>35.987409394363297</v>
      </c>
      <c r="AM47" s="75">
        <f>AM15/DD_projekcie!AO$59/10</f>
        <v>36.114797218981685</v>
      </c>
      <c r="AN47" s="75">
        <f>AN15/DD_projekcie!AP$59/10</f>
        <v>36.28488360214007</v>
      </c>
      <c r="AO47" s="75">
        <f>AO15/DD_projekcie!AQ$59/10</f>
        <v>36.465868874029759</v>
      </c>
      <c r="AP47" s="75">
        <f>AP15/DD_projekcie!AR$59/10</f>
        <v>36.60734909311391</v>
      </c>
      <c r="AQ47" s="75">
        <f>AQ15/DD_projekcie!AS$59/10</f>
        <v>36.682868402157752</v>
      </c>
      <c r="AR47" s="75">
        <f>AR15/DD_projekcie!AT$59/10</f>
        <v>36.842277069651864</v>
      </c>
      <c r="AS47" s="75">
        <f>AS15/DD_projekcie!AU$59/10</f>
        <v>37.020187982608661</v>
      </c>
      <c r="AT47" s="75">
        <f>AT15/DD_projekcie!AV$59/10</f>
        <v>37.210242754392176</v>
      </c>
      <c r="AU47" s="75">
        <f>AU15/DD_projekcie!AW$59/10</f>
        <v>37.334134338720965</v>
      </c>
      <c r="AV47" s="75">
        <f>AV15/DD_projekcie!AX$59/10</f>
        <v>37.456409650647522</v>
      </c>
      <c r="AW47" s="75">
        <f>AW15/DD_projekcie!AY$59/10</f>
        <v>37.566071731159056</v>
      </c>
      <c r="AX47" s="75">
        <f>AX15/DD_projekcie!AZ$59/10</f>
        <v>37.67378452927808</v>
      </c>
      <c r="AY47" s="75">
        <f>AY15/DD_projekcie!BA$59/10</f>
        <v>37.647335379770432</v>
      </c>
      <c r="AZ47" s="75">
        <f>AZ15/DD_projekcie!BB$59/10</f>
        <v>37.593250191073011</v>
      </c>
      <c r="BA47" s="75">
        <f>BA15/DD_projekcie!BC$59/10</f>
        <v>37.562447776360209</v>
      </c>
    </row>
    <row r="48" spans="1:53" x14ac:dyDescent="0.25">
      <c r="A48" s="68" t="s">
        <v>1031</v>
      </c>
      <c r="B48" s="75">
        <f>B16/DD_projekcie!E$59/10</f>
        <v>18.034066125994642</v>
      </c>
      <c r="C48" s="75">
        <f>C16/DD_projekcie!E$59/10</f>
        <v>17.86148866119057</v>
      </c>
      <c r="D48" s="75">
        <f>D16/DD_projekcie!F$59/10</f>
        <v>17.693403715385923</v>
      </c>
      <c r="E48" s="75">
        <f>E16/DD_projekcie!G$59/10</f>
        <v>17.367120953807312</v>
      </c>
      <c r="F48" s="75">
        <f>F16/DD_projekcie!H$59/10</f>
        <v>16.348820467140087</v>
      </c>
      <c r="G48" s="75">
        <f>G16/DD_projekcie!I$59/10</f>
        <v>16.360428096819589</v>
      </c>
      <c r="H48" s="75">
        <f>H16/DD_projekcie!J$59/10</f>
        <v>16.360428096819589</v>
      </c>
      <c r="I48" s="75">
        <f>I16/DD_projekcie!K$59/10</f>
        <v>16.360428096819589</v>
      </c>
      <c r="J48" s="75">
        <f>J16/DD_projekcie!L$59/10</f>
        <v>16.360428096819589</v>
      </c>
      <c r="K48" s="75">
        <f>K16/DD_projekcie!M$59/10</f>
        <v>16.360428096819589</v>
      </c>
      <c r="L48" s="75">
        <f>L16/DD_projekcie!N$59/10</f>
        <v>16.360428096819589</v>
      </c>
      <c r="M48" s="75">
        <f>M16/DD_projekcie!O$59/10</f>
        <v>16.360428096819586</v>
      </c>
      <c r="N48" s="75">
        <f>N16/DD_projekcie!P$59/10</f>
        <v>16.360428096819586</v>
      </c>
      <c r="O48" s="75">
        <f>O16/DD_projekcie!Q$59/10</f>
        <v>16.360428096819589</v>
      </c>
      <c r="P48" s="75">
        <f>P16/DD_projekcie!R$59/10</f>
        <v>16.360428096819586</v>
      </c>
      <c r="Q48" s="75">
        <f>Q16/DD_projekcie!S$59/10</f>
        <v>16.360428096819589</v>
      </c>
      <c r="R48" s="75">
        <f>R16/DD_projekcie!T$59/10</f>
        <v>16.360428096819586</v>
      </c>
      <c r="S48" s="75">
        <f>S16/DD_projekcie!U$59/10</f>
        <v>16.360428096819589</v>
      </c>
      <c r="T48" s="75">
        <f>T16/DD_projekcie!V$59/10</f>
        <v>16.360428096819589</v>
      </c>
      <c r="U48" s="75">
        <f>U16/DD_projekcie!W$59/10</f>
        <v>16.360428096819589</v>
      </c>
      <c r="V48" s="75">
        <f>V16/DD_projekcie!X$59/10</f>
        <v>16.360428096819589</v>
      </c>
      <c r="W48" s="75">
        <f>W16/DD_projekcie!Y$59/10</f>
        <v>16.360428096819589</v>
      </c>
      <c r="X48" s="75">
        <f>X16/DD_projekcie!Z$59/10</f>
        <v>16.360428096819589</v>
      </c>
      <c r="Y48" s="75">
        <f>Y16/DD_projekcie!AA$59/10</f>
        <v>16.360428096819589</v>
      </c>
      <c r="Z48" s="75">
        <f>Z16/DD_projekcie!AB$59/10</f>
        <v>16.360428096819589</v>
      </c>
      <c r="AA48" s="75">
        <f>AA16/DD_projekcie!AC$59/10</f>
        <v>16.360428096819589</v>
      </c>
      <c r="AB48" s="75">
        <f>AB16/DD_projekcie!AD$59/10</f>
        <v>16.360428096819593</v>
      </c>
      <c r="AC48" s="75">
        <f>AC16/DD_projekcie!AE$59/10</f>
        <v>16.360428096819593</v>
      </c>
      <c r="AD48" s="75">
        <f>AD16/DD_projekcie!AF$59/10</f>
        <v>16.360428096819593</v>
      </c>
      <c r="AE48" s="75">
        <f>AE16/DD_projekcie!AG$59/10</f>
        <v>16.360428096819593</v>
      </c>
      <c r="AF48" s="75">
        <f>AF16/DD_projekcie!AH$59/10</f>
        <v>16.360428096819593</v>
      </c>
      <c r="AG48" s="75">
        <f>AG16/DD_projekcie!AI$59/10</f>
        <v>16.360428096819589</v>
      </c>
      <c r="AH48" s="75">
        <f>AH16/DD_projekcie!AJ$59/10</f>
        <v>16.360428096819589</v>
      </c>
      <c r="AI48" s="75">
        <f>AI16/DD_projekcie!AK$59/10</f>
        <v>16.360428096819589</v>
      </c>
      <c r="AJ48" s="75">
        <f>AJ16/DD_projekcie!AL$59/10</f>
        <v>16.360428096819589</v>
      </c>
      <c r="AK48" s="75">
        <f>AK16/DD_projekcie!AM$59/10</f>
        <v>16.360428096819586</v>
      </c>
      <c r="AL48" s="75">
        <f>AL16/DD_projekcie!AN$59/10</f>
        <v>16.360428096819586</v>
      </c>
      <c r="AM48" s="75">
        <f>AM16/DD_projekcie!AO$59/10</f>
        <v>16.360428096819586</v>
      </c>
      <c r="AN48" s="75">
        <f>AN16/DD_projekcie!AP$59/10</f>
        <v>16.360428096819586</v>
      </c>
      <c r="AO48" s="75">
        <f>AO16/DD_projekcie!AQ$59/10</f>
        <v>16.360428096819586</v>
      </c>
      <c r="AP48" s="75">
        <f>AP16/DD_projekcie!AR$59/10</f>
        <v>16.360428096819586</v>
      </c>
      <c r="AQ48" s="75">
        <f>AQ16/DD_projekcie!AS$59/10</f>
        <v>16.360428096819586</v>
      </c>
      <c r="AR48" s="75">
        <f>AR16/DD_projekcie!AT$59/10</f>
        <v>16.360428096819586</v>
      </c>
      <c r="AS48" s="75">
        <f>AS16/DD_projekcie!AU$59/10</f>
        <v>16.360428096819589</v>
      </c>
      <c r="AT48" s="75">
        <f>AT16/DD_projekcie!AV$59/10</f>
        <v>16.360428096819589</v>
      </c>
      <c r="AU48" s="75">
        <f>AU16/DD_projekcie!AW$59/10</f>
        <v>16.360428096819593</v>
      </c>
      <c r="AV48" s="75">
        <f>AV16/DD_projekcie!AX$59/10</f>
        <v>16.360428096819589</v>
      </c>
      <c r="AW48" s="75">
        <f>AW16/DD_projekcie!AY$59/10</f>
        <v>16.360428096819589</v>
      </c>
      <c r="AX48" s="75">
        <f>AX16/DD_projekcie!AZ$59/10</f>
        <v>16.360428096819593</v>
      </c>
      <c r="AY48" s="75">
        <f>AY16/DD_projekcie!BA$59/10</f>
        <v>16.360428096819593</v>
      </c>
      <c r="AZ48" s="75">
        <f>AZ16/DD_projekcie!BB$59/10</f>
        <v>16.360428096819593</v>
      </c>
      <c r="BA48" s="75">
        <f>BA16/DD_projekcie!BC$59/10</f>
        <v>16.360428096819593</v>
      </c>
    </row>
    <row r="49" spans="1:53" x14ac:dyDescent="0.25">
      <c r="A49" s="68" t="s">
        <v>1032</v>
      </c>
      <c r="B49" s="75">
        <f>B17/DD_projekcie!E$59/10</f>
        <v>18.439579126780394</v>
      </c>
      <c r="C49" s="75">
        <f>C17/DD_projekcie!E$59/10</f>
        <v>18.569559005744331</v>
      </c>
      <c r="D49" s="75">
        <f>D17/DD_projekcie!F$59/10</f>
        <v>18.672997624240743</v>
      </c>
      <c r="E49" s="75">
        <f>E17/DD_projekcie!G$59/10</f>
        <v>18.626934706328207</v>
      </c>
      <c r="F49" s="75">
        <f>F17/DD_projekcie!H$59/10</f>
        <v>18.493461671937304</v>
      </c>
      <c r="G49" s="75">
        <f>G17/DD_projekcie!I$59/10</f>
        <v>18.482533216241574</v>
      </c>
      <c r="H49" s="75">
        <f>H17/DD_projekcie!J$59/10</f>
        <v>18.492757944440804</v>
      </c>
      <c r="I49" s="75">
        <f>I17/DD_projekcie!K$59/10</f>
        <v>18.45668274023037</v>
      </c>
      <c r="J49" s="75">
        <f>J17/DD_projekcie!L$59/10</f>
        <v>18.43770497548098</v>
      </c>
      <c r="K49" s="75">
        <f>K17/DD_projekcie!M$59/10</f>
        <v>18.449088584573456</v>
      </c>
      <c r="L49" s="75">
        <f>L17/DD_projekcie!N$59/10</f>
        <v>18.403647271953503</v>
      </c>
      <c r="M49" s="75">
        <f>M17/DD_projekcie!O$59/10</f>
        <v>18.37716240424448</v>
      </c>
      <c r="N49" s="75">
        <f>N17/DD_projekcie!P$59/10</f>
        <v>18.36766350913409</v>
      </c>
      <c r="O49" s="75">
        <f>O17/DD_projekcie!Q$59/10</f>
        <v>18.394003530120095</v>
      </c>
      <c r="P49" s="75">
        <f>P17/DD_projekcie!R$59/10</f>
        <v>18.414710181181427</v>
      </c>
      <c r="Q49" s="75">
        <f>Q17/DD_projekcie!S$59/10</f>
        <v>18.438734727888733</v>
      </c>
      <c r="R49" s="75">
        <f>R17/DD_projekcie!T$59/10</f>
        <v>18.467891083407313</v>
      </c>
      <c r="S49" s="75">
        <f>S17/DD_projekcie!U$59/10</f>
        <v>18.453646967784433</v>
      </c>
      <c r="T49" s="75">
        <f>T17/DD_projekcie!V$59/10</f>
        <v>18.430896387647287</v>
      </c>
      <c r="U49" s="75">
        <f>U17/DD_projekcie!W$59/10</f>
        <v>18.433881596481449</v>
      </c>
      <c r="V49" s="75">
        <f>V17/DD_projekcie!X$59/10</f>
        <v>18.456292700218164</v>
      </c>
      <c r="W49" s="75">
        <f>W17/DD_projekcie!Y$59/10</f>
        <v>18.479293566891876</v>
      </c>
      <c r="X49" s="75">
        <f>X17/DD_projekcie!Z$59/10</f>
        <v>18.508884018770502</v>
      </c>
      <c r="Y49" s="75">
        <f>Y17/DD_projekcie!AA$59/10</f>
        <v>18.559732329681744</v>
      </c>
      <c r="Z49" s="75">
        <f>Z17/DD_projekcie!AB$59/10</f>
        <v>18.575115358512896</v>
      </c>
      <c r="AA49" s="75">
        <f>AA17/DD_projekcie!AC$59/10</f>
        <v>18.567939812944694</v>
      </c>
      <c r="AB49" s="75">
        <f>AB17/DD_projekcie!AD$59/10</f>
        <v>18.620553459821895</v>
      </c>
      <c r="AC49" s="75">
        <f>AC17/DD_projekcie!AE$59/10</f>
        <v>18.679713137531103</v>
      </c>
      <c r="AD49" s="75">
        <f>AD17/DD_projekcie!AF$59/10</f>
        <v>18.749949136191582</v>
      </c>
      <c r="AE49" s="75">
        <f>AE17/DD_projekcie!AG$59/10</f>
        <v>18.825184996461477</v>
      </c>
      <c r="AF49" s="75">
        <f>AF17/DD_projekcie!AH$59/10</f>
        <v>18.919485891881852</v>
      </c>
      <c r="AG49" s="75">
        <f>AG17/DD_projekcie!AI$59/10</f>
        <v>19.038607939640421</v>
      </c>
      <c r="AH49" s="75">
        <f>AH17/DD_projekcie!AJ$59/10</f>
        <v>19.114259704477231</v>
      </c>
      <c r="AI49" s="75">
        <f>AI17/DD_projekcie!AK$59/10</f>
        <v>19.15560551642578</v>
      </c>
      <c r="AJ49" s="75">
        <f>AJ17/DD_projekcie!AL$59/10</f>
        <v>19.240710166647954</v>
      </c>
      <c r="AK49" s="75">
        <f>AK17/DD_projekcie!AM$59/10</f>
        <v>19.364102713549077</v>
      </c>
      <c r="AL49" s="75">
        <f>AL17/DD_projekcie!AN$59/10</f>
        <v>19.490995109636899</v>
      </c>
      <c r="AM49" s="75">
        <f>AM17/DD_projekcie!AO$59/10</f>
        <v>19.640726224620046</v>
      </c>
      <c r="AN49" s="75">
        <f>AN17/DD_projekcie!AP$59/10</f>
        <v>19.808816222265342</v>
      </c>
      <c r="AO49" s="75">
        <f>AO17/DD_projekcie!AQ$59/10</f>
        <v>19.991115368729588</v>
      </c>
      <c r="AP49" s="75">
        <f>AP17/DD_projekcie!AR$59/10</f>
        <v>20.115492073953153</v>
      </c>
      <c r="AQ49" s="75">
        <f>AQ17/DD_projekcie!AS$59/10</f>
        <v>20.215294331662612</v>
      </c>
      <c r="AR49" s="75">
        <f>AR17/DD_projekcie!AT$59/10</f>
        <v>20.379193785313269</v>
      </c>
      <c r="AS49" s="75">
        <f>AS17/DD_projekcie!AU$59/10</f>
        <v>20.554827027068335</v>
      </c>
      <c r="AT49" s="75">
        <f>AT17/DD_projekcie!AV$59/10</f>
        <v>20.727829391608072</v>
      </c>
      <c r="AU49" s="75">
        <f>AU17/DD_projekcie!AW$59/10</f>
        <v>20.872693249064689</v>
      </c>
      <c r="AV49" s="75">
        <f>AV17/DD_projekcie!AX$59/10</f>
        <v>21.005077014227783</v>
      </c>
      <c r="AW49" s="75">
        <f>AW17/DD_projekcie!AY$59/10</f>
        <v>21.120622397736774</v>
      </c>
      <c r="AX49" s="75">
        <f>AX17/DD_projekcie!AZ$59/10</f>
        <v>21.203994060726142</v>
      </c>
      <c r="AY49" s="75">
        <f>AY17/DD_projekcie!BA$59/10</f>
        <v>21.200637642273925</v>
      </c>
      <c r="AZ49" s="75">
        <f>AZ17/DD_projekcie!BB$59/10</f>
        <v>21.157642051196341</v>
      </c>
      <c r="BA49" s="75">
        <f>BA17/DD_projekcie!BC$59/10</f>
        <v>21.132179209525411</v>
      </c>
    </row>
    <row r="50" spans="1:53" x14ac:dyDescent="0.25">
      <c r="A50" s="68" t="s">
        <v>1034</v>
      </c>
      <c r="B50" s="75">
        <f>B18/DD_projekcie!E$59/10</f>
        <v>8.2893330311030464</v>
      </c>
      <c r="C50" s="75">
        <f>C18/DD_projekcie!E$59/10</f>
        <v>8.2893330311030464</v>
      </c>
      <c r="D50" s="75">
        <f>D18/DD_projekcie!F$59/10</f>
        <v>8.3639267212804977</v>
      </c>
      <c r="E50" s="75">
        <f>E18/DD_projekcie!G$59/10</f>
        <v>8.3340756593551344</v>
      </c>
      <c r="F50" s="75">
        <f>F18/DD_projekcie!H$59/10</f>
        <v>8.3154548793334548</v>
      </c>
      <c r="G50" s="75">
        <f>G18/DD_projekcie!I$59/10</f>
        <v>8.2885599046723204</v>
      </c>
      <c r="H50" s="75">
        <f>H18/DD_projekcie!J$59/10</f>
        <v>8.2835056778392175</v>
      </c>
      <c r="I50" s="75">
        <f>I18/DD_projekcie!K$59/10</f>
        <v>8.2270528690961608</v>
      </c>
      <c r="J50" s="75">
        <f>J18/DD_projekcie!L$59/10</f>
        <v>8.1798235449681105</v>
      </c>
      <c r="K50" s="75">
        <f>K18/DD_projekcie!M$59/10</f>
        <v>8.1503919615737672</v>
      </c>
      <c r="L50" s="75">
        <f>L18/DD_projekcie!N$59/10</f>
        <v>8.0600466571891936</v>
      </c>
      <c r="M50" s="75">
        <f>M18/DD_projekcie!O$59/10</f>
        <v>7.9883680505467094</v>
      </c>
      <c r="N50" s="75">
        <f>N18/DD_projekcie!P$59/10</f>
        <v>7.9343704816373162</v>
      </c>
      <c r="O50" s="75">
        <f>O18/DD_projekcie!Q$59/10</f>
        <v>7.9216641433801911</v>
      </c>
      <c r="P50" s="75">
        <f>P18/DD_projekcie!R$59/10</f>
        <v>7.9017992200868381</v>
      </c>
      <c r="Q50" s="75">
        <f>Q18/DD_projekcie!S$59/10</f>
        <v>7.8914850069293507</v>
      </c>
      <c r="R50" s="75">
        <f>R18/DD_projekcie!T$59/10</f>
        <v>7.8940803988608268</v>
      </c>
      <c r="S50" s="75">
        <f>S18/DD_projekcie!U$59/10</f>
        <v>7.8605392974355057</v>
      </c>
      <c r="T50" s="75">
        <f>T18/DD_projekcie!V$59/10</f>
        <v>7.8297355500264132</v>
      </c>
      <c r="U50" s="75">
        <f>U18/DD_projekcie!W$59/10</f>
        <v>7.8283807799805087</v>
      </c>
      <c r="V50" s="75">
        <f>V18/DD_projekcie!X$59/10</f>
        <v>7.8564339312004394</v>
      </c>
      <c r="W50" s="75">
        <f>W18/DD_projekcie!Y$59/10</f>
        <v>7.8831236556314837</v>
      </c>
      <c r="X50" s="75">
        <f>X18/DD_projekcie!Z$59/10</f>
        <v>7.9206960859940212</v>
      </c>
      <c r="Y50" s="75">
        <f>Y18/DD_projekcie!AA$59/10</f>
        <v>7.9830012978240159</v>
      </c>
      <c r="Z50" s="75">
        <f>Z18/DD_projekcie!AB$59/10</f>
        <v>8.0141467665756885</v>
      </c>
      <c r="AA50" s="75">
        <f>AA18/DD_projekcie!AC$59/10</f>
        <v>8.0226391084397157</v>
      </c>
      <c r="AB50" s="75">
        <f>AB18/DD_projekcie!AD$59/10</f>
        <v>8.0891525400458164</v>
      </c>
      <c r="AC50" s="75">
        <f>AC18/DD_projekcie!AE$59/10</f>
        <v>8.1579632966631213</v>
      </c>
      <c r="AD50" s="75">
        <f>AD18/DD_projekcie!AF$59/10</f>
        <v>8.233771099646777</v>
      </c>
      <c r="AE50" s="75">
        <f>AE18/DD_projekcie!AG$59/10</f>
        <v>8.3059284256182515</v>
      </c>
      <c r="AF50" s="75">
        <f>AF18/DD_projekcie!AH$59/10</f>
        <v>8.3831217675060703</v>
      </c>
      <c r="AG50" s="75">
        <f>AG18/DD_projekcie!AI$59/10</f>
        <v>8.4802682968162522</v>
      </c>
      <c r="AH50" s="75">
        <f>AH18/DD_projekcie!AJ$59/10</f>
        <v>8.5350280520424029</v>
      </c>
      <c r="AI50" s="75">
        <f>AI18/DD_projekcie!AK$59/10</f>
        <v>8.5491336308826593</v>
      </c>
      <c r="AJ50" s="75">
        <f>AJ18/DD_projekcie!AL$59/10</f>
        <v>8.6030237853580509</v>
      </c>
      <c r="AK50" s="75">
        <f>AK18/DD_projekcie!AM$59/10</f>
        <v>8.6861581364805893</v>
      </c>
      <c r="AL50" s="75">
        <f>AL18/DD_projekcie!AN$59/10</f>
        <v>8.7642900593875304</v>
      </c>
      <c r="AM50" s="75">
        <f>AM18/DD_projekcie!AO$59/10</f>
        <v>8.8529344258731797</v>
      </c>
      <c r="AN50" s="75">
        <f>AN18/DD_projekcie!AP$59/10</f>
        <v>8.9541893462330542</v>
      </c>
      <c r="AO50" s="75">
        <f>AO18/DD_projekcie!AQ$59/10</f>
        <v>9.0676148439171822</v>
      </c>
      <c r="AP50" s="75">
        <f>AP18/DD_projekcie!AR$59/10</f>
        <v>9.1258852667803119</v>
      </c>
      <c r="AQ50" s="75">
        <f>AQ18/DD_projekcie!AS$59/10</f>
        <v>9.153060522229449</v>
      </c>
      <c r="AR50" s="75">
        <f>AR18/DD_projekcie!AT$59/10</f>
        <v>9.243856115458879</v>
      </c>
      <c r="AS50" s="75">
        <f>AS18/DD_projekcie!AU$59/10</f>
        <v>9.3492164038859222</v>
      </c>
      <c r="AT50" s="75">
        <f>AT18/DD_projekcie!AV$59/10</f>
        <v>9.4574660823924113</v>
      </c>
      <c r="AU50" s="75">
        <f>AU18/DD_projekcie!AW$59/10</f>
        <v>9.5481750044273674</v>
      </c>
      <c r="AV50" s="75">
        <f>AV18/DD_projekcie!AX$59/10</f>
        <v>9.6304534039525294</v>
      </c>
      <c r="AW50" s="75">
        <f>AW18/DD_projekcie!AY$59/10</f>
        <v>9.7100970933565485</v>
      </c>
      <c r="AX50" s="75">
        <f>AX18/DD_projekcie!AZ$59/10</f>
        <v>9.7791881450282698</v>
      </c>
      <c r="AY50" s="75">
        <f>AY18/DD_projekcie!BA$59/10</f>
        <v>9.7762838762211803</v>
      </c>
      <c r="AZ50" s="75">
        <f>AZ18/DD_projekcie!BB$59/10</f>
        <v>9.7338549384173465</v>
      </c>
      <c r="BA50" s="75">
        <f>BA18/DD_projekcie!BC$59/10</f>
        <v>9.7101091238788122</v>
      </c>
    </row>
    <row r="51" spans="1:53" x14ac:dyDescent="0.25">
      <c r="A51" s="68" t="s">
        <v>1035</v>
      </c>
      <c r="B51" s="75">
        <f>B19/DD_projekcie!E$59/10</f>
        <v>0.39886430246708227</v>
      </c>
      <c r="C51" s="75">
        <f>C19/DD_projekcie!E$59/10</f>
        <v>0.39886430246708227</v>
      </c>
      <c r="D51" s="75">
        <f>D19/DD_projekcie!F$59/10</f>
        <v>0.39694595271301408</v>
      </c>
      <c r="E51" s="75">
        <f>E19/DD_projekcie!G$59/10</f>
        <v>0.39708744835179627</v>
      </c>
      <c r="F51" s="75">
        <f>F19/DD_projekcie!H$59/10</f>
        <v>0.39460246391142567</v>
      </c>
      <c r="G51" s="75">
        <f>G19/DD_projekcie!I$59/10</f>
        <v>0.39119494714162445</v>
      </c>
      <c r="H51" s="75">
        <f>H19/DD_projekcie!J$59/10</f>
        <v>0.39065139821189721</v>
      </c>
      <c r="I51" s="75">
        <f>I19/DD_projekcie!K$59/10</f>
        <v>0.38818944443202319</v>
      </c>
      <c r="J51" s="75">
        <f>J19/DD_projekcie!L$59/10</f>
        <v>0.38661349476401108</v>
      </c>
      <c r="K51" s="75">
        <f>K19/DD_projekcie!M$59/10</f>
        <v>0.38547414898180532</v>
      </c>
      <c r="L51" s="75">
        <f>L19/DD_projekcie!N$59/10</f>
        <v>0.38568863883400284</v>
      </c>
      <c r="M51" s="75">
        <f>M19/DD_projekcie!O$59/10</f>
        <v>0.38809261292136599</v>
      </c>
      <c r="N51" s="75">
        <f>N19/DD_projekcie!P$59/10</f>
        <v>0.38794907740179363</v>
      </c>
      <c r="O51" s="75">
        <f>O19/DD_projekcie!Q$59/10</f>
        <v>0.38730889126713702</v>
      </c>
      <c r="P51" s="75">
        <f>P19/DD_projekcie!R$59/10</f>
        <v>0.38691781790093543</v>
      </c>
      <c r="Q51" s="75">
        <f>Q19/DD_projekcie!S$59/10</f>
        <v>0.38835441499759138</v>
      </c>
      <c r="R51" s="75">
        <f>R19/DD_projekcie!T$59/10</f>
        <v>0.38786389757783352</v>
      </c>
      <c r="S51" s="75">
        <f>S19/DD_projekcie!U$59/10</f>
        <v>0.3870231860399635</v>
      </c>
      <c r="T51" s="75">
        <f>T19/DD_projekcie!V$59/10</f>
        <v>0.3854206487778592</v>
      </c>
      <c r="U51" s="75">
        <f>U19/DD_projekcie!W$59/10</f>
        <v>0.38677382993796505</v>
      </c>
      <c r="V51" s="75">
        <f>V19/DD_projekcie!X$59/10</f>
        <v>0.38524342505845333</v>
      </c>
      <c r="W51" s="75">
        <f>W19/DD_projekcie!Y$59/10</f>
        <v>0.38250994457576304</v>
      </c>
      <c r="X51" s="75">
        <f>X19/DD_projekcie!Z$59/10</f>
        <v>0.37960439474019053</v>
      </c>
      <c r="Y51" s="75">
        <f>Y19/DD_projekcie!AA$59/10</f>
        <v>0.37595235448413356</v>
      </c>
      <c r="Z51" s="75">
        <f>Z19/DD_projekcie!AB$59/10</f>
        <v>0.37422526616123419</v>
      </c>
      <c r="AA51" s="75">
        <f>AA19/DD_projekcie!AC$59/10</f>
        <v>0.36976854767877743</v>
      </c>
      <c r="AB51" s="75">
        <f>AB19/DD_projekcie!AD$59/10</f>
        <v>0.36419322627581624</v>
      </c>
      <c r="AC51" s="75">
        <f>AC19/DD_projekcie!AE$59/10</f>
        <v>0.35836716893458959</v>
      </c>
      <c r="AD51" s="75">
        <f>AD19/DD_projekcie!AF$59/10</f>
        <v>0.35317415858267115</v>
      </c>
      <c r="AE51" s="75">
        <f>AE19/DD_projekcie!AG$59/10</f>
        <v>0.34916735892533102</v>
      </c>
      <c r="AF51" s="75">
        <f>AF19/DD_projekcie!AH$59/10</f>
        <v>0.34381368138784563</v>
      </c>
      <c r="AG51" s="75">
        <f>AG19/DD_projekcie!AI$59/10</f>
        <v>0.33899330322464077</v>
      </c>
      <c r="AH51" s="75">
        <f>AH19/DD_projekcie!AJ$59/10</f>
        <v>0.33471004601645948</v>
      </c>
      <c r="AI51" s="75">
        <f>AI19/DD_projekcie!AK$59/10</f>
        <v>0.33414497599293691</v>
      </c>
      <c r="AJ51" s="75">
        <f>AJ19/DD_projekcie!AL$59/10</f>
        <v>0.33142513955100716</v>
      </c>
      <c r="AK51" s="75">
        <f>AK19/DD_projekcie!AM$59/10</f>
        <v>0.32989879765167207</v>
      </c>
      <c r="AL51" s="75">
        <f>AL19/DD_projekcie!AN$59/10</f>
        <v>0.32888566729991175</v>
      </c>
      <c r="AM51" s="75">
        <f>AM19/DD_projekcie!AO$59/10</f>
        <v>0.32844143438459628</v>
      </c>
      <c r="AN51" s="75">
        <f>AN19/DD_projekcie!AP$59/10</f>
        <v>0.32926722677794729</v>
      </c>
      <c r="AO51" s="75">
        <f>AO19/DD_projekcie!AQ$59/10</f>
        <v>0.33143515921555666</v>
      </c>
      <c r="AP51" s="75">
        <f>AP19/DD_projekcie!AR$59/10</f>
        <v>0.3318968080415049</v>
      </c>
      <c r="AQ51" s="75">
        <f>AQ19/DD_projekcie!AS$59/10</f>
        <v>0.33211518301570619</v>
      </c>
      <c r="AR51" s="75">
        <f>AR19/DD_projekcie!AT$59/10</f>
        <v>0.33228839411536171</v>
      </c>
      <c r="AS51" s="75">
        <f>AS19/DD_projekcie!AU$59/10</f>
        <v>0.33334416025167823</v>
      </c>
      <c r="AT51" s="75">
        <f>AT19/DD_projekcie!AV$59/10</f>
        <v>0.33544516368552818</v>
      </c>
      <c r="AU51" s="75">
        <f>AU19/DD_projekcie!AW$59/10</f>
        <v>0.33503899223003863</v>
      </c>
      <c r="AV51" s="75">
        <f>AV19/DD_projekcie!AX$59/10</f>
        <v>0.33455342489119128</v>
      </c>
      <c r="AW51" s="75">
        <f>AW19/DD_projekcie!AY$59/10</f>
        <v>0.33377373070990429</v>
      </c>
      <c r="AX51" s="75">
        <f>AX19/DD_projekcie!AZ$59/10</f>
        <v>0.33239313338562365</v>
      </c>
      <c r="AY51" s="75">
        <f>AY19/DD_projekcie!BA$59/10</f>
        <v>0.33453398600737333</v>
      </c>
      <c r="AZ51" s="75">
        <f>AZ19/DD_projekcie!BB$59/10</f>
        <v>0.33291278212934661</v>
      </c>
      <c r="BA51" s="75">
        <f>BA19/DD_projekcie!BC$59/10</f>
        <v>0.33082919242399705</v>
      </c>
    </row>
    <row r="52" spans="1:53" x14ac:dyDescent="0.25">
      <c r="A52" s="68" t="s">
        <v>1036</v>
      </c>
      <c r="B52" s="75">
        <f>B20/DD_projekcie!E$59/10</f>
        <v>5.1045903386416427</v>
      </c>
      <c r="C52" s="75">
        <f>C20/DD_projekcie!E$59/10</f>
        <v>5.2345702176055813</v>
      </c>
      <c r="D52" s="75">
        <f>D20/DD_projekcie!F$59/10</f>
        <v>5.2603064108199149</v>
      </c>
      <c r="E52" s="75">
        <f>E20/DD_projekcie!G$59/10</f>
        <v>5.3063299489480267</v>
      </c>
      <c r="F52" s="75">
        <f>F20/DD_projekcie!H$59/10</f>
        <v>5.3555815711851906</v>
      </c>
      <c r="G52" s="75">
        <f>G20/DD_projekcie!I$59/10</f>
        <v>5.4038233623936005</v>
      </c>
      <c r="H52" s="75">
        <f>H20/DD_projekcie!J$59/10</f>
        <v>5.4444562792680262</v>
      </c>
      <c r="I52" s="75">
        <f>I20/DD_projekcie!K$59/10</f>
        <v>5.4880348009759228</v>
      </c>
      <c r="J52" s="75">
        <f>J20/DD_projekcie!L$59/10</f>
        <v>5.5332074854199362</v>
      </c>
      <c r="K52" s="75">
        <f>K20/DD_projekcie!M$59/10</f>
        <v>5.5833163007345901</v>
      </c>
      <c r="L52" s="75">
        <f>L20/DD_projekcie!N$59/10</f>
        <v>5.6309204754034541</v>
      </c>
      <c r="M52" s="75">
        <f>M20/DD_projekcie!O$59/10</f>
        <v>5.6764015028678703</v>
      </c>
      <c r="N52" s="75">
        <f>N20/DD_projekcie!P$59/10</f>
        <v>5.7236375008052702</v>
      </c>
      <c r="O52" s="75">
        <f>O20/DD_projekcie!Q$59/10</f>
        <v>5.768768301599386</v>
      </c>
      <c r="P52" s="75">
        <f>P20/DD_projekcie!R$59/10</f>
        <v>5.8169541965861278</v>
      </c>
      <c r="Q52" s="75">
        <f>Q20/DD_projekcie!S$59/10</f>
        <v>5.8577971246521772</v>
      </c>
      <c r="R52" s="75">
        <f>R20/DD_projekcie!T$59/10</f>
        <v>5.8979642404632795</v>
      </c>
      <c r="S52" s="75">
        <f>S20/DD_projekcie!U$59/10</f>
        <v>5.9352331081452441</v>
      </c>
      <c r="T52" s="75">
        <f>T20/DD_projekcie!V$59/10</f>
        <v>5.9640149336615451</v>
      </c>
      <c r="U52" s="75">
        <f>U20/DD_projekcie!W$59/10</f>
        <v>5.984841221502756</v>
      </c>
      <c r="V52" s="75">
        <f>V20/DD_projekcie!X$59/10</f>
        <v>6.000734893197329</v>
      </c>
      <c r="W52" s="75">
        <f>W20/DD_projekcie!Y$59/10</f>
        <v>6.0246043766966988</v>
      </c>
      <c r="X52" s="75">
        <f>X20/DD_projekcie!Z$59/10</f>
        <v>6.0454197636159215</v>
      </c>
      <c r="Y52" s="75">
        <f>Y20/DD_projekcie!AA$59/10</f>
        <v>6.0628315993357971</v>
      </c>
      <c r="Z52" s="75">
        <f>Z20/DD_projekcie!AB$59/10</f>
        <v>6.0720440309743537</v>
      </c>
      <c r="AA52" s="75">
        <f>AA20/DD_projekcie!AC$59/10</f>
        <v>6.0819246605259121</v>
      </c>
      <c r="AB52" s="75">
        <f>AB20/DD_projekcie!AD$59/10</f>
        <v>6.092679783649162</v>
      </c>
      <c r="AC52" s="75">
        <f>AC20/DD_projekcie!AE$59/10</f>
        <v>6.10550790498651</v>
      </c>
      <c r="AD52" s="75">
        <f>AD20/DD_projekcie!AF$59/10</f>
        <v>6.1181897263157152</v>
      </c>
      <c r="AE52" s="75">
        <f>AE20/DD_projekcie!AG$59/10</f>
        <v>6.1332032627700608</v>
      </c>
      <c r="AF52" s="75">
        <f>AF20/DD_projekcie!AH$59/10</f>
        <v>6.1577472339015742</v>
      </c>
      <c r="AG52" s="75">
        <f>AG20/DD_projekcie!AI$59/10</f>
        <v>6.1832733141100595</v>
      </c>
      <c r="AH52" s="75">
        <f>AH20/DD_projekcie!AJ$59/10</f>
        <v>6.2021814515389497</v>
      </c>
      <c r="AI52" s="75">
        <f>AI20/DD_projekcie!AK$59/10</f>
        <v>6.2178669475747466</v>
      </c>
      <c r="AJ52" s="75">
        <f>AJ20/DD_projekcie!AL$59/10</f>
        <v>6.2346598095105694</v>
      </c>
      <c r="AK52" s="75">
        <f>AK20/DD_projekcie!AM$59/10</f>
        <v>6.2559792155090674</v>
      </c>
      <c r="AL52" s="75">
        <f>AL20/DD_projekcie!AN$59/10</f>
        <v>6.2805810777659996</v>
      </c>
      <c r="AM52" s="75">
        <f>AM20/DD_projekcie!AO$59/10</f>
        <v>6.3152083138814108</v>
      </c>
      <c r="AN52" s="75">
        <f>AN20/DD_projekcie!AP$59/10</f>
        <v>6.3508980268154414</v>
      </c>
      <c r="AO52" s="75">
        <f>AO20/DD_projekcie!AQ$59/10</f>
        <v>6.3856535029188475</v>
      </c>
      <c r="AP52" s="75">
        <f>AP20/DD_projekcie!AR$59/10</f>
        <v>6.4197486486556938</v>
      </c>
      <c r="AQ52" s="75">
        <f>AQ20/DD_projekcie!AS$59/10</f>
        <v>6.4593013671004913</v>
      </c>
      <c r="AR52" s="75">
        <f>AR20/DD_projekcie!AT$59/10</f>
        <v>6.4999461416403763</v>
      </c>
      <c r="AS52" s="75">
        <f>AS20/DD_projekcie!AU$59/10</f>
        <v>6.5385409133117509</v>
      </c>
      <c r="AT52" s="75">
        <f>AT20/DD_projekcie!AV$59/10</f>
        <v>6.5732916813318116</v>
      </c>
      <c r="AU52" s="75">
        <f>AU20/DD_projekcie!AW$59/10</f>
        <v>6.6033029966497994</v>
      </c>
      <c r="AV52" s="75">
        <f>AV20/DD_projekcie!AX$59/10</f>
        <v>6.634193475151565</v>
      </c>
      <c r="AW52" s="75">
        <f>AW20/DD_projekcie!AY$59/10</f>
        <v>6.6538136607480949</v>
      </c>
      <c r="AX52" s="75">
        <f>AX20/DD_projekcie!AZ$59/10</f>
        <v>6.6587940248021624</v>
      </c>
      <c r="AY52" s="75">
        <f>AY20/DD_projekcie!BA$59/10</f>
        <v>6.6562010225352832</v>
      </c>
      <c r="AZ52" s="75">
        <f>AZ20/DD_projekcie!BB$59/10</f>
        <v>6.6572555731395635</v>
      </c>
      <c r="BA52" s="75">
        <f>BA20/DD_projekcie!BC$59/10</f>
        <v>6.6576221357125194</v>
      </c>
    </row>
    <row r="53" spans="1:53" x14ac:dyDescent="0.25">
      <c r="A53" s="68" t="s">
        <v>1037</v>
      </c>
      <c r="B53" s="75">
        <f>B21/DD_projekcie!E$59/10</f>
        <v>0.30258882417940847</v>
      </c>
      <c r="C53" s="75">
        <f>C21/DD_projekcie!E$59/10</f>
        <v>0.30258882417940847</v>
      </c>
      <c r="D53" s="75">
        <f>D21/DD_projekcie!F$59/10</f>
        <v>0.31451771676104573</v>
      </c>
      <c r="E53" s="75">
        <f>E21/DD_projekcie!G$59/10</f>
        <v>0.32302218517693265</v>
      </c>
      <c r="F53" s="75">
        <f>F21/DD_projekcie!H$59/10</f>
        <v>0.32738989219428999</v>
      </c>
      <c r="G53" s="75">
        <f>G21/DD_projekcie!I$59/10</f>
        <v>0.33011433917324007</v>
      </c>
      <c r="H53" s="75">
        <f>H21/DD_projekcie!J$59/10</f>
        <v>0.33352889099651628</v>
      </c>
      <c r="I53" s="75">
        <f>I21/DD_projekcie!K$59/10</f>
        <v>0.33697089010436432</v>
      </c>
      <c r="J53" s="75">
        <f>J21/DD_projekcie!L$59/10</f>
        <v>0.34060675113641742</v>
      </c>
      <c r="K53" s="75">
        <f>K21/DD_projekcie!M$59/10</f>
        <v>0.34469838396918318</v>
      </c>
      <c r="L53" s="75">
        <f>L21/DD_projekcie!N$59/10</f>
        <v>0.34928620192407933</v>
      </c>
      <c r="M53" s="75">
        <f>M21/DD_projekcie!O$59/10</f>
        <v>0.35419249767015609</v>
      </c>
      <c r="N53" s="75">
        <f>N21/DD_projekcie!P$59/10</f>
        <v>0.35936164399154269</v>
      </c>
      <c r="O53" s="75">
        <f>O21/DD_projekcie!Q$59/10</f>
        <v>0.36490054601244271</v>
      </c>
      <c r="P53" s="75">
        <f>P21/DD_projekcie!R$59/10</f>
        <v>0.37090624758304647</v>
      </c>
      <c r="Q53" s="75">
        <f>Q21/DD_projekcie!S$59/10</f>
        <v>0.37774328947231661</v>
      </c>
      <c r="R53" s="75">
        <f>R21/DD_projekcie!T$59/10</f>
        <v>0.38524750556590248</v>
      </c>
      <c r="S53" s="75">
        <f>S21/DD_projekcie!U$59/10</f>
        <v>0.39321201191184674</v>
      </c>
      <c r="T53" s="75">
        <f>T21/DD_projekcie!V$59/10</f>
        <v>0.40184924830143681</v>
      </c>
      <c r="U53" s="75">
        <f>U21/DD_projekcie!W$59/10</f>
        <v>0.41139803703843703</v>
      </c>
      <c r="V53" s="75">
        <f>V21/DD_projekcie!X$59/10</f>
        <v>0.42149920954595066</v>
      </c>
      <c r="W53" s="75">
        <f>W21/DD_projekcie!Y$59/10</f>
        <v>0.43174796329626686</v>
      </c>
      <c r="X53" s="75">
        <f>X21/DD_projekcie!Z$59/10</f>
        <v>0.44186942776487959</v>
      </c>
      <c r="Y53" s="75">
        <f>Y21/DD_projekcie!AA$59/10</f>
        <v>0.45219811274889493</v>
      </c>
      <c r="Z53" s="75">
        <f>Z21/DD_projekcie!AB$59/10</f>
        <v>0.46296096025678901</v>
      </c>
      <c r="AA53" s="75">
        <f>AA21/DD_projekcie!AC$59/10</f>
        <v>0.47378523260105165</v>
      </c>
      <c r="AB53" s="75">
        <f>AB21/DD_projekcie!AD$59/10</f>
        <v>0.48430496771787929</v>
      </c>
      <c r="AC53" s="75">
        <f>AC21/DD_projekcie!AE$59/10</f>
        <v>0.49451393197509053</v>
      </c>
      <c r="AD53" s="75">
        <f>AD21/DD_projekcie!AF$59/10</f>
        <v>0.50467711101641322</v>
      </c>
      <c r="AE53" s="75">
        <f>AE21/DD_projekcie!AG$59/10</f>
        <v>0.51490955940780569</v>
      </c>
      <c r="AF53" s="75">
        <f>AF21/DD_projekcie!AH$59/10</f>
        <v>0.52469009089309737</v>
      </c>
      <c r="AG53" s="75">
        <f>AG21/DD_projekcie!AI$59/10</f>
        <v>0.53400376671408301</v>
      </c>
      <c r="AH53" s="75">
        <f>AH21/DD_projekcie!AJ$59/10</f>
        <v>0.54329802788574932</v>
      </c>
      <c r="AI53" s="75">
        <f>AI21/DD_projekcie!AK$59/10</f>
        <v>0.55259073921058033</v>
      </c>
      <c r="AJ53" s="75">
        <f>AJ21/DD_projekcie!AL$59/10</f>
        <v>0.56191334531876591</v>
      </c>
      <c r="AK53" s="75">
        <f>AK21/DD_projekcie!AM$59/10</f>
        <v>0.57106476446887444</v>
      </c>
      <c r="AL53" s="75">
        <f>AL21/DD_projekcie!AN$59/10</f>
        <v>0.58030630955631035</v>
      </c>
      <c r="AM53" s="75">
        <f>AM21/DD_projekcie!AO$59/10</f>
        <v>0.59022015882939061</v>
      </c>
      <c r="AN53" s="75">
        <f>AN21/DD_projekcie!AP$59/10</f>
        <v>0.60050575017423058</v>
      </c>
      <c r="AO53" s="75">
        <f>AO21/DD_projekcie!AQ$59/10</f>
        <v>0.61091187137962544</v>
      </c>
      <c r="AP53" s="75">
        <f>AP21/DD_projekcie!AR$59/10</f>
        <v>0.62152539878607793</v>
      </c>
      <c r="AQ53" s="75">
        <f>AQ21/DD_projekcie!AS$59/10</f>
        <v>0.6326128999404782</v>
      </c>
      <c r="AR53" s="75">
        <f>AR21/DD_projekcie!AT$59/10</f>
        <v>0.64467953172736214</v>
      </c>
      <c r="AS53" s="75">
        <f>AS21/DD_projekcie!AU$59/10</f>
        <v>0.65726187666598013</v>
      </c>
      <c r="AT53" s="75">
        <f>AT21/DD_projekcie!AV$59/10</f>
        <v>0.66986553342902289</v>
      </c>
      <c r="AU53" s="75">
        <f>AU21/DD_projekcie!AW$59/10</f>
        <v>0.68271039207209216</v>
      </c>
      <c r="AV53" s="75">
        <f>AV21/DD_projekcie!AX$59/10</f>
        <v>0.69588305962503638</v>
      </c>
      <c r="AW53" s="75">
        <f>AW21/DD_projekcie!AY$59/10</f>
        <v>0.7095999030512693</v>
      </c>
      <c r="AX53" s="75">
        <f>AX21/DD_projekcie!AZ$59/10</f>
        <v>0.72311139421802806</v>
      </c>
      <c r="AY53" s="75">
        <f>AY21/DD_projekcie!BA$59/10</f>
        <v>0.72311139421802806</v>
      </c>
      <c r="AZ53" s="75">
        <f>AZ21/DD_projekcie!BB$59/10</f>
        <v>0.72311139421802806</v>
      </c>
      <c r="BA53" s="75">
        <f>BA21/DD_projekcie!BC$59/10</f>
        <v>0.72311139421802806</v>
      </c>
    </row>
    <row r="54" spans="1:53" x14ac:dyDescent="0.25">
      <c r="A54" s="68" t="s">
        <v>1038</v>
      </c>
      <c r="B54" s="75">
        <f>B22/DD_projekcie!E$59/10</f>
        <v>4.1026082086755746</v>
      </c>
      <c r="C54" s="75">
        <f>C22/DD_projekcie!E$59/10</f>
        <v>4.1026082086755746</v>
      </c>
      <c r="D54" s="75">
        <f>D22/DD_projekcie!F$59/10</f>
        <v>4.1037341984995308</v>
      </c>
      <c r="E54" s="75">
        <f>E22/DD_projekcie!G$59/10</f>
        <v>4.0468510607573265</v>
      </c>
      <c r="F54" s="75">
        <f>F22/DD_projekcie!H$59/10</f>
        <v>3.8980944093854801</v>
      </c>
      <c r="G54" s="75">
        <f>G22/DD_projekcie!I$59/10</f>
        <v>3.8854138604770325</v>
      </c>
      <c r="H54" s="75">
        <f>H22/DD_projekcie!J$59/10</f>
        <v>3.8639408025776043</v>
      </c>
      <c r="I54" s="75">
        <f>I22/DD_projekcie!K$59/10</f>
        <v>3.8465117469105663</v>
      </c>
      <c r="J54" s="75">
        <f>J22/DD_projekcie!L$59/10</f>
        <v>3.8331572995113476</v>
      </c>
      <c r="K54" s="75">
        <f>K22/DD_projekcie!M$59/10</f>
        <v>3.8265379786631319</v>
      </c>
      <c r="L54" s="75">
        <f>L22/DD_projekcie!N$59/10</f>
        <v>3.8235367591759348</v>
      </c>
      <c r="M54" s="75">
        <f>M22/DD_projekcie!O$59/10</f>
        <v>3.8204404720356822</v>
      </c>
      <c r="N54" s="75">
        <f>N22/DD_projekcie!P$59/10</f>
        <v>3.8160534905135775</v>
      </c>
      <c r="O54" s="75">
        <f>O22/DD_projekcie!Q$59/10</f>
        <v>3.8095716043004919</v>
      </c>
      <c r="P54" s="75">
        <f>P22/DD_projekcie!R$59/10</f>
        <v>3.7997186088821335</v>
      </c>
      <c r="Q54" s="75">
        <f>Q22/DD_projekcie!S$59/10</f>
        <v>3.7871914373070239</v>
      </c>
      <c r="R54" s="75">
        <f>R22/DD_projekcie!T$59/10</f>
        <v>3.7699475398273079</v>
      </c>
      <c r="S54" s="75">
        <f>S22/DD_projekcie!U$59/10</f>
        <v>3.7471024987517749</v>
      </c>
      <c r="T54" s="75">
        <f>T22/DD_projekcie!V$59/10</f>
        <v>3.7215897769920083</v>
      </c>
      <c r="U54" s="75">
        <f>U22/DD_projekcie!W$59/10</f>
        <v>3.6964521337458303</v>
      </c>
      <c r="V54" s="75">
        <f>V22/DD_projekcie!X$59/10</f>
        <v>3.6674709647460695</v>
      </c>
      <c r="W54" s="75">
        <f>W22/DD_projekcie!Y$59/10</f>
        <v>3.634647985833817</v>
      </c>
      <c r="X54" s="75">
        <f>X22/DD_projekcie!Z$59/10</f>
        <v>3.5997600236036744</v>
      </c>
      <c r="Y54" s="75">
        <f>Y22/DD_projekcie!AA$59/10</f>
        <v>3.5653399600431235</v>
      </c>
      <c r="Z54" s="75">
        <f>Z22/DD_projekcie!AB$59/10</f>
        <v>3.5324546471050899</v>
      </c>
      <c r="AA54" s="75">
        <f>AA22/DD_projekcie!AC$59/10</f>
        <v>3.5016638940655342</v>
      </c>
      <c r="AB54" s="75">
        <f>AB22/DD_projekcie!AD$59/10</f>
        <v>3.4731898903055507</v>
      </c>
      <c r="AC54" s="75">
        <f>AC22/DD_projekcie!AE$59/10</f>
        <v>3.4474531009501561</v>
      </c>
      <c r="AD54" s="75">
        <f>AD22/DD_projekcie!AF$59/10</f>
        <v>3.4253546244144046</v>
      </c>
      <c r="AE54" s="75">
        <f>AE22/DD_projekcie!AG$59/10</f>
        <v>3.4083192913304581</v>
      </c>
      <c r="AF54" s="75">
        <f>AF22/DD_projekcie!AH$59/10</f>
        <v>3.3964560197836979</v>
      </c>
      <c r="AG54" s="75">
        <f>AG22/DD_projekcie!AI$59/10</f>
        <v>3.3895374781718539</v>
      </c>
      <c r="AH54" s="75">
        <f>AH22/DD_projekcie!AJ$59/10</f>
        <v>3.3876356641961749</v>
      </c>
      <c r="AI54" s="75">
        <f>AI22/DD_projekcie!AK$59/10</f>
        <v>3.3904627599673609</v>
      </c>
      <c r="AJ54" s="75">
        <f>AJ22/DD_projekcie!AL$59/10</f>
        <v>3.3982816241120637</v>
      </c>
      <c r="AK54" s="75">
        <f>AK22/DD_projekcie!AM$59/10</f>
        <v>3.4107206544474109</v>
      </c>
      <c r="AL54" s="75">
        <f>AL22/DD_projekcie!AN$59/10</f>
        <v>3.4266508506356885</v>
      </c>
      <c r="AM54" s="75">
        <f>AM22/DD_projekcie!AO$59/10</f>
        <v>3.4447660644660458</v>
      </c>
      <c r="AN54" s="75">
        <f>AN22/DD_projekcie!AP$59/10</f>
        <v>3.4648000450792451</v>
      </c>
      <c r="AO54" s="75">
        <f>AO22/DD_projekcie!AQ$59/10</f>
        <v>3.4863441641129511</v>
      </c>
      <c r="AP54" s="75">
        <f>AP22/DD_projekcie!AR$59/10</f>
        <v>3.5084054423101727</v>
      </c>
      <c r="AQ54" s="75">
        <f>AQ22/DD_projekcie!AS$59/10</f>
        <v>3.5301738499970967</v>
      </c>
      <c r="AR54" s="75">
        <f>AR22/DD_projekcie!AT$59/10</f>
        <v>3.5503930929918979</v>
      </c>
      <c r="AS54" s="75">
        <f>AS22/DD_projekcie!AU$59/10</f>
        <v>3.5684331635736148</v>
      </c>
      <c r="AT54" s="75">
        <f>AT22/DD_projekcie!AV$59/10</f>
        <v>3.5837304213899075</v>
      </c>
      <c r="AU54" s="75">
        <f>AU22/DD_projekcie!AW$59/10</f>
        <v>3.5954353543059994</v>
      </c>
      <c r="AV54" s="75">
        <f>AV22/DD_projekcie!AX$59/10</f>
        <v>3.6030884590341046</v>
      </c>
      <c r="AW54" s="75">
        <f>AW22/DD_projekcie!AY$59/10</f>
        <v>3.6064328182976029</v>
      </c>
      <c r="AX54" s="75">
        <f>AX22/DD_projekcie!AZ$59/10</f>
        <v>3.604727489524739</v>
      </c>
      <c r="AY54" s="75">
        <f>AY22/DD_projekcie!BA$59/10</f>
        <v>3.604727489524739</v>
      </c>
      <c r="AZ54" s="75">
        <f>AZ22/DD_projekcie!BB$59/10</f>
        <v>3.6047274895247376</v>
      </c>
      <c r="BA54" s="75">
        <f>BA22/DD_projekcie!BC$59/10</f>
        <v>3.6047274895247376</v>
      </c>
    </row>
    <row r="55" spans="1:53" x14ac:dyDescent="0.25">
      <c r="A55" s="68" t="s">
        <v>1039</v>
      </c>
      <c r="B55" s="75">
        <f>B23/DD_projekcie!E$59/10</f>
        <v>0.24159442171363729</v>
      </c>
      <c r="C55" s="75">
        <f>C23/DD_projekcie!E$59/10</f>
        <v>0.24159442171363729</v>
      </c>
      <c r="D55" s="75">
        <f>D23/DD_projekcie!F$59/10</f>
        <v>0.23356662416674406</v>
      </c>
      <c r="E55" s="75">
        <f>E23/DD_projekcie!G$59/10</f>
        <v>0.21956840373899222</v>
      </c>
      <c r="F55" s="75">
        <f>F23/DD_projekcie!H$59/10</f>
        <v>0.20233845592746627</v>
      </c>
      <c r="G55" s="75">
        <f>G23/DD_projekcie!I$59/10</f>
        <v>0.18342680238375522</v>
      </c>
      <c r="H55" s="75">
        <f>H23/DD_projekcie!J$59/10</f>
        <v>0.17667489554754337</v>
      </c>
      <c r="I55" s="75">
        <f>I23/DD_projekcie!K$59/10</f>
        <v>0.16992298871133152</v>
      </c>
      <c r="J55" s="75">
        <f>J23/DD_projekcie!L$59/10</f>
        <v>0.16429639968115498</v>
      </c>
      <c r="K55" s="75">
        <f>K23/DD_projekcie!M$59/10</f>
        <v>0.15866981065097843</v>
      </c>
      <c r="L55" s="75">
        <f>L23/DD_projekcie!N$59/10</f>
        <v>0.15416853942683723</v>
      </c>
      <c r="M55" s="75">
        <f>M23/DD_projekcie!O$59/10</f>
        <v>0.14966726820269599</v>
      </c>
      <c r="N55" s="75">
        <f>N23/DD_projekcie!P$59/10</f>
        <v>0.14629131478459007</v>
      </c>
      <c r="O55" s="75">
        <f>O23/DD_projekcie!Q$59/10</f>
        <v>0.14179004356044883</v>
      </c>
      <c r="P55" s="75">
        <f>P23/DD_projekcie!R$59/10</f>
        <v>0.13841409014234288</v>
      </c>
      <c r="Q55" s="75">
        <f>Q23/DD_projekcie!S$59/10</f>
        <v>0.13616345453027229</v>
      </c>
      <c r="R55" s="75">
        <f>R23/DD_projekcie!T$59/10</f>
        <v>0.13278750111216636</v>
      </c>
      <c r="S55" s="75">
        <f>S23/DD_projekcie!U$59/10</f>
        <v>0.13053686550009574</v>
      </c>
      <c r="T55" s="75">
        <f>T23/DD_projekcie!V$59/10</f>
        <v>0.12828622988802513</v>
      </c>
      <c r="U55" s="75">
        <f>U23/DD_projekcie!W$59/10</f>
        <v>0.12603559427595451</v>
      </c>
      <c r="V55" s="75">
        <f>V23/DD_projekcie!X$59/10</f>
        <v>0.12491027646991922</v>
      </c>
      <c r="W55" s="75">
        <f>W23/DD_projekcie!Y$59/10</f>
        <v>0.12265964085784861</v>
      </c>
      <c r="X55" s="75">
        <f>X23/DD_projekcie!Z$59/10</f>
        <v>0.12153432305181329</v>
      </c>
      <c r="Y55" s="75">
        <f>Y23/DD_projekcie!AA$59/10</f>
        <v>0.12040900524577799</v>
      </c>
      <c r="Z55" s="75">
        <f>Z23/DD_projekcie!AB$59/10</f>
        <v>0.11928368743974264</v>
      </c>
      <c r="AA55" s="75">
        <f>AA23/DD_projekcie!AC$59/10</f>
        <v>0.11815836963370732</v>
      </c>
      <c r="AB55" s="75">
        <f>AB23/DD_projekcie!AD$59/10</f>
        <v>0.11703305182767201</v>
      </c>
      <c r="AC55" s="75">
        <f>AC23/DD_projekcie!AE$59/10</f>
        <v>0.1159077340216367</v>
      </c>
      <c r="AD55" s="75">
        <f>AD23/DD_projekcie!AF$59/10</f>
        <v>0.1147824162156014</v>
      </c>
      <c r="AE55" s="75">
        <f>AE23/DD_projekcie!AG$59/10</f>
        <v>0.1136570984095661</v>
      </c>
      <c r="AF55" s="75">
        <f>AF23/DD_projekcie!AH$59/10</f>
        <v>0.11365709840956613</v>
      </c>
      <c r="AG55" s="75">
        <f>AG23/DD_projekcie!AI$59/10</f>
        <v>0.11253178060353082</v>
      </c>
      <c r="AH55" s="75">
        <f>AH23/DD_projekcie!AJ$59/10</f>
        <v>0.11140646279749548</v>
      </c>
      <c r="AI55" s="75">
        <f>AI23/DD_projekcie!AK$59/10</f>
        <v>0.11140646279749547</v>
      </c>
      <c r="AJ55" s="75">
        <f>AJ23/DD_projekcie!AL$59/10</f>
        <v>0.11140646279749547</v>
      </c>
      <c r="AK55" s="75">
        <f>AK23/DD_projekcie!AM$59/10</f>
        <v>0.11028114499146016</v>
      </c>
      <c r="AL55" s="75">
        <f>AL23/DD_projekcie!AN$59/10</f>
        <v>0.11028114499146016</v>
      </c>
      <c r="AM55" s="75">
        <f>AM23/DD_projekcie!AO$59/10</f>
        <v>0.10915582718542483</v>
      </c>
      <c r="AN55" s="75">
        <f>AN23/DD_projekcie!AP$59/10</f>
        <v>0.10915582718542483</v>
      </c>
      <c r="AO55" s="75">
        <f>AO23/DD_projekcie!AQ$59/10</f>
        <v>0.10915582718542485</v>
      </c>
      <c r="AP55" s="75">
        <f>AP23/DD_projekcie!AR$59/10</f>
        <v>0.10803050937938954</v>
      </c>
      <c r="AQ55" s="75">
        <f>AQ23/DD_projekcie!AS$59/10</f>
        <v>0.10803050937938954</v>
      </c>
      <c r="AR55" s="75">
        <f>AR23/DD_projekcie!AT$59/10</f>
        <v>0.10803050937938954</v>
      </c>
      <c r="AS55" s="75">
        <f>AS23/DD_projekcie!AU$59/10</f>
        <v>0.10803050937938956</v>
      </c>
      <c r="AT55" s="75">
        <f>AT23/DD_projekcie!AV$59/10</f>
        <v>0.10803050937938954</v>
      </c>
      <c r="AU55" s="75">
        <f>AU23/DD_projekcie!AW$59/10</f>
        <v>0.10803050937938956</v>
      </c>
      <c r="AV55" s="75">
        <f>AV23/DD_projekcie!AX$59/10</f>
        <v>0.10690519157335424</v>
      </c>
      <c r="AW55" s="75">
        <f>AW23/DD_projekcie!AY$59/10</f>
        <v>0.10690519157335424</v>
      </c>
      <c r="AX55" s="75">
        <f>AX23/DD_projekcie!AZ$59/10</f>
        <v>0.10577987376731893</v>
      </c>
      <c r="AY55" s="75">
        <f>AY23/DD_projekcie!BA$59/10</f>
        <v>0.10577987376731893</v>
      </c>
      <c r="AZ55" s="75">
        <f>AZ23/DD_projekcie!BB$59/10</f>
        <v>0.10577987376731893</v>
      </c>
      <c r="BA55" s="75">
        <f>BA23/DD_projekcie!BC$59/10</f>
        <v>0.10577987376731893</v>
      </c>
    </row>
    <row r="56" spans="1:53" x14ac:dyDescent="0.25">
      <c r="A56" s="68" t="s">
        <v>1040</v>
      </c>
      <c r="B56" s="75">
        <f>B24/DD_projekcie!E$59/10</f>
        <v>8.2162668707217085E-2</v>
      </c>
      <c r="C56" s="75">
        <f>C24/DD_projekcie!E$59/10</f>
        <v>8.2162668707217085E-2</v>
      </c>
      <c r="D56" s="75">
        <f>D24/DD_projekcie!F$59/10</f>
        <v>7.8159049883190779E-2</v>
      </c>
      <c r="E56" s="75">
        <f>E24/DD_projekcie!G$59/10</f>
        <v>9.0571572990189086E-2</v>
      </c>
      <c r="F56" s="75">
        <f>F24/DD_projekcie!H$59/10</f>
        <v>9.2665455351556028E-2</v>
      </c>
      <c r="G56" s="75">
        <f>G24/DD_projekcie!I$59/10</f>
        <v>9.2575572866702871E-2</v>
      </c>
      <c r="H56" s="75">
        <f>H24/DD_projekcie!J$59/10</f>
        <v>8.9777245581158932E-2</v>
      </c>
      <c r="I56" s="75">
        <f>I24/DD_projekcie!K$59/10</f>
        <v>7.2609801945432456E-2</v>
      </c>
      <c r="J56" s="75">
        <f>J24/DD_projekcie!L$59/10</f>
        <v>6.9302244987801451E-2</v>
      </c>
      <c r="K56" s="75">
        <f>K24/DD_projekcie!M$59/10</f>
        <v>6.6941617531975209E-2</v>
      </c>
      <c r="L56" s="75">
        <f>L24/DD_projekcie!N$59/10</f>
        <v>6.6220088072019165E-2</v>
      </c>
      <c r="M56" s="75">
        <f>M24/DD_projekcie!O$59/10</f>
        <v>6.5215487837840397E-2</v>
      </c>
      <c r="N56" s="75">
        <f>N24/DD_projekcie!P$59/10</f>
        <v>6.6030686973909597E-2</v>
      </c>
      <c r="O56" s="75">
        <f>O24/DD_projekcie!Q$59/10</f>
        <v>6.6170820041112757E-2</v>
      </c>
      <c r="P56" s="75">
        <f>P24/DD_projekcie!R$59/10</f>
        <v>6.3273964691402867E-2</v>
      </c>
      <c r="Q56" s="75">
        <f>Q24/DD_projekcie!S$59/10</f>
        <v>6.4271990369916057E-2</v>
      </c>
      <c r="R56" s="75">
        <f>R24/DD_projekcie!T$59/10</f>
        <v>6.6500254886074334E-2</v>
      </c>
      <c r="S56" s="75">
        <f>S24/DD_projekcie!U$59/10</f>
        <v>6.7696313648540368E-2</v>
      </c>
      <c r="T56" s="75">
        <f>T24/DD_projekcie!V$59/10</f>
        <v>7.3470612956464246E-2</v>
      </c>
      <c r="U56" s="75">
        <f>U24/DD_projekcie!W$59/10</f>
        <v>9.6636395145476589E-2</v>
      </c>
      <c r="V56" s="75">
        <f>V24/DD_projekcie!X$59/10</f>
        <v>0.1051644652843506</v>
      </c>
      <c r="W56" s="75">
        <f>W24/DD_projekcie!Y$59/10</f>
        <v>0.10734173900337059</v>
      </c>
      <c r="X56" s="75">
        <f>X24/DD_projekcie!Z$59/10</f>
        <v>8.4162289209581326E-2</v>
      </c>
      <c r="Y56" s="75">
        <f>Y24/DD_projekcie!AA$59/10</f>
        <v>8.8362685208966091E-2</v>
      </c>
      <c r="Z56" s="75">
        <f>Z24/DD_projekcie!AB$59/10</f>
        <v>9.7941548768894701E-2</v>
      </c>
      <c r="AA56" s="75">
        <f>AA24/DD_projekcie!AC$59/10</f>
        <v>0.10364513503028641</v>
      </c>
      <c r="AB56" s="75">
        <f>AB24/DD_projekcie!AD$59/10</f>
        <v>0.10360240788276524</v>
      </c>
      <c r="AC56" s="75">
        <f>AC24/DD_projekcie!AE$59/10</f>
        <v>9.9564151612430776E-2</v>
      </c>
      <c r="AD56" s="75">
        <f>AD24/DD_projekcie!AF$59/10</f>
        <v>9.6230685097891955E-2</v>
      </c>
      <c r="AE56" s="75">
        <f>AE24/DD_projekcie!AG$59/10</f>
        <v>0.10147848730382965</v>
      </c>
      <c r="AF56" s="75">
        <f>AF24/DD_projekcie!AH$59/10</f>
        <v>0.10099659248901227</v>
      </c>
      <c r="AG56" s="75">
        <f>AG24/DD_projekcie!AI$59/10</f>
        <v>0.10675609009910585</v>
      </c>
      <c r="AH56" s="75">
        <f>AH24/DD_projekcie!AJ$59/10</f>
        <v>0.10138111744334929</v>
      </c>
      <c r="AI56" s="75">
        <f>AI24/DD_projekcie!AK$59/10</f>
        <v>9.884518746396985E-2</v>
      </c>
      <c r="AJ56" s="75">
        <f>AJ24/DD_projekcie!AL$59/10</f>
        <v>8.9271808444126993E-2</v>
      </c>
      <c r="AK56" s="75">
        <f>AK24/DD_projekcie!AM$59/10</f>
        <v>0.10927031352678432</v>
      </c>
      <c r="AL56" s="75">
        <f>AL24/DD_projekcie!AN$59/10</f>
        <v>0.10438671577355566</v>
      </c>
      <c r="AM56" s="75">
        <f>AM24/DD_projekcie!AO$59/10</f>
        <v>0.10367604655874149</v>
      </c>
      <c r="AN56" s="75">
        <f>AN24/DD_projekcie!AP$59/10</f>
        <v>0.10567243207183177</v>
      </c>
      <c r="AO56" s="75">
        <f>AO24/DD_projekcie!AQ$59/10</f>
        <v>0.10435855749727145</v>
      </c>
      <c r="AP56" s="75">
        <f>AP24/DD_projekcie!AR$59/10</f>
        <v>9.9829450207911591E-2</v>
      </c>
      <c r="AQ56" s="75">
        <f>AQ24/DD_projekcie!AS$59/10</f>
        <v>9.7179122692247294E-2</v>
      </c>
      <c r="AR56" s="75">
        <f>AR24/DD_projekcie!AT$59/10</f>
        <v>9.2688336535694624E-2</v>
      </c>
      <c r="AS56" s="75">
        <f>AS24/DD_projekcie!AU$59/10</f>
        <v>9.4966007737423447E-2</v>
      </c>
      <c r="AT56" s="75">
        <f>AT24/DD_projekcie!AV$59/10</f>
        <v>9.0385793831254529E-2</v>
      </c>
      <c r="AU56" s="75">
        <f>AU24/DD_projekcie!AW$59/10</f>
        <v>9.104614185337076E-2</v>
      </c>
      <c r="AV56" s="75">
        <f>AV24/DD_projekcie!AX$59/10</f>
        <v>8.093768861683534E-2</v>
      </c>
      <c r="AW56" s="75">
        <f>AW24/DD_projekcie!AY$59/10</f>
        <v>7.5054385619380576E-2</v>
      </c>
      <c r="AX56" s="75">
        <f>AX24/DD_projekcie!AZ$59/10</f>
        <v>7.7762899599086915E-2</v>
      </c>
      <c r="AY56" s="75">
        <f>AY24/DD_projekcie!BA$59/10</f>
        <v>7.6302789693609485E-2</v>
      </c>
      <c r="AZ56" s="75">
        <f>AZ24/DD_projekcie!BB$59/10</f>
        <v>6.5213192073772713E-2</v>
      </c>
      <c r="BA56" s="75">
        <f>BA24/DD_projekcie!BC$59/10</f>
        <v>5.987361903190528E-2</v>
      </c>
    </row>
    <row r="57" spans="1:53" x14ac:dyDescent="0.25">
      <c r="A57" s="68" t="s">
        <v>135</v>
      </c>
      <c r="B57" s="75">
        <f>B25/DD_projekcie!E$59/10</f>
        <v>0.17319778816298603</v>
      </c>
      <c r="C57" s="75">
        <f>C25/DD_projekcie!E$59/10</f>
        <v>0.17319778816298603</v>
      </c>
      <c r="D57" s="75">
        <f>D25/DD_projekcie!F$59/10</f>
        <v>0.17649904707537648</v>
      </c>
      <c r="E57" s="75">
        <f>E25/DD_projekcie!G$59/10</f>
        <v>0.16965954837169978</v>
      </c>
      <c r="F57" s="75">
        <f>F25/DD_projekcie!H$59/10</f>
        <v>0.16213750042874758</v>
      </c>
      <c r="G57" s="75">
        <f>G25/DD_projekcie!I$59/10</f>
        <v>0.154282068641165</v>
      </c>
      <c r="H57" s="75">
        <f>H25/DD_projekcie!J$59/10</f>
        <v>0.14676153322749516</v>
      </c>
      <c r="I57" s="75">
        <f>I25/DD_projekcie!K$59/10</f>
        <v>0.13998352539098638</v>
      </c>
      <c r="J57" s="75">
        <f>J25/DD_projekcie!L$59/10</f>
        <v>0.13361430684730599</v>
      </c>
      <c r="K57" s="75">
        <f>K25/DD_projekcie!M$59/10</f>
        <v>0.12772049436444863</v>
      </c>
      <c r="L57" s="75">
        <f>L25/DD_projekcie!N$59/10</f>
        <v>0.12220991540722725</v>
      </c>
      <c r="M57" s="75">
        <f>M25/DD_projekcie!O$59/10</f>
        <v>0.11702222024545865</v>
      </c>
      <c r="N57" s="75">
        <f>N25/DD_projekcie!P$59/10</f>
        <v>0.11211584804261709</v>
      </c>
      <c r="O57" s="75">
        <f>O25/DD_projekcie!Q$59/10</f>
        <v>0.10747247511436422</v>
      </c>
      <c r="P57" s="75">
        <f>P25/DD_projekcie!R$59/10</f>
        <v>0.10310955040269118</v>
      </c>
      <c r="Q57" s="75">
        <f>Q25/DD_projekcie!S$59/10</f>
        <v>9.9071112479997753E-2</v>
      </c>
      <c r="R57" s="75">
        <f>R25/DD_projekcie!T$59/10</f>
        <v>9.5356631143224749E-2</v>
      </c>
      <c r="S57" s="75">
        <f>S25/DD_projekcie!U$59/10</f>
        <v>9.1928609970196015E-2</v>
      </c>
      <c r="T57" s="75">
        <f>T25/DD_projekcie!V$59/10</f>
        <v>8.8791030632736162E-2</v>
      </c>
      <c r="U57" s="75">
        <f>U25/DD_projekcie!W$59/10</f>
        <v>8.5897593757811364E-2</v>
      </c>
      <c r="V57" s="75">
        <f>V25/DD_projekcie!X$59/10</f>
        <v>8.3139219355916616E-2</v>
      </c>
      <c r="W57" s="75">
        <f>W25/DD_projekcie!Y$59/10</f>
        <v>8.0508797058139944E-2</v>
      </c>
      <c r="X57" s="75">
        <f>X25/DD_projekcie!Z$59/10</f>
        <v>7.8001254566450601E-2</v>
      </c>
      <c r="Y57" s="75">
        <f>Y25/DD_projekcie!AA$59/10</f>
        <v>7.562013207040072E-2</v>
      </c>
      <c r="Z57" s="75">
        <f>Z25/DD_projekcie!AB$59/10</f>
        <v>7.3361060378718063E-2</v>
      </c>
      <c r="AA57" s="75">
        <f>AA25/DD_projekcie!AC$59/10</f>
        <v>7.1209422054433161E-2</v>
      </c>
      <c r="AB57" s="75">
        <f>AB25/DD_projekcie!AD$59/10</f>
        <v>6.9149452147504911E-2</v>
      </c>
      <c r="AC57" s="75">
        <f>AC25/DD_projekcie!AE$59/10</f>
        <v>6.7175615669623823E-2</v>
      </c>
      <c r="AD57" s="75">
        <f>AD25/DD_projekcie!AF$59/10</f>
        <v>6.5282863898148372E-2</v>
      </c>
      <c r="AE57" s="75">
        <f>AE25/DD_projekcie!AG$59/10</f>
        <v>3.6316337409048556E-2</v>
      </c>
      <c r="AF57" s="75">
        <f>AF25/DD_projekcie!AH$59/10</f>
        <v>0</v>
      </c>
      <c r="AG57" s="75">
        <f>AG25/DD_projekcie!AI$59/10</f>
        <v>0</v>
      </c>
      <c r="AH57" s="75">
        <f>AH25/DD_projekcie!AJ$59/10</f>
        <v>0</v>
      </c>
      <c r="AI57" s="75">
        <f>AI25/DD_projekcie!AK$59/10</f>
        <v>0</v>
      </c>
      <c r="AJ57" s="75">
        <f>AJ25/DD_projekcie!AL$59/10</f>
        <v>0</v>
      </c>
      <c r="AK57" s="75">
        <f>AK25/DD_projekcie!AM$59/10</f>
        <v>0</v>
      </c>
      <c r="AL57" s="75">
        <f>AL25/DD_projekcie!AN$59/10</f>
        <v>0</v>
      </c>
      <c r="AM57" s="75">
        <f>AM25/DD_projekcie!AO$59/10</f>
        <v>0</v>
      </c>
      <c r="AN57" s="75">
        <f>AN25/DD_projekcie!AP$59/10</f>
        <v>0</v>
      </c>
      <c r="AO57" s="75">
        <f>AO25/DD_projekcie!AQ$59/10</f>
        <v>0</v>
      </c>
      <c r="AP57" s="75">
        <f>AP25/DD_projekcie!AR$59/10</f>
        <v>0</v>
      </c>
      <c r="AQ57" s="75">
        <f>AQ25/DD_projekcie!AS$59/10</f>
        <v>0</v>
      </c>
      <c r="AR57" s="75">
        <f>AR25/DD_projekcie!AT$59/10</f>
        <v>0</v>
      </c>
      <c r="AS57" s="75">
        <f>AS25/DD_projekcie!AU$59/10</f>
        <v>0</v>
      </c>
      <c r="AT57" s="75">
        <f>AT25/DD_projekcie!AV$59/10</f>
        <v>0</v>
      </c>
      <c r="AU57" s="75">
        <f>AU25/DD_projekcie!AW$59/10</f>
        <v>0</v>
      </c>
      <c r="AV57" s="75">
        <f>AV25/DD_projekcie!AX$59/10</f>
        <v>0</v>
      </c>
      <c r="AW57" s="75">
        <f>AW25/DD_projekcie!AY$59/10</f>
        <v>0</v>
      </c>
      <c r="AX57" s="75">
        <f>AX25/DD_projekcie!AZ$59/10</f>
        <v>0</v>
      </c>
      <c r="AY57" s="75">
        <f>AY25/DD_projekcie!BA$59/10</f>
        <v>0</v>
      </c>
      <c r="AZ57" s="75">
        <f>AZ25/DD_projekcie!BB$59/10</f>
        <v>0</v>
      </c>
      <c r="BA57" s="75">
        <f>BA25/DD_projekcie!BC$59/10</f>
        <v>0</v>
      </c>
    </row>
    <row r="58" spans="1:53" x14ac:dyDescent="0.25">
      <c r="A58" s="68" t="s">
        <v>1045</v>
      </c>
      <c r="B58" s="75">
        <f>B26/DD_projekcie!E$59/10</f>
        <v>1.0442800039794007E-2</v>
      </c>
      <c r="C58" s="75">
        <f>C26/DD_projekcie!E$59/10</f>
        <v>1.0442800039794007E-2</v>
      </c>
      <c r="D58" s="75">
        <f>D26/DD_projekcie!F$59/10</f>
        <v>1.0367044015309567E-2</v>
      </c>
      <c r="E58" s="75">
        <f>E26/DD_projekcie!G$59/10</f>
        <v>1.0215728778649248E-2</v>
      </c>
      <c r="F58" s="75">
        <f>F26/DD_projekcie!H$59/10</f>
        <v>3.1599472133260788E-2</v>
      </c>
      <c r="G58" s="75">
        <f>G26/DD_projekcie!I$59/10</f>
        <v>9.9668509833100334E-3</v>
      </c>
      <c r="H58" s="75">
        <f>H26/DD_projekcie!J$59/10</f>
        <v>9.9668509833100334E-3</v>
      </c>
      <c r="I58" s="75">
        <f>I26/DD_projekcie!K$59/10</f>
        <v>9.9668509833100334E-3</v>
      </c>
      <c r="J58" s="75">
        <f>J26/DD_projekcie!L$59/10</f>
        <v>3.1599472133260788E-2</v>
      </c>
      <c r="K58" s="75">
        <f>K26/DD_projekcie!M$59/10</f>
        <v>9.9668509833100334E-3</v>
      </c>
      <c r="L58" s="75">
        <f>L26/DD_projekcie!N$59/10</f>
        <v>9.9668509833100334E-3</v>
      </c>
      <c r="M58" s="75">
        <f>M26/DD_projekcie!O$59/10</f>
        <v>9.9668509833100351E-3</v>
      </c>
      <c r="N58" s="75">
        <f>N26/DD_projekcie!P$59/10</f>
        <v>3.1599472133260788E-2</v>
      </c>
      <c r="O58" s="75">
        <f>O26/DD_projekcie!Q$59/10</f>
        <v>9.9668509833100334E-3</v>
      </c>
      <c r="P58" s="75">
        <f>P26/DD_projekcie!R$59/10</f>
        <v>9.9668509833100351E-3</v>
      </c>
      <c r="Q58" s="75">
        <f>Q26/DD_projekcie!S$59/10</f>
        <v>9.9668509833100334E-3</v>
      </c>
      <c r="R58" s="75">
        <f>R26/DD_projekcie!T$59/10</f>
        <v>3.1599472133260788E-2</v>
      </c>
      <c r="S58" s="75">
        <f>S26/DD_projekcie!U$59/10</f>
        <v>9.9668509833100351E-3</v>
      </c>
      <c r="T58" s="75">
        <f>T26/DD_projekcie!V$59/10</f>
        <v>9.9668509833100351E-3</v>
      </c>
      <c r="U58" s="75">
        <f>U26/DD_projekcie!W$59/10</f>
        <v>9.9668509833100351E-3</v>
      </c>
      <c r="V58" s="75">
        <f>V26/DD_projekcie!X$59/10</f>
        <v>3.1599472133260788E-2</v>
      </c>
      <c r="W58" s="75">
        <f>W26/DD_projekcie!Y$59/10</f>
        <v>9.9668509833100334E-3</v>
      </c>
      <c r="X58" s="75">
        <f>X26/DD_projekcie!Z$59/10</f>
        <v>9.9668509833100334E-3</v>
      </c>
      <c r="Y58" s="75">
        <f>Y26/DD_projekcie!AA$59/10</f>
        <v>9.9668509833100334E-3</v>
      </c>
      <c r="Z58" s="75">
        <f>Z26/DD_projekcie!AB$59/10</f>
        <v>3.1599472133260788E-2</v>
      </c>
      <c r="AA58" s="75">
        <f>AA26/DD_projekcie!AC$59/10</f>
        <v>9.9668509833100351E-3</v>
      </c>
      <c r="AB58" s="75">
        <f>AB26/DD_projekcie!AD$59/10</f>
        <v>9.9668509833100334E-3</v>
      </c>
      <c r="AC58" s="75">
        <f>AC26/DD_projekcie!AE$59/10</f>
        <v>9.9668509833100351E-3</v>
      </c>
      <c r="AD58" s="75">
        <f>AD26/DD_projekcie!AF$59/10</f>
        <v>3.1599472133260788E-2</v>
      </c>
      <c r="AE58" s="75">
        <f>AE26/DD_projekcie!AG$59/10</f>
        <v>9.9668509833100351E-3</v>
      </c>
      <c r="AF58" s="75">
        <f>AF26/DD_projekcie!AH$59/10</f>
        <v>9.9668509833100351E-3</v>
      </c>
      <c r="AG58" s="75">
        <f>AG26/DD_projekcie!AI$59/10</f>
        <v>9.9668509833100351E-3</v>
      </c>
      <c r="AH58" s="75">
        <f>AH26/DD_projekcie!AJ$59/10</f>
        <v>3.1599472133260788E-2</v>
      </c>
      <c r="AI58" s="75">
        <f>AI26/DD_projekcie!AK$59/10</f>
        <v>9.9668509833100334E-3</v>
      </c>
      <c r="AJ58" s="75">
        <f>AJ26/DD_projekcie!AL$59/10</f>
        <v>9.9668509833100351E-3</v>
      </c>
      <c r="AK58" s="75">
        <f>AK26/DD_projekcie!AM$59/10</f>
        <v>9.9668509833100351E-3</v>
      </c>
      <c r="AL58" s="75">
        <f>AL26/DD_projekcie!AN$59/10</f>
        <v>3.1599472133260788E-2</v>
      </c>
      <c r="AM58" s="75">
        <f>AM26/DD_projekcie!AO$59/10</f>
        <v>9.9668509833100334E-3</v>
      </c>
      <c r="AN58" s="75">
        <f>AN26/DD_projekcie!AP$59/10</f>
        <v>9.9668509833100334E-3</v>
      </c>
      <c r="AO58" s="75">
        <f>AO26/DD_projekcie!AQ$59/10</f>
        <v>9.9668509833100334E-3</v>
      </c>
      <c r="AP58" s="75">
        <f>AP26/DD_projekcie!AR$59/10</f>
        <v>3.1599472133260788E-2</v>
      </c>
      <c r="AQ58" s="75">
        <f>AQ26/DD_projekcie!AS$59/10</f>
        <v>9.9668509833100334E-3</v>
      </c>
      <c r="AR58" s="75">
        <f>AR26/DD_projekcie!AT$59/10</f>
        <v>9.9668509833100334E-3</v>
      </c>
      <c r="AS58" s="75">
        <f>AS26/DD_projekcie!AU$59/10</f>
        <v>9.9668509833100334E-3</v>
      </c>
      <c r="AT58" s="75">
        <f>AT26/DD_projekcie!AV$59/10</f>
        <v>3.1599472133260795E-2</v>
      </c>
      <c r="AU58" s="75">
        <f>AU26/DD_projekcie!AW$59/10</f>
        <v>9.9668509833100334E-3</v>
      </c>
      <c r="AV58" s="75">
        <f>AV26/DD_projekcie!AX$59/10</f>
        <v>9.9668509833100334E-3</v>
      </c>
      <c r="AW58" s="75">
        <f>AW26/DD_projekcie!AY$59/10</f>
        <v>9.9668509833100334E-3</v>
      </c>
      <c r="AX58" s="75">
        <f>AX26/DD_projekcie!AZ$59/10</f>
        <v>3.1599472133260795E-2</v>
      </c>
      <c r="AY58" s="75">
        <f>AY26/DD_projekcie!BA$59/10</f>
        <v>9.9668509833100334E-3</v>
      </c>
      <c r="AZ58" s="75">
        <f>AZ26/DD_projekcie!BB$59/10</f>
        <v>9.9668509833100334E-3</v>
      </c>
      <c r="BA58" s="75">
        <f>BA26/DD_projekcie!BC$59/10</f>
        <v>9.9668509833100334E-3</v>
      </c>
    </row>
    <row r="59" spans="1:53" x14ac:dyDescent="0.25">
      <c r="A59" s="68" t="s">
        <v>1046</v>
      </c>
      <c r="B59" s="75">
        <f>B27/DD_projekcie!E$59/10</f>
        <v>1.0442800039794007E-2</v>
      </c>
      <c r="C59" s="75">
        <f>C27/DD_projekcie!E$59/10</f>
        <v>1.0442800039794007E-2</v>
      </c>
      <c r="D59" s="75">
        <f>D27/DD_projekcie!F$59/10</f>
        <v>1.0367044015309567E-2</v>
      </c>
      <c r="E59" s="75">
        <f>E27/DD_projekcie!G$59/10</f>
        <v>1.0215728778649248E-2</v>
      </c>
      <c r="F59" s="75">
        <f>F27/DD_projekcie!H$59/10</f>
        <v>3.1599472133260788E-2</v>
      </c>
      <c r="G59" s="75">
        <f>G27/DD_projekcie!I$59/10</f>
        <v>9.9668509833100334E-3</v>
      </c>
      <c r="H59" s="75">
        <f>H27/DD_projekcie!J$59/10</f>
        <v>9.9668509833100334E-3</v>
      </c>
      <c r="I59" s="75">
        <f>I27/DD_projekcie!K$59/10</f>
        <v>9.9668509833100334E-3</v>
      </c>
      <c r="J59" s="75">
        <f>J27/DD_projekcie!L$59/10</f>
        <v>3.1599472133260788E-2</v>
      </c>
      <c r="K59" s="75">
        <f>K27/DD_projekcie!M$59/10</f>
        <v>9.9668509833100334E-3</v>
      </c>
      <c r="L59" s="75">
        <f>L27/DD_projekcie!N$59/10</f>
        <v>9.9668509833100334E-3</v>
      </c>
      <c r="M59" s="75">
        <f>M27/DD_projekcie!O$59/10</f>
        <v>9.9668509833100351E-3</v>
      </c>
      <c r="N59" s="75">
        <f>N27/DD_projekcie!P$59/10</f>
        <v>3.1599472133260788E-2</v>
      </c>
      <c r="O59" s="75">
        <f>O27/DD_projekcie!Q$59/10</f>
        <v>9.9668509833100334E-3</v>
      </c>
      <c r="P59" s="75">
        <f>P27/DD_projekcie!R$59/10</f>
        <v>9.9668509833100351E-3</v>
      </c>
      <c r="Q59" s="75">
        <f>Q27/DD_projekcie!S$59/10</f>
        <v>9.9668509833100334E-3</v>
      </c>
      <c r="R59" s="75">
        <f>R27/DD_projekcie!T$59/10</f>
        <v>3.1599472133260788E-2</v>
      </c>
      <c r="S59" s="75">
        <f>S27/DD_projekcie!U$59/10</f>
        <v>9.9668509833100351E-3</v>
      </c>
      <c r="T59" s="75">
        <f>T27/DD_projekcie!V$59/10</f>
        <v>9.9668509833100351E-3</v>
      </c>
      <c r="U59" s="75">
        <f>U27/DD_projekcie!W$59/10</f>
        <v>9.9668509833100351E-3</v>
      </c>
      <c r="V59" s="75">
        <f>V27/DD_projekcie!X$59/10</f>
        <v>3.1599472133260788E-2</v>
      </c>
      <c r="W59" s="75">
        <f>W27/DD_projekcie!Y$59/10</f>
        <v>9.9668509833100334E-3</v>
      </c>
      <c r="X59" s="75">
        <f>X27/DD_projekcie!Z$59/10</f>
        <v>9.9668509833100334E-3</v>
      </c>
      <c r="Y59" s="75">
        <f>Y27/DD_projekcie!AA$59/10</f>
        <v>9.9668509833100334E-3</v>
      </c>
      <c r="Z59" s="75">
        <f>Z27/DD_projekcie!AB$59/10</f>
        <v>3.1599472133260788E-2</v>
      </c>
      <c r="AA59" s="75">
        <f>AA27/DD_projekcie!AC$59/10</f>
        <v>9.9668509833100351E-3</v>
      </c>
      <c r="AB59" s="75">
        <f>AB27/DD_projekcie!AD$59/10</f>
        <v>9.9668509833100334E-3</v>
      </c>
      <c r="AC59" s="75">
        <f>AC27/DD_projekcie!AE$59/10</f>
        <v>9.9668509833100351E-3</v>
      </c>
      <c r="AD59" s="75">
        <f>AD27/DD_projekcie!AF$59/10</f>
        <v>3.1599472133260788E-2</v>
      </c>
      <c r="AE59" s="75">
        <f>AE27/DD_projekcie!AG$59/10</f>
        <v>9.9668509833100351E-3</v>
      </c>
      <c r="AF59" s="75">
        <f>AF27/DD_projekcie!AH$59/10</f>
        <v>9.9668509833100351E-3</v>
      </c>
      <c r="AG59" s="75">
        <f>AG27/DD_projekcie!AI$59/10</f>
        <v>9.9668509833100351E-3</v>
      </c>
      <c r="AH59" s="75">
        <f>AH27/DD_projekcie!AJ$59/10</f>
        <v>3.1599472133260788E-2</v>
      </c>
      <c r="AI59" s="75">
        <f>AI27/DD_projekcie!AK$59/10</f>
        <v>9.9668509833100334E-3</v>
      </c>
      <c r="AJ59" s="75">
        <f>AJ27/DD_projekcie!AL$59/10</f>
        <v>9.9668509833100351E-3</v>
      </c>
      <c r="AK59" s="75">
        <f>AK27/DD_projekcie!AM$59/10</f>
        <v>9.9668509833100351E-3</v>
      </c>
      <c r="AL59" s="75">
        <f>AL27/DD_projekcie!AN$59/10</f>
        <v>3.1599472133260788E-2</v>
      </c>
      <c r="AM59" s="75">
        <f>AM27/DD_projekcie!AO$59/10</f>
        <v>9.9668509833100334E-3</v>
      </c>
      <c r="AN59" s="75">
        <f>AN27/DD_projekcie!AP$59/10</f>
        <v>9.9668509833100334E-3</v>
      </c>
      <c r="AO59" s="75">
        <f>AO27/DD_projekcie!AQ$59/10</f>
        <v>9.9668509833100334E-3</v>
      </c>
      <c r="AP59" s="75">
        <f>AP27/DD_projekcie!AR$59/10</f>
        <v>3.1599472133260788E-2</v>
      </c>
      <c r="AQ59" s="75">
        <f>AQ27/DD_projekcie!AS$59/10</f>
        <v>9.9668509833100334E-3</v>
      </c>
      <c r="AR59" s="75">
        <f>AR27/DD_projekcie!AT$59/10</f>
        <v>9.9668509833100334E-3</v>
      </c>
      <c r="AS59" s="75">
        <f>AS27/DD_projekcie!AU$59/10</f>
        <v>9.9668509833100334E-3</v>
      </c>
      <c r="AT59" s="75">
        <f>AT27/DD_projekcie!AV$59/10</f>
        <v>3.1599472133260795E-2</v>
      </c>
      <c r="AU59" s="75">
        <f>AU27/DD_projekcie!AW$59/10</f>
        <v>9.9668509833100334E-3</v>
      </c>
      <c r="AV59" s="75">
        <f>AV27/DD_projekcie!AX$59/10</f>
        <v>9.9668509833100334E-3</v>
      </c>
      <c r="AW59" s="75">
        <f>AW27/DD_projekcie!AY$59/10</f>
        <v>9.9668509833100334E-3</v>
      </c>
      <c r="AX59" s="75">
        <f>AX27/DD_projekcie!AZ$59/10</f>
        <v>3.1599472133260795E-2</v>
      </c>
      <c r="AY59" s="75">
        <f>AY27/DD_projekcie!BA$59/10</f>
        <v>9.9668509833100334E-3</v>
      </c>
      <c r="AZ59" s="75">
        <f>AZ27/DD_projekcie!BB$59/10</f>
        <v>9.9668509833100334E-3</v>
      </c>
      <c r="BA59" s="75">
        <f>BA27/DD_projekcie!BC$59/10</f>
        <v>9.9668509833100334E-3</v>
      </c>
    </row>
    <row r="60" spans="1:53" x14ac:dyDescent="0.25">
      <c r="A60" s="76" t="s">
        <v>1041</v>
      </c>
      <c r="B60" s="78">
        <f>B28/DD_projekcie!E$59/10</f>
        <v>1.9589242501838757</v>
      </c>
      <c r="C60" s="78">
        <f>C28/DD_projekcie!E$59/10</f>
        <v>1.9589242501838764</v>
      </c>
      <c r="D60" s="78">
        <f>D28/DD_projekcie!F$59/10</f>
        <v>1.9316970153576278</v>
      </c>
      <c r="E60" s="78">
        <f>E28/DD_projekcie!G$59/10</f>
        <v>1.9228474220709633</v>
      </c>
      <c r="F60" s="78">
        <f>F28/DD_projekcie!H$59/10</f>
        <v>1.9563918145522918</v>
      </c>
      <c r="G60" s="78">
        <f>G28/DD_projekcie!I$59/10</f>
        <v>2.0175370095802978</v>
      </c>
      <c r="H60" s="78">
        <f>H28/DD_projekcie!J$59/10</f>
        <v>2.1202885580902238</v>
      </c>
      <c r="I60" s="78">
        <f>I28/DD_projekcie!K$59/10</f>
        <v>2.2582580373426171</v>
      </c>
      <c r="J60" s="78">
        <f>J28/DD_projekcie!L$59/10</f>
        <v>2.3947005937207591</v>
      </c>
      <c r="K60" s="78">
        <f>K28/DD_projekcie!M$59/10</f>
        <v>2.5347683862839907</v>
      </c>
      <c r="L60" s="78">
        <f>L28/DD_projekcie!N$59/10</f>
        <v>2.6805085856789503</v>
      </c>
      <c r="M60" s="78">
        <f>M28/DD_projekcie!O$59/10</f>
        <v>2.8163979626923616</v>
      </c>
      <c r="N60" s="78">
        <f>N28/DD_projekcie!P$59/10</f>
        <v>3.0953747935095128</v>
      </c>
      <c r="O60" s="78">
        <f>O28/DD_projekcie!Q$59/10</f>
        <v>3.2762387836724747</v>
      </c>
      <c r="P60" s="78">
        <f>P28/DD_projekcie!R$59/10</f>
        <v>3.461825888451675</v>
      </c>
      <c r="Q60" s="78">
        <f>Q28/DD_projekcie!S$59/10</f>
        <v>3.6117899793989707</v>
      </c>
      <c r="R60" s="78">
        <f>R28/DD_projekcie!T$59/10</f>
        <v>3.7497754070722267</v>
      </c>
      <c r="S60" s="78">
        <f>S28/DD_projekcie!U$59/10</f>
        <v>3.8836816398331679</v>
      </c>
      <c r="T60" s="78">
        <f>T28/DD_projekcie!V$59/10</f>
        <v>4.0202394385556328</v>
      </c>
      <c r="U60" s="78">
        <f>U28/DD_projekcie!W$59/10</f>
        <v>4.1649802612387958</v>
      </c>
      <c r="V60" s="78">
        <f>V28/DD_projekcie!X$59/10</f>
        <v>4.315313451350721</v>
      </c>
      <c r="W60" s="78">
        <f>W28/DD_projekcie!Y$59/10</f>
        <v>4.4697360013803582</v>
      </c>
      <c r="X60" s="78">
        <f>X28/DD_projekcie!Z$59/10</f>
        <v>4.5882535844635601</v>
      </c>
      <c r="Y60" s="78">
        <f>Y28/DD_projekcie!AA$59/10</f>
        <v>4.7962218821251312</v>
      </c>
      <c r="Z60" s="78">
        <f>Z28/DD_projekcie!AB$59/10</f>
        <v>4.9505820706607677</v>
      </c>
      <c r="AA60" s="78">
        <f>AA28/DD_projekcie!AC$59/10</f>
        <v>5.1349409194694973</v>
      </c>
      <c r="AB60" s="78">
        <f>AB28/DD_projekcie!AD$59/10</f>
        <v>5.3098131394412338</v>
      </c>
      <c r="AC60" s="78">
        <f>AC28/DD_projekcie!AE$59/10</f>
        <v>5.4957349742587995</v>
      </c>
      <c r="AD60" s="78">
        <f>AD28/DD_projekcie!AF$59/10</f>
        <v>5.6902408752561024</v>
      </c>
      <c r="AE60" s="78">
        <f>AE28/DD_projekcie!AG$59/10</f>
        <v>5.8906534645084587</v>
      </c>
      <c r="AF60" s="78">
        <f>AF28/DD_projekcie!AH$59/10</f>
        <v>6.1007544331749717</v>
      </c>
      <c r="AG60" s="78">
        <f>AG28/DD_projekcie!AI$59/10</f>
        <v>6.3233351533536544</v>
      </c>
      <c r="AH60" s="78">
        <f>AH28/DD_projekcie!AJ$59/10</f>
        <v>6.5560810122592654</v>
      </c>
      <c r="AI60" s="78">
        <f>AI28/DD_projekcie!AK$59/10</f>
        <v>6.7693937799815531</v>
      </c>
      <c r="AJ60" s="78">
        <f>AJ28/DD_projekcie!AL$59/10</f>
        <v>7.0529381447562729</v>
      </c>
      <c r="AK60" s="78">
        <f>AK28/DD_projekcie!AM$59/10</f>
        <v>7.3041706688334624</v>
      </c>
      <c r="AL60" s="78">
        <f>AL28/DD_projekcie!AN$59/10</f>
        <v>7.5839658983892759</v>
      </c>
      <c r="AM60" s="78">
        <f>AM28/DD_projekcie!AO$59/10</f>
        <v>7.8681441360451654</v>
      </c>
      <c r="AN60" s="78">
        <f>AN28/DD_projekcie!AP$59/10</f>
        <v>8.1680880665742563</v>
      </c>
      <c r="AO60" s="78">
        <f>AO28/DD_projekcie!AQ$59/10</f>
        <v>8.4842511554687974</v>
      </c>
      <c r="AP60" s="78">
        <f>AP28/DD_projekcie!AR$59/10</f>
        <v>8.8099029337098074</v>
      </c>
      <c r="AQ60" s="78">
        <f>AQ28/DD_projekcie!AS$59/10</f>
        <v>9.1492728453640986</v>
      </c>
      <c r="AR60" s="78">
        <f>AR28/DD_projekcie!AT$59/10</f>
        <v>9.5020876733500224</v>
      </c>
      <c r="AS60" s="78">
        <f>AS28/DD_projekcie!AU$59/10</f>
        <v>9.8683363519446328</v>
      </c>
      <c r="AT60" s="78">
        <f>AT28/DD_projekcie!AV$59/10</f>
        <v>10.225867413816614</v>
      </c>
      <c r="AU60" s="78">
        <f>AU28/DD_projekcie!AW$59/10</f>
        <v>10.64260113462932</v>
      </c>
      <c r="AV60" s="78">
        <f>AV28/DD_projekcie!AX$59/10</f>
        <v>11.038374591414769</v>
      </c>
      <c r="AW60" s="78">
        <f>AW28/DD_projekcie!AY$59/10</f>
        <v>11.457121949586821</v>
      </c>
      <c r="AX60" s="78">
        <f>AX28/DD_projekcie!AZ$59/10</f>
        <v>11.87852117377949</v>
      </c>
      <c r="AY60" s="78">
        <f>AY28/DD_projekcie!BA$59/10</f>
        <v>12.312987293262669</v>
      </c>
      <c r="AZ60" s="78">
        <f>AZ28/DD_projekcie!BB$59/10</f>
        <v>12.755038023330279</v>
      </c>
      <c r="BA60" s="78">
        <f>BA28/DD_projekcie!BC$59/10</f>
        <v>13.199774846002729</v>
      </c>
    </row>
    <row r="61" spans="1:53" x14ac:dyDescent="0.25">
      <c r="A61" s="248" t="s">
        <v>1003</v>
      </c>
      <c r="B61" s="81">
        <f>B29/DD_projekcie!E$59/10</f>
        <v>-2.7649582517486495</v>
      </c>
      <c r="C61" s="81">
        <f>C29/DD_projekcie!E$59/10</f>
        <v>-3.5149961968087085</v>
      </c>
      <c r="D61" s="81">
        <f>D29/DD_projekcie!F$59/10</f>
        <v>-3.1678589337756025</v>
      </c>
      <c r="E61" s="81">
        <f>E29/DD_projekcie!G$59/10</f>
        <v>-3.8094164537359596</v>
      </c>
      <c r="F61" s="81">
        <f>F29/DD_projekcie!H$59/10</f>
        <v>-3.6386278917336825</v>
      </c>
      <c r="G61" s="81">
        <f>G29/DD_projekcie!I$59/10</f>
        <v>-3.9026702396298987</v>
      </c>
      <c r="H61" s="81">
        <f>H29/DD_projekcie!J$59/10</f>
        <v>-4.0454832180720013</v>
      </c>
      <c r="I61" s="81">
        <f>I29/DD_projekcie!K$59/10</f>
        <v>-4.161728196681258</v>
      </c>
      <c r="J61" s="81">
        <f>J29/DD_projekcie!L$59/10</f>
        <v>-4.3300509961479907</v>
      </c>
      <c r="K61" s="81">
        <f>K29/DD_projekcie!M$59/10</f>
        <v>-4.4886257107989493</v>
      </c>
      <c r="L61" s="81">
        <f>L29/DD_projekcie!N$59/10</f>
        <v>-4.6212826175521524</v>
      </c>
      <c r="M61" s="81">
        <f>M29/DD_projekcie!O$59/10</f>
        <v>-4.756638746339199</v>
      </c>
      <c r="N61" s="81">
        <f>N29/DD_projekcie!P$59/10</f>
        <v>-5.0721035288248864</v>
      </c>
      <c r="O61" s="81">
        <f>O29/DD_projekcie!Q$59/10</f>
        <v>-5.2480605784115841</v>
      </c>
      <c r="P61" s="81">
        <f>P29/DD_projekcie!R$59/10</f>
        <v>-5.4555328506890524</v>
      </c>
      <c r="Q61" s="81">
        <f>Q29/DD_projekcie!S$59/10</f>
        <v>-5.6359957964185368</v>
      </c>
      <c r="R61" s="81">
        <f>R29/DD_projekcie!T$59/10</f>
        <v>-5.8207110748267832</v>
      </c>
      <c r="S61" s="81">
        <f>S29/DD_projekcie!U$59/10</f>
        <v>-5.9145857221930864</v>
      </c>
      <c r="T61" s="81">
        <f>T29/DD_projekcie!V$59/10</f>
        <v>-6.0233775272122259</v>
      </c>
      <c r="U61" s="81">
        <f>U29/DD_projekcie!W$59/10</f>
        <v>-6.1802684843273905</v>
      </c>
      <c r="V61" s="81">
        <f>V29/DD_projekcie!X$59/10</f>
        <v>-6.3680239865574748</v>
      </c>
      <c r="W61" s="81">
        <f>W29/DD_projekcie!Y$59/10</f>
        <v>-6.5098380432804435</v>
      </c>
      <c r="X61" s="81">
        <f>X29/DD_projekcie!Z$59/10</f>
        <v>-6.6180777218493159</v>
      </c>
      <c r="Y61" s="81">
        <f>Y29/DD_projekcie!AA$59/10</f>
        <v>-6.8645852117643145</v>
      </c>
      <c r="Z61" s="81">
        <f>Z29/DD_projekcie!AB$59/10</f>
        <v>-7.0562700576847446</v>
      </c>
      <c r="AA61" s="81">
        <f>AA29/DD_projekcie!AC$59/10</f>
        <v>-7.196510245067012</v>
      </c>
      <c r="AB61" s="81">
        <f>AB29/DD_projekcie!AD$59/10</f>
        <v>-7.4078396441720287</v>
      </c>
      <c r="AC61" s="81">
        <f>AC29/DD_projekcie!AE$59/10</f>
        <v>-7.6329626494306764</v>
      </c>
      <c r="AD61" s="81">
        <f>AD29/DD_projekcie!AF$59/10</f>
        <v>-7.895126553263407</v>
      </c>
      <c r="AE61" s="81">
        <f>AE29/DD_projekcie!AG$59/10</f>
        <v>-8.1148819924572138</v>
      </c>
      <c r="AF61" s="81">
        <f>AF29/DD_projekcie!AH$59/10</f>
        <v>-8.4103513631258409</v>
      </c>
      <c r="AG61" s="81">
        <f>AG29/DD_projekcie!AI$59/10</f>
        <v>-8.7480076450268047</v>
      </c>
      <c r="AH61" s="81">
        <f>AH29/DD_projekcie!AJ$59/10</f>
        <v>-9.0632015519061646</v>
      </c>
      <c r="AI61" s="81">
        <f>AI29/DD_projekcie!AK$59/10</f>
        <v>-9.2743017793214513</v>
      </c>
      <c r="AJ61" s="81">
        <f>AJ29/DD_projekcie!AL$59/10</f>
        <v>-9.6123604826874427</v>
      </c>
      <c r="AK61" s="81">
        <f>AK29/DD_projekcie!AM$59/10</f>
        <v>-9.9853979092188698</v>
      </c>
      <c r="AL61" s="81">
        <f>AL29/DD_projekcie!AN$59/10</f>
        <v>-10.389244807846577</v>
      </c>
      <c r="AM61" s="81">
        <f>AM29/DD_projekcie!AO$59/10</f>
        <v>-10.783056301730666</v>
      </c>
      <c r="AN61" s="81">
        <f>AN29/DD_projekcie!AP$59/10</f>
        <v>-11.237878020382613</v>
      </c>
      <c r="AO61" s="81">
        <f>AO29/DD_projekcie!AQ$59/10</f>
        <v>-11.724014903462464</v>
      </c>
      <c r="AP61" s="81">
        <f>AP29/DD_projekcie!AR$59/10</f>
        <v>-12.187376057071891</v>
      </c>
      <c r="AQ61" s="81">
        <f>AQ29/DD_projekcie!AS$59/10</f>
        <v>-12.591091624886559</v>
      </c>
      <c r="AR61" s="81">
        <f>AR29/DD_projekcie!AT$59/10</f>
        <v>-13.108558288594011</v>
      </c>
      <c r="AS61" s="81">
        <f>AS29/DD_projekcie!AU$59/10</f>
        <v>-13.656160441265978</v>
      </c>
      <c r="AT61" s="81">
        <f>AT29/DD_projekcie!AV$59/10</f>
        <v>-14.202618541119602</v>
      </c>
      <c r="AU61" s="81">
        <f>AU29/DD_projekcie!AW$59/10</f>
        <v>-14.740215158894481</v>
      </c>
      <c r="AV61" s="81">
        <f>AV29/DD_projekcie!AX$59/10</f>
        <v>-15.255889911313712</v>
      </c>
      <c r="AW61" s="81">
        <f>AW29/DD_projekcie!AY$59/10</f>
        <v>-15.78254571331432</v>
      </c>
      <c r="AX61" s="81">
        <f>AX29/DD_projekcie!AZ$59/10</f>
        <v>-16.31180664127529</v>
      </c>
      <c r="AY61" s="81">
        <f>AY29/DD_projekcie!BA$59/10</f>
        <v>-16.72070808666907</v>
      </c>
      <c r="AZ61" s="81">
        <f>AZ29/DD_projekcie!BB$59/10</f>
        <v>-17.107948615630562</v>
      </c>
      <c r="BA61" s="81">
        <f>BA29/DD_projekcie!BC$59/10</f>
        <v>-17.520830424465281</v>
      </c>
    </row>
    <row r="62" spans="1:53" x14ac:dyDescent="0.25">
      <c r="A62" s="248" t="s">
        <v>1042</v>
      </c>
      <c r="B62" s="251">
        <f>B30/DD_projekcie!E$59/10</f>
        <v>55.405934506740707</v>
      </c>
      <c r="C62" s="251">
        <f>C30/DD_projekcie!E$59/10</f>
        <v>55.405934506740707</v>
      </c>
      <c r="D62" s="251">
        <f ca="1">D30/DD_projekcie!F$59/10</f>
        <v>56.639035302776691</v>
      </c>
      <c r="E62" s="251">
        <f ca="1">E30/DD_projekcie!G$59/10</f>
        <v>57.824428232169929</v>
      </c>
      <c r="F62" s="251">
        <f ca="1">F30/DD_projekcie!H$59/10</f>
        <v>58.416291378257277</v>
      </c>
      <c r="G62" s="251">
        <f ca="1">G30/DD_projekcie!I$59/10</f>
        <v>58.969536566510747</v>
      </c>
      <c r="H62" s="251">
        <f ca="1">H30/DD_projekcie!J$59/10</f>
        <v>59.746941403974247</v>
      </c>
      <c r="I62" s="251">
        <f ca="1">I30/DD_projekcie!K$59/10</f>
        <v>60.750800006506175</v>
      </c>
      <c r="J62" s="251">
        <f ca="1">J30/DD_projekcie!L$59/10</f>
        <v>61.908749145338369</v>
      </c>
      <c r="K62" s="251">
        <f ca="1">K30/DD_projekcie!M$59/10</f>
        <v>63.24524298477737</v>
      </c>
      <c r="L62" s="251">
        <f ca="1">L30/DD_projekcie!N$59/10</f>
        <v>64.699613582783087</v>
      </c>
      <c r="M62" s="251">
        <f ca="1">M30/DD_projekcie!O$59/10</f>
        <v>66.269124904950232</v>
      </c>
      <c r="N62" s="251">
        <f ca="1">N30/DD_projekcie!P$59/10</f>
        <v>67.966243942465766</v>
      </c>
      <c r="O62" s="251">
        <f ca="1">O30/DD_projekcie!Q$59/10</f>
        <v>69.881410822775635</v>
      </c>
      <c r="P62" s="251">
        <f ca="1">P30/DD_projekcie!R$59/10</f>
        <v>71.962332256843126</v>
      </c>
      <c r="Q62" s="251">
        <f ca="1">Q30/DD_projekcie!S$59/10</f>
        <v>74.263987496840201</v>
      </c>
      <c r="R62" s="251">
        <f ca="1">R30/DD_projekcie!T$59/10</f>
        <v>76.784518151208317</v>
      </c>
      <c r="S62" s="251">
        <f ca="1">S30/DD_projekcie!U$59/10</f>
        <v>79.414533379420888</v>
      </c>
      <c r="T62" s="251">
        <f ca="1">T30/DD_projekcie!V$59/10</f>
        <v>82.188914610134077</v>
      </c>
      <c r="U62" s="251">
        <f ca="1">U30/DD_projekcie!W$59/10</f>
        <v>85.13096807731209</v>
      </c>
      <c r="V62" s="251">
        <f ca="1">V30/DD_projekcie!X$59/10</f>
        <v>88.181519588850477</v>
      </c>
      <c r="W62" s="251">
        <f ca="1">W30/DD_projekcie!Y$59/10</f>
        <v>91.294519538144243</v>
      </c>
      <c r="X62" s="251">
        <f ca="1">X30/DD_projekcie!Z$59/10</f>
        <v>94.478457097937707</v>
      </c>
      <c r="Y62" s="251">
        <f ca="1">Y30/DD_projekcie!AA$59/10</f>
        <v>97.760308559380718</v>
      </c>
      <c r="Z62" s="251">
        <f ca="1">Z30/DD_projekcie!AB$59/10</f>
        <v>101.22902130748531</v>
      </c>
      <c r="AA62" s="251">
        <f ca="1">AA30/DD_projekcie!AC$59/10</f>
        <v>104.73773038217618</v>
      </c>
      <c r="AB62" s="251">
        <f ca="1">AB30/DD_projekcie!AD$59/10</f>
        <v>108.382422134075</v>
      </c>
      <c r="AC62" s="251">
        <f ca="1">AC30/DD_projekcie!AE$59/10</f>
        <v>112.15270089711862</v>
      </c>
      <c r="AD62" s="251">
        <f ca="1">AD30/DD_projekcie!AF$59/10</f>
        <v>116.08421344778603</v>
      </c>
      <c r="AE62" s="251">
        <f ca="1">AE30/DD_projekcie!AG$59/10</f>
        <v>120.16854149297937</v>
      </c>
      <c r="AF62" s="251">
        <f ca="1">AF30/DD_projekcie!AH$59/10</f>
        <v>124.46454979286599</v>
      </c>
      <c r="AG62" s="251">
        <f ca="1">AG30/DD_projekcie!AI$59/10</f>
        <v>129.00193839383903</v>
      </c>
      <c r="AH62" s="251">
        <f ca="1">AH30/DD_projekcie!AJ$59/10</f>
        <v>133.75847240825269</v>
      </c>
      <c r="AI62" s="251">
        <f ca="1">AI30/DD_projekcie!AK$59/10</f>
        <v>138.64874108366195</v>
      </c>
      <c r="AJ62" s="251">
        <f ca="1">AJ30/DD_projekcie!AL$59/10</f>
        <v>143.71453067389768</v>
      </c>
      <c r="AK62" s="251">
        <f ca="1">AK30/DD_projekcie!AM$59/10</f>
        <v>149.07867362103829</v>
      </c>
      <c r="AL62" s="251">
        <f ca="1">AL30/DD_projekcie!AN$59/10</f>
        <v>154.69151309944795</v>
      </c>
      <c r="AM62" s="251">
        <f ca="1">AM30/DD_projekcie!AO$59/10</f>
        <v>160.54254434847655</v>
      </c>
      <c r="AN62" s="251">
        <f ca="1">AN30/DD_projekcie!AP$59/10</f>
        <v>166.67520108003475</v>
      </c>
      <c r="AO62" s="251">
        <f ca="1">AO30/DD_projekcie!AQ$59/10</f>
        <v>173.11007400291734</v>
      </c>
      <c r="AP62" s="251">
        <f ca="1">AP30/DD_projekcie!AR$59/10</f>
        <v>179.81802108645451</v>
      </c>
      <c r="AQ62" s="251">
        <f ca="1">AQ30/DD_projekcie!AS$59/10</f>
        <v>186.71895146957871</v>
      </c>
      <c r="AR62" s="251">
        <f ca="1">AR30/DD_projekcie!AT$59/10</f>
        <v>193.89567054212765</v>
      </c>
      <c r="AS62" s="251">
        <f ca="1">AS30/DD_projekcie!AU$59/10</f>
        <v>201.3680694571224</v>
      </c>
      <c r="AT62" s="251">
        <f ca="1">AT30/DD_projekcie!AV$59/10</f>
        <v>209.14190273760897</v>
      </c>
      <c r="AU62" s="251">
        <f ca="1">AU30/DD_projekcie!AW$59/10</f>
        <v>217.12340850188411</v>
      </c>
      <c r="AV62" s="251">
        <f ca="1">AV30/DD_projekcie!AX$59/10</f>
        <v>225.3559470083726</v>
      </c>
      <c r="AW62" s="251">
        <f ca="1">AW30/DD_projekcie!AY$59/10</f>
        <v>233.80697853144233</v>
      </c>
      <c r="AX62" s="251">
        <f ca="1">AX30/DD_projekcie!AZ$59/10</f>
        <v>242.4596859895243</v>
      </c>
      <c r="AY62" s="251">
        <f ca="1">AY30/DD_projekcie!BA$59/10</f>
        <v>251.24045266793354</v>
      </c>
      <c r="AZ62" s="251">
        <f ca="1">AZ30/DD_projekcie!BB$59/10</f>
        <v>260.1289353275094</v>
      </c>
      <c r="BA62" s="251">
        <f ca="1">BA30/DD_projekcie!BC$59/10</f>
        <v>269.15227126544426</v>
      </c>
    </row>
    <row r="63" spans="1:53" x14ac:dyDescent="0.25">
      <c r="A63" s="68" t="s">
        <v>1126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</row>
  </sheetData>
  <mergeCells count="2">
    <mergeCell ref="A1:BA1"/>
    <mergeCell ref="A33:BA3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árok11">
    <tabColor rgb="FF00B050"/>
    <pageSetUpPr fitToPage="1"/>
  </sheetPr>
  <dimension ref="A1:T1115"/>
  <sheetViews>
    <sheetView showGridLines="0" zoomScaleNormal="100" workbookViewId="0">
      <selection sqref="A1:A2"/>
    </sheetView>
  </sheetViews>
  <sheetFormatPr defaultRowHeight="15" x14ac:dyDescent="0.25"/>
  <cols>
    <col min="1" max="1" width="11.5703125" customWidth="1"/>
    <col min="2" max="2" width="63.85546875" customWidth="1"/>
    <col min="3" max="3" width="9.140625" style="3"/>
    <col min="4" max="4" width="9.28515625" style="1" bestFit="1" customWidth="1"/>
    <col min="5" max="5" width="9.7109375" style="3" bestFit="1" customWidth="1"/>
    <col min="6" max="6" width="11.28515625" style="2" bestFit="1" customWidth="1"/>
    <col min="7" max="7" width="9.5703125" style="4" bestFit="1" customWidth="1"/>
    <col min="8" max="8" width="9.7109375" bestFit="1" customWidth="1"/>
    <col min="9" max="9" width="9.85546875" bestFit="1" customWidth="1"/>
    <col min="10" max="10" width="9.7109375" bestFit="1" customWidth="1"/>
    <col min="11" max="11" width="9.140625" style="1" customWidth="1"/>
    <col min="12" max="12" width="10" style="2" bestFit="1" customWidth="1"/>
    <col min="13" max="13" width="9.85546875" style="2" bestFit="1" customWidth="1"/>
    <col min="14" max="14" width="9.5703125" style="2" bestFit="1" customWidth="1"/>
    <col min="16" max="16" width="13.5703125" customWidth="1"/>
  </cols>
  <sheetData>
    <row r="1" spans="1:20" ht="32.25" customHeight="1" x14ac:dyDescent="0.25">
      <c r="A1" s="450" t="s">
        <v>0</v>
      </c>
      <c r="B1" s="450" t="s">
        <v>1</v>
      </c>
      <c r="C1" s="136" t="s">
        <v>2</v>
      </c>
      <c r="D1" s="445" t="s">
        <v>120</v>
      </c>
      <c r="E1" s="446"/>
      <c r="F1" s="449"/>
      <c r="G1" s="445" t="s">
        <v>121</v>
      </c>
      <c r="H1" s="446"/>
      <c r="I1" s="446"/>
      <c r="J1" s="446"/>
      <c r="K1" s="445" t="s">
        <v>122</v>
      </c>
      <c r="L1" s="446"/>
      <c r="M1" s="446"/>
      <c r="N1" s="446"/>
      <c r="O1" s="69"/>
    </row>
    <row r="2" spans="1:20" x14ac:dyDescent="0.25">
      <c r="A2" s="451"/>
      <c r="B2" s="451"/>
      <c r="C2" s="137"/>
      <c r="D2" s="138">
        <v>2011</v>
      </c>
      <c r="E2" s="137">
        <v>2012</v>
      </c>
      <c r="F2" s="137">
        <v>2013</v>
      </c>
      <c r="G2" s="138">
        <f>F2+1</f>
        <v>2014</v>
      </c>
      <c r="H2" s="137">
        <f t="shared" ref="H2:J2" si="0">G2+1</f>
        <v>2015</v>
      </c>
      <c r="I2" s="137">
        <f t="shared" si="0"/>
        <v>2016</v>
      </c>
      <c r="J2" s="137">
        <f t="shared" si="0"/>
        <v>2017</v>
      </c>
      <c r="K2" s="138">
        <f>G2</f>
        <v>2014</v>
      </c>
      <c r="L2" s="137">
        <f t="shared" ref="L2:N2" si="1">H2</f>
        <v>2015</v>
      </c>
      <c r="M2" s="137">
        <f t="shared" si="1"/>
        <v>2016</v>
      </c>
      <c r="N2" s="137">
        <f t="shared" si="1"/>
        <v>2017</v>
      </c>
      <c r="O2" s="69"/>
    </row>
    <row r="3" spans="1:20" ht="18" customHeight="1" x14ac:dyDescent="0.25">
      <c r="A3" s="139"/>
      <c r="B3" s="147" t="s">
        <v>3</v>
      </c>
      <c r="C3" s="140"/>
      <c r="D3" s="141"/>
      <c r="E3" s="142"/>
      <c r="F3" s="142"/>
      <c r="G3" s="143"/>
      <c r="H3" s="144"/>
      <c r="I3" s="144"/>
      <c r="J3" s="144"/>
      <c r="K3" s="143"/>
      <c r="L3" s="144"/>
      <c r="M3" s="144"/>
      <c r="N3" s="144"/>
      <c r="O3" s="69"/>
    </row>
    <row r="4" spans="1:20" ht="18" customHeight="1" x14ac:dyDescent="0.25">
      <c r="A4" s="89" t="s">
        <v>4</v>
      </c>
      <c r="B4" s="90" t="s">
        <v>5</v>
      </c>
      <c r="C4" s="91" t="s">
        <v>123</v>
      </c>
      <c r="D4" s="92">
        <v>68974.162999999942</v>
      </c>
      <c r="E4" s="93">
        <v>71096.017000000051</v>
      </c>
      <c r="F4" s="93">
        <v>72149.62865600003</v>
      </c>
      <c r="G4" s="92">
        <v>74492.060540049555</v>
      </c>
      <c r="H4" s="93">
        <v>77786.675519651326</v>
      </c>
      <c r="I4" s="93">
        <v>81709.728415493955</v>
      </c>
      <c r="J4" s="93">
        <v>86210.269198135153</v>
      </c>
      <c r="K4" s="92">
        <v>74492.060540049555</v>
      </c>
      <c r="L4" s="93">
        <v>77786.675519651326</v>
      </c>
      <c r="M4" s="93">
        <v>81709.728415493955</v>
      </c>
      <c r="N4" s="93">
        <v>86210.269198135153</v>
      </c>
      <c r="O4" s="69"/>
    </row>
    <row r="5" spans="1:20" ht="18" customHeight="1" x14ac:dyDescent="0.25">
      <c r="A5" s="94" t="s">
        <v>7</v>
      </c>
      <c r="B5" s="90" t="s">
        <v>8</v>
      </c>
      <c r="C5" s="91" t="s">
        <v>123</v>
      </c>
      <c r="D5" s="92">
        <v>39025.093000000001</v>
      </c>
      <c r="E5" s="93">
        <v>40307.077999999994</v>
      </c>
      <c r="F5" s="93">
        <v>40810.584633085651</v>
      </c>
      <c r="G5" s="92">
        <v>41606.578154196242</v>
      </c>
      <c r="H5" s="93">
        <v>43414.710174438325</v>
      </c>
      <c r="I5" s="93">
        <v>45473.449775564572</v>
      </c>
      <c r="J5" s="93">
        <v>47928.338454713972</v>
      </c>
      <c r="K5" s="92">
        <v>41606.578154196242</v>
      </c>
      <c r="L5" s="93">
        <v>43414.710174438325</v>
      </c>
      <c r="M5" s="93">
        <v>45473.449775564572</v>
      </c>
      <c r="N5" s="93">
        <v>47928.338454713972</v>
      </c>
      <c r="O5" s="69"/>
      <c r="P5" s="19"/>
      <c r="Q5" s="19"/>
      <c r="R5" s="19"/>
      <c r="S5" s="19"/>
      <c r="T5" s="19"/>
    </row>
    <row r="6" spans="1:20" ht="18" customHeight="1" x14ac:dyDescent="0.25">
      <c r="A6" s="89" t="s">
        <v>9</v>
      </c>
      <c r="B6" s="90" t="s">
        <v>10</v>
      </c>
      <c r="C6" s="91" t="s">
        <v>123</v>
      </c>
      <c r="D6" s="92">
        <v>31014.097596823842</v>
      </c>
      <c r="E6" s="93">
        <v>31896.665643584118</v>
      </c>
      <c r="F6" s="93">
        <v>32309.568563937395</v>
      </c>
      <c r="G6" s="92">
        <v>33245.979440093637</v>
      </c>
      <c r="H6" s="93">
        <v>34637.463251408124</v>
      </c>
      <c r="I6" s="93">
        <v>36327.075787888585</v>
      </c>
      <c r="J6" s="93">
        <v>38309.948551612106</v>
      </c>
      <c r="K6" s="92">
        <v>33245.979440093637</v>
      </c>
      <c r="L6" s="93">
        <v>34637.463251408124</v>
      </c>
      <c r="M6" s="93">
        <v>36327.075787888585</v>
      </c>
      <c r="N6" s="93">
        <v>38309.948551612106</v>
      </c>
      <c r="O6" s="69"/>
      <c r="P6" s="9"/>
      <c r="Q6" s="9"/>
      <c r="R6" s="9"/>
      <c r="S6" s="9"/>
      <c r="T6" s="9"/>
    </row>
    <row r="7" spans="1:20" ht="18" customHeight="1" x14ac:dyDescent="0.25">
      <c r="A7" s="94" t="s">
        <v>11</v>
      </c>
      <c r="B7" s="90" t="s">
        <v>12</v>
      </c>
      <c r="C7" s="91" t="s">
        <v>123</v>
      </c>
      <c r="D7" s="92">
        <v>3111.4080000000004</v>
      </c>
      <c r="E7" s="93">
        <v>3134.616</v>
      </c>
      <c r="F7" s="93">
        <v>3063.0745000000002</v>
      </c>
      <c r="G7" s="92">
        <v>3069.9775999999997</v>
      </c>
      <c r="H7" s="93">
        <v>3084.2820325428725</v>
      </c>
      <c r="I7" s="93">
        <v>3144.9338199060576</v>
      </c>
      <c r="J7" s="93">
        <v>3206.7783124990292</v>
      </c>
      <c r="K7" s="92">
        <v>3069.9775999999997</v>
      </c>
      <c r="L7" s="93">
        <v>3084.2820325428725</v>
      </c>
      <c r="M7" s="93">
        <v>3144.9338199060576</v>
      </c>
      <c r="N7" s="93">
        <v>3206.7783124990292</v>
      </c>
      <c r="O7" s="69"/>
    </row>
    <row r="8" spans="1:20" ht="18" customHeight="1" x14ac:dyDescent="0.25">
      <c r="A8" s="94" t="s">
        <v>13</v>
      </c>
      <c r="B8" s="90" t="s">
        <v>14</v>
      </c>
      <c r="C8" s="91" t="s">
        <v>123</v>
      </c>
      <c r="D8" s="92">
        <v>1586.48</v>
      </c>
      <c r="E8" s="93">
        <v>1364.95</v>
      </c>
      <c r="F8" s="93">
        <v>1110.4945499999999</v>
      </c>
      <c r="G8" s="92">
        <v>1154.4823708858664</v>
      </c>
      <c r="H8" s="93">
        <v>1039.3666895278461</v>
      </c>
      <c r="I8" s="93">
        <v>870.9962860740693</v>
      </c>
      <c r="J8" s="93">
        <v>884.93222665125438</v>
      </c>
      <c r="K8" s="92">
        <v>1154.4823708858664</v>
      </c>
      <c r="L8" s="93">
        <v>1039.3666895278461</v>
      </c>
      <c r="M8" s="93">
        <v>870.9962860740693</v>
      </c>
      <c r="N8" s="93">
        <v>884.93222665125438</v>
      </c>
      <c r="O8" s="69"/>
      <c r="P8" s="5"/>
    </row>
    <row r="9" spans="1:20" ht="18" customHeight="1" x14ac:dyDescent="0.25">
      <c r="A9" s="94" t="s">
        <v>15</v>
      </c>
      <c r="B9" s="90" t="s">
        <v>16</v>
      </c>
      <c r="C9" s="91" t="s">
        <v>17</v>
      </c>
      <c r="D9" s="92"/>
      <c r="E9" s="95">
        <f>(E4/D4-1)*100</f>
        <v>3.0763026439336594</v>
      </c>
      <c r="F9" s="93">
        <f t="shared" ref="F9:J9" si="2">(F4/E4-1)*100</f>
        <v>1.4819559526098036</v>
      </c>
      <c r="G9" s="92">
        <f t="shared" si="2"/>
        <v>3.2466305477716784</v>
      </c>
      <c r="H9" s="93">
        <f t="shared" si="2"/>
        <v>4.4227733206956499</v>
      </c>
      <c r="I9" s="93">
        <f t="shared" si="2"/>
        <v>5.0433481950922898</v>
      </c>
      <c r="J9" s="93">
        <f t="shared" si="2"/>
        <v>5.5079619892455689</v>
      </c>
      <c r="K9" s="92">
        <v>3.2466305477716784</v>
      </c>
      <c r="L9" s="93">
        <v>4.4227733206956499</v>
      </c>
      <c r="M9" s="93">
        <v>5.0433481950922898</v>
      </c>
      <c r="N9" s="93">
        <v>5.5079619892455689</v>
      </c>
      <c r="O9" s="69"/>
      <c r="P9" s="5"/>
      <c r="Q9" s="5"/>
      <c r="R9" s="5"/>
      <c r="S9" s="5"/>
    </row>
    <row r="10" spans="1:20" ht="18" customHeight="1" x14ac:dyDescent="0.25">
      <c r="A10" s="94" t="s">
        <v>18</v>
      </c>
      <c r="B10" s="90" t="s">
        <v>19</v>
      </c>
      <c r="C10" s="91" t="s">
        <v>17</v>
      </c>
      <c r="D10" s="92">
        <v>2.9832538362954075</v>
      </c>
      <c r="E10" s="95">
        <v>1.8013052475627234</v>
      </c>
      <c r="F10" s="93">
        <v>0.85751941989857805</v>
      </c>
      <c r="G10" s="92">
        <v>2.3471981784621399</v>
      </c>
      <c r="H10" s="93">
        <v>2.9683337578641167</v>
      </c>
      <c r="I10" s="93">
        <v>3.2033283054654138</v>
      </c>
      <c r="J10" s="93">
        <v>3.4488126935909635</v>
      </c>
      <c r="K10" s="92">
        <v>2.3471981784621399</v>
      </c>
      <c r="L10" s="93">
        <v>2.9683337578641167</v>
      </c>
      <c r="M10" s="93">
        <v>3.2033283054654138</v>
      </c>
      <c r="N10" s="93">
        <v>3.4488126935909635</v>
      </c>
      <c r="O10" s="69"/>
      <c r="Q10" s="18"/>
      <c r="R10" s="18"/>
      <c r="S10" s="18"/>
    </row>
    <row r="11" spans="1:20" ht="18" customHeight="1" x14ac:dyDescent="0.25">
      <c r="A11" s="94" t="s">
        <v>20</v>
      </c>
      <c r="B11" s="90" t="s">
        <v>21</v>
      </c>
      <c r="C11" s="91" t="s">
        <v>17</v>
      </c>
      <c r="D11" s="92"/>
      <c r="E11" s="95">
        <v>-0.1893800063999751</v>
      </c>
      <c r="F11" s="93">
        <v>-7.8886826578161706E-2</v>
      </c>
      <c r="G11" s="92">
        <v>1.1670153814873352</v>
      </c>
      <c r="H11" s="93">
        <v>2.2033775281658174</v>
      </c>
      <c r="I11" s="93">
        <v>2.3573664365667879</v>
      </c>
      <c r="J11" s="93">
        <v>2.8825312143637261</v>
      </c>
      <c r="K11" s="92">
        <v>1.1670153814873352</v>
      </c>
      <c r="L11" s="93">
        <v>2.2033775281658174</v>
      </c>
      <c r="M11" s="93">
        <v>2.3573664365667879</v>
      </c>
      <c r="N11" s="93">
        <v>2.8825312143637261</v>
      </c>
      <c r="O11" s="69"/>
    </row>
    <row r="12" spans="1:20" ht="18" customHeight="1" x14ac:dyDescent="0.25">
      <c r="A12" s="94" t="s">
        <v>22</v>
      </c>
      <c r="B12" s="90" t="s">
        <v>23</v>
      </c>
      <c r="C12" s="91" t="s">
        <v>17</v>
      </c>
      <c r="D12" s="92"/>
      <c r="E12" s="95">
        <v>-1.782664831497871</v>
      </c>
      <c r="F12" s="93">
        <v>0.79495276302643525</v>
      </c>
      <c r="G12" s="92">
        <v>1.3603480888171982</v>
      </c>
      <c r="H12" s="93">
        <v>2.2583482909964925</v>
      </c>
      <c r="I12" s="93">
        <v>2.2792104670957603</v>
      </c>
      <c r="J12" s="93">
        <v>2.729227090457087</v>
      </c>
      <c r="K12" s="92">
        <v>1.3603480888171982</v>
      </c>
      <c r="L12" s="93">
        <v>2.2583482909964925</v>
      </c>
      <c r="M12" s="93">
        <v>2.2792104670957603</v>
      </c>
      <c r="N12" s="93">
        <v>2.729227090457087</v>
      </c>
      <c r="O12" s="69"/>
    </row>
    <row r="13" spans="1:20" ht="18" customHeight="1" x14ac:dyDescent="0.25">
      <c r="A13" s="89" t="s">
        <v>24</v>
      </c>
      <c r="B13" s="90" t="s">
        <v>25</v>
      </c>
      <c r="C13" s="91" t="s">
        <v>17</v>
      </c>
      <c r="D13" s="92"/>
      <c r="E13" s="95">
        <v>2.3566245376679174</v>
      </c>
      <c r="F13" s="93">
        <v>1.7035592832771229</v>
      </c>
      <c r="G13" s="92">
        <v>2.8850439610773604</v>
      </c>
      <c r="H13" s="93">
        <v>4.1908170468265338</v>
      </c>
      <c r="I13" s="93">
        <v>4.8844352415427394</v>
      </c>
      <c r="J13" s="93">
        <v>5.4663938432752301</v>
      </c>
      <c r="K13" s="92">
        <v>2.8850439610773604</v>
      </c>
      <c r="L13" s="93">
        <v>4.1908170468265338</v>
      </c>
      <c r="M13" s="93">
        <v>4.8844352415427394</v>
      </c>
      <c r="N13" s="93">
        <v>5.4663938432752301</v>
      </c>
      <c r="O13" s="69"/>
    </row>
    <row r="14" spans="1:20" ht="18" customHeight="1" x14ac:dyDescent="0.25">
      <c r="A14" s="94" t="s">
        <v>26</v>
      </c>
      <c r="B14" s="90" t="s">
        <v>27</v>
      </c>
      <c r="C14" s="91" t="s">
        <v>17</v>
      </c>
      <c r="D14" s="92"/>
      <c r="E14" s="95">
        <v>-5.9246103593790789E-2</v>
      </c>
      <c r="F14" s="93">
        <v>-0.88212442731466778</v>
      </c>
      <c r="G14" s="92">
        <v>0.33417510253825888</v>
      </c>
      <c r="H14" s="93">
        <v>0.62670699961466791</v>
      </c>
      <c r="I14" s="93">
        <v>0.74879485961991676</v>
      </c>
      <c r="J14" s="93">
        <v>0.93377104707574876</v>
      </c>
      <c r="K14" s="92">
        <v>0.33417510253825888</v>
      </c>
      <c r="L14" s="93">
        <v>0.62670699961466791</v>
      </c>
      <c r="M14" s="93">
        <v>0.74879485961991676</v>
      </c>
      <c r="N14" s="93">
        <v>0.93377104707574876</v>
      </c>
      <c r="O14" s="69"/>
    </row>
    <row r="15" spans="1:20" ht="18" customHeight="1" x14ac:dyDescent="0.25">
      <c r="A15" s="94" t="s">
        <v>28</v>
      </c>
      <c r="B15" s="90" t="s">
        <v>29</v>
      </c>
      <c r="C15" s="91" t="s">
        <v>17</v>
      </c>
      <c r="D15" s="92">
        <v>2.7044156385873208</v>
      </c>
      <c r="E15" s="95">
        <v>2.1745801574439616</v>
      </c>
      <c r="F15" s="93">
        <v>2.4976404070136571</v>
      </c>
      <c r="G15" s="92">
        <v>2.8986400543167479</v>
      </c>
      <c r="H15" s="93">
        <v>3.6977059055323558</v>
      </c>
      <c r="I15" s="93">
        <v>4.2733323005203605</v>
      </c>
      <c r="J15" s="93">
        <v>4.609441150510829</v>
      </c>
      <c r="K15" s="92">
        <v>2.8986400543167479</v>
      </c>
      <c r="L15" s="93">
        <v>3.6977059055323558</v>
      </c>
      <c r="M15" s="93">
        <v>4.2733323005203605</v>
      </c>
      <c r="N15" s="93">
        <v>4.609441150510829</v>
      </c>
      <c r="O15" s="69"/>
    </row>
    <row r="16" spans="1:20" ht="18" customHeight="1" x14ac:dyDescent="0.25">
      <c r="A16" s="94" t="s">
        <v>30</v>
      </c>
      <c r="B16" s="90" t="s">
        <v>31</v>
      </c>
      <c r="C16" s="91" t="s">
        <v>124</v>
      </c>
      <c r="D16" s="92">
        <v>352.63833388643462</v>
      </c>
      <c r="E16" s="95">
        <v>367.69166617095129</v>
      </c>
      <c r="F16" s="93">
        <v>383.46623547988389</v>
      </c>
      <c r="G16" s="92">
        <v>371.9780073746457</v>
      </c>
      <c r="H16" s="93">
        <v>352.12949112765631</v>
      </c>
      <c r="I16" s="93">
        <v>326.89350336507556</v>
      </c>
      <c r="J16" s="93">
        <v>298.88560949848704</v>
      </c>
      <c r="K16" s="92">
        <v>371.9780073746457</v>
      </c>
      <c r="L16" s="93">
        <v>352.12949112765631</v>
      </c>
      <c r="M16" s="93">
        <v>326.89350336507556</v>
      </c>
      <c r="N16" s="93">
        <v>298.88560949848704</v>
      </c>
      <c r="O16" s="69"/>
    </row>
    <row r="17" spans="1:15" ht="18" customHeight="1" x14ac:dyDescent="0.25">
      <c r="A17" s="94" t="s">
        <v>33</v>
      </c>
      <c r="B17" s="90" t="s">
        <v>34</v>
      </c>
      <c r="C17" s="91" t="s">
        <v>17</v>
      </c>
      <c r="D17" s="92">
        <v>3.9</v>
      </c>
      <c r="E17" s="95">
        <v>3.6134507400373828</v>
      </c>
      <c r="F17" s="93">
        <v>1.4030842107972896</v>
      </c>
      <c r="G17" s="92">
        <v>0.75474945023763329</v>
      </c>
      <c r="H17" s="93">
        <v>2.0749630394172862</v>
      </c>
      <c r="I17" s="93">
        <v>2.2747611299560675</v>
      </c>
      <c r="J17" s="93">
        <v>2.3553352041218778</v>
      </c>
      <c r="K17" s="92">
        <v>0.75474945023763329</v>
      </c>
      <c r="L17" s="93">
        <v>2.0749630394172862</v>
      </c>
      <c r="M17" s="93">
        <v>2.2747611299560675</v>
      </c>
      <c r="N17" s="93">
        <v>2.3553352041218778</v>
      </c>
      <c r="O17" s="69"/>
    </row>
    <row r="18" spans="1:15" ht="18" customHeight="1" x14ac:dyDescent="0.25">
      <c r="A18" s="94" t="s">
        <v>35</v>
      </c>
      <c r="B18" s="90" t="s">
        <v>36</v>
      </c>
      <c r="C18" s="91" t="s">
        <v>17</v>
      </c>
      <c r="D18" s="92">
        <v>2.2999999999999998</v>
      </c>
      <c r="E18" s="95">
        <v>2.725614977104085</v>
      </c>
      <c r="F18" s="93">
        <v>1.4673250225085033</v>
      </c>
      <c r="G18" s="92">
        <v>0.9720081183217042</v>
      </c>
      <c r="H18" s="93">
        <v>2.1323357341230849</v>
      </c>
      <c r="I18" s="93">
        <v>2.4040215515230683</v>
      </c>
      <c r="J18" s="96">
        <v>2.4863871598841931</v>
      </c>
      <c r="K18" s="92">
        <v>0.9720081183217042</v>
      </c>
      <c r="L18" s="93">
        <v>2.1323357341230849</v>
      </c>
      <c r="M18" s="93">
        <v>2.4040215515230683</v>
      </c>
      <c r="N18" s="93">
        <v>2.4863871598841931</v>
      </c>
      <c r="O18" s="69"/>
    </row>
    <row r="19" spans="1:15" ht="18" customHeight="1" x14ac:dyDescent="0.25">
      <c r="A19" s="94" t="s">
        <v>37</v>
      </c>
      <c r="B19" s="90" t="s">
        <v>38</v>
      </c>
      <c r="C19" s="91" t="s">
        <v>17</v>
      </c>
      <c r="D19" s="92">
        <v>4.1217501585288474</v>
      </c>
      <c r="E19" s="95">
        <v>3.7758830694275325</v>
      </c>
      <c r="F19" s="93">
        <v>1.7605633802816989</v>
      </c>
      <c r="G19" s="92">
        <v>0.3</v>
      </c>
      <c r="H19" s="93">
        <v>2.0749630394172862</v>
      </c>
      <c r="I19" s="93">
        <v>2.2747611299560675</v>
      </c>
      <c r="J19" s="96">
        <v>2.3553352041218778</v>
      </c>
      <c r="K19" s="92">
        <v>0.3</v>
      </c>
      <c r="L19" s="93">
        <v>2.0749630394172862</v>
      </c>
      <c r="M19" s="93">
        <v>2.2747611299560675</v>
      </c>
      <c r="N19" s="93">
        <v>2.3553352041218778</v>
      </c>
      <c r="O19" s="69"/>
    </row>
    <row r="20" spans="1:15" ht="18" customHeight="1" x14ac:dyDescent="0.25">
      <c r="A20" s="94" t="s">
        <v>39</v>
      </c>
      <c r="B20" s="90" t="s">
        <v>40</v>
      </c>
      <c r="C20" s="91" t="s">
        <v>123</v>
      </c>
      <c r="D20" s="92"/>
      <c r="E20" s="95">
        <v>41868.19834166667</v>
      </c>
      <c r="F20" s="93">
        <v>42158.000255200001</v>
      </c>
      <c r="G20" s="92">
        <v>43630.554422432033</v>
      </c>
      <c r="H20" s="93">
        <v>46248.320587697293</v>
      </c>
      <c r="I20" s="93">
        <v>49088.104775842046</v>
      </c>
      <c r="J20" s="93">
        <v>52120.860360700113</v>
      </c>
      <c r="K20" s="92">
        <v>43630.554422432033</v>
      </c>
      <c r="L20" s="93">
        <v>46248.320587697293</v>
      </c>
      <c r="M20" s="93">
        <v>49088.104775842046</v>
      </c>
      <c r="N20" s="93">
        <v>52120.860360700113</v>
      </c>
      <c r="O20" s="69"/>
    </row>
    <row r="21" spans="1:15" ht="18" customHeight="1" x14ac:dyDescent="0.25">
      <c r="A21" s="94" t="s">
        <v>41</v>
      </c>
      <c r="B21" s="90" t="s">
        <v>42</v>
      </c>
      <c r="C21" s="91" t="s">
        <v>17</v>
      </c>
      <c r="D21" s="92"/>
      <c r="E21" s="95">
        <v>1.208</v>
      </c>
      <c r="F21" s="93">
        <v>0.98983333333333334</v>
      </c>
      <c r="G21" s="92">
        <v>0.77541666666666664</v>
      </c>
      <c r="H21" s="93">
        <v>0.76500000000000001</v>
      </c>
      <c r="I21" s="93">
        <v>1.0358333333333334</v>
      </c>
      <c r="J21" s="93">
        <v>1.5358333333333336</v>
      </c>
      <c r="K21" s="92">
        <v>0.77541666666666664</v>
      </c>
      <c r="L21" s="93">
        <v>0.76500000000000001</v>
      </c>
      <c r="M21" s="93">
        <v>1.0358333333333334</v>
      </c>
      <c r="N21" s="93">
        <v>1.5358333333333336</v>
      </c>
      <c r="O21" s="69"/>
    </row>
    <row r="22" spans="1:15" ht="18" customHeight="1" x14ac:dyDescent="0.25">
      <c r="A22" s="97" t="s">
        <v>43</v>
      </c>
      <c r="B22" s="97" t="s">
        <v>44</v>
      </c>
      <c r="C22" s="98" t="s">
        <v>17</v>
      </c>
      <c r="D22" s="99"/>
      <c r="E22" s="100">
        <v>3.4448477045297694</v>
      </c>
      <c r="F22" s="100">
        <v>2.5784231366459625</v>
      </c>
      <c r="G22" s="99">
        <v>2.8317936507936508</v>
      </c>
      <c r="H22" s="100">
        <v>3.4642480158730149</v>
      </c>
      <c r="I22" s="100">
        <v>4.02403968253968</v>
      </c>
      <c r="J22" s="100">
        <v>4.3982063492063501</v>
      </c>
      <c r="K22" s="99">
        <v>2.8317936507936508</v>
      </c>
      <c r="L22" s="100">
        <v>3.4642480158730149</v>
      </c>
      <c r="M22" s="100">
        <v>4.0340396825396825</v>
      </c>
      <c r="N22" s="100">
        <v>4.3882063492063494</v>
      </c>
      <c r="O22" s="69"/>
    </row>
    <row r="23" spans="1:15" ht="18" customHeight="1" x14ac:dyDescent="0.25">
      <c r="A23" s="447" t="s">
        <v>45</v>
      </c>
      <c r="B23" s="447"/>
      <c r="C23" s="448"/>
      <c r="D23" s="145">
        <v>2011</v>
      </c>
      <c r="E23" s="146">
        <v>2012</v>
      </c>
      <c r="F23" s="147">
        <v>2013</v>
      </c>
      <c r="G23" s="145">
        <f>F23+1</f>
        <v>2014</v>
      </c>
      <c r="H23" s="147">
        <f t="shared" ref="H23" si="3">G23+1</f>
        <v>2015</v>
      </c>
      <c r="I23" s="147">
        <f t="shared" ref="I23" si="4">H23+1</f>
        <v>2016</v>
      </c>
      <c r="J23" s="147">
        <f t="shared" ref="J23" si="5">I23+1</f>
        <v>2017</v>
      </c>
      <c r="K23" s="145">
        <f>G23</f>
        <v>2014</v>
      </c>
      <c r="L23" s="147">
        <f t="shared" ref="L23" si="6">H23</f>
        <v>2015</v>
      </c>
      <c r="M23" s="147">
        <f t="shared" ref="M23" si="7">I23</f>
        <v>2016</v>
      </c>
      <c r="N23" s="147">
        <f t="shared" ref="N23" si="8">J23</f>
        <v>2017</v>
      </c>
      <c r="O23" s="69"/>
    </row>
    <row r="24" spans="1:15" ht="18" customHeight="1" x14ac:dyDescent="0.25">
      <c r="A24" s="90" t="s">
        <v>46</v>
      </c>
      <c r="B24" s="90" t="s">
        <v>47</v>
      </c>
      <c r="C24" s="91" t="s">
        <v>32</v>
      </c>
      <c r="D24" s="92"/>
      <c r="E24" s="101">
        <v>5404292</v>
      </c>
      <c r="F24" s="102">
        <v>5410836</v>
      </c>
      <c r="G24" s="103">
        <v>5425665.4287631884</v>
      </c>
      <c r="H24" s="103">
        <v>5440170.5533426385</v>
      </c>
      <c r="I24" s="103">
        <v>5454361.9309053924</v>
      </c>
      <c r="J24" s="102">
        <v>5468151.7850565352</v>
      </c>
      <c r="K24" s="95"/>
      <c r="L24" s="93"/>
      <c r="M24" s="93"/>
      <c r="N24" s="93"/>
      <c r="O24" s="69"/>
    </row>
    <row r="25" spans="1:15" ht="18" customHeight="1" x14ac:dyDescent="0.25">
      <c r="A25" s="90" t="s">
        <v>1153</v>
      </c>
      <c r="B25" s="90" t="s">
        <v>48</v>
      </c>
      <c r="C25" s="91" t="s">
        <v>32</v>
      </c>
      <c r="D25" s="92"/>
      <c r="E25" s="101">
        <v>60598</v>
      </c>
      <c r="F25" s="102">
        <v>55828</v>
      </c>
      <c r="G25" s="103">
        <v>58400.566226185278</v>
      </c>
      <c r="H25" s="103">
        <v>58035.303538480017</v>
      </c>
      <c r="I25" s="103">
        <v>57563.287687203192</v>
      </c>
      <c r="J25" s="102">
        <v>56985.97651848571</v>
      </c>
      <c r="K25" s="95"/>
      <c r="L25" s="93"/>
      <c r="M25" s="93"/>
      <c r="N25" s="93"/>
      <c r="O25" s="69"/>
    </row>
    <row r="26" spans="1:15" ht="18" customHeight="1" x14ac:dyDescent="0.25">
      <c r="A26" s="90" t="s">
        <v>1154</v>
      </c>
      <c r="B26" s="90" t="s">
        <v>49</v>
      </c>
      <c r="C26" s="91" t="s">
        <v>32</v>
      </c>
      <c r="D26" s="92"/>
      <c r="E26" s="101">
        <v>235109</v>
      </c>
      <c r="F26" s="102">
        <v>234627</v>
      </c>
      <c r="G26" s="103">
        <v>233434.37028316915</v>
      </c>
      <c r="H26" s="103">
        <v>233700.99402086073</v>
      </c>
      <c r="I26" s="103">
        <v>230243.88159248134</v>
      </c>
      <c r="J26" s="102">
        <v>231424.56348966307</v>
      </c>
      <c r="K26" s="95"/>
      <c r="L26" s="93"/>
      <c r="M26" s="93"/>
      <c r="N26" s="93"/>
      <c r="O26" s="69"/>
    </row>
    <row r="27" spans="1:15" ht="18" customHeight="1" x14ac:dyDescent="0.25">
      <c r="A27" s="90" t="s">
        <v>1155</v>
      </c>
      <c r="B27" s="90" t="s">
        <v>50</v>
      </c>
      <c r="C27" s="91" t="s">
        <v>32</v>
      </c>
      <c r="D27" s="92"/>
      <c r="E27" s="101">
        <v>831592</v>
      </c>
      <c r="F27" s="102">
        <v>833294</v>
      </c>
      <c r="G27" s="103">
        <v>831393.53367890487</v>
      </c>
      <c r="H27" s="103">
        <v>833811.03779708454</v>
      </c>
      <c r="I27" s="103">
        <v>836705.56442631676</v>
      </c>
      <c r="J27" s="102">
        <v>840033.83839475736</v>
      </c>
      <c r="K27" s="95"/>
      <c r="L27" s="93"/>
      <c r="M27" s="93"/>
      <c r="N27" s="93"/>
      <c r="O27" s="69"/>
    </row>
    <row r="28" spans="1:15" ht="18" customHeight="1" x14ac:dyDescent="0.25">
      <c r="A28" s="90" t="s">
        <v>1156</v>
      </c>
      <c r="B28" s="90" t="s">
        <v>51</v>
      </c>
      <c r="C28" s="91" t="s">
        <v>32</v>
      </c>
      <c r="D28" s="92"/>
      <c r="E28" s="101">
        <v>1644846</v>
      </c>
      <c r="F28" s="102">
        <v>1617249</v>
      </c>
      <c r="G28" s="103">
        <v>1596868.4205829541</v>
      </c>
      <c r="H28" s="103">
        <v>1576644.4760244337</v>
      </c>
      <c r="I28" s="103">
        <v>1558352.8483118992</v>
      </c>
      <c r="J28" s="102">
        <v>1539377.8944055825</v>
      </c>
      <c r="K28" s="95"/>
      <c r="L28" s="93"/>
      <c r="M28" s="93"/>
      <c r="N28" s="93"/>
      <c r="O28" s="69"/>
    </row>
    <row r="29" spans="1:15" ht="18" customHeight="1" x14ac:dyDescent="0.25">
      <c r="A29" s="90" t="s">
        <v>1157</v>
      </c>
      <c r="B29" s="90" t="s">
        <v>52</v>
      </c>
      <c r="C29" s="91" t="s">
        <v>32</v>
      </c>
      <c r="D29" s="92"/>
      <c r="E29" s="101">
        <v>1466814</v>
      </c>
      <c r="F29" s="102">
        <v>1442427</v>
      </c>
      <c r="G29" s="103">
        <v>1421413.3984590822</v>
      </c>
      <c r="H29" s="103">
        <v>1404190.9400122436</v>
      </c>
      <c r="I29" s="103">
        <v>1384155.4615520244</v>
      </c>
      <c r="J29" s="102">
        <v>1366577.7326209187</v>
      </c>
      <c r="K29" s="95"/>
      <c r="L29" s="93"/>
      <c r="M29" s="93"/>
      <c r="N29" s="93"/>
      <c r="O29" s="69"/>
    </row>
    <row r="30" spans="1:15" ht="18" customHeight="1" x14ac:dyDescent="0.25">
      <c r="A30" s="90" t="s">
        <v>1158</v>
      </c>
      <c r="B30" s="90" t="s">
        <v>53</v>
      </c>
      <c r="C30" s="91" t="s">
        <v>32</v>
      </c>
      <c r="D30" s="92"/>
      <c r="E30" s="101">
        <v>820911</v>
      </c>
      <c r="F30" s="102">
        <v>801336</v>
      </c>
      <c r="G30" s="103">
        <v>784482.2365993968</v>
      </c>
      <c r="H30" s="103">
        <v>776745.38865277648</v>
      </c>
      <c r="I30" s="103">
        <v>776413.1538264266</v>
      </c>
      <c r="J30" s="102">
        <v>775550.70561511139</v>
      </c>
      <c r="K30" s="95"/>
      <c r="L30" s="93"/>
      <c r="M30" s="93"/>
      <c r="N30" s="93"/>
      <c r="O30" s="69"/>
    </row>
    <row r="31" spans="1:15" ht="18" customHeight="1" x14ac:dyDescent="0.25">
      <c r="A31" s="90" t="s">
        <v>1159</v>
      </c>
      <c r="B31" s="90" t="s">
        <v>54</v>
      </c>
      <c r="C31" s="91" t="s">
        <v>32</v>
      </c>
      <c r="D31" s="92"/>
      <c r="E31" s="101">
        <v>812274</v>
      </c>
      <c r="F31" s="102">
        <v>786673</v>
      </c>
      <c r="G31" s="103">
        <v>763873.86577687413</v>
      </c>
      <c r="H31" s="103">
        <v>740807.50979521871</v>
      </c>
      <c r="I31" s="103">
        <v>719236.78804614698</v>
      </c>
      <c r="J31" s="102">
        <v>694067.61989006749</v>
      </c>
      <c r="K31" s="95"/>
      <c r="L31" s="93"/>
      <c r="M31" s="93"/>
      <c r="N31" s="93"/>
      <c r="O31" s="69"/>
    </row>
    <row r="32" spans="1:15" ht="18" customHeight="1" x14ac:dyDescent="0.25">
      <c r="A32" s="90" t="s">
        <v>1160</v>
      </c>
      <c r="B32" s="90" t="s">
        <v>55</v>
      </c>
      <c r="C32" s="91" t="s">
        <v>32</v>
      </c>
      <c r="D32" s="92"/>
      <c r="E32" s="101">
        <v>3881088</v>
      </c>
      <c r="F32" s="102">
        <v>3870038</v>
      </c>
      <c r="G32" s="103">
        <v>3861571.4052466345</v>
      </c>
      <c r="H32" s="103">
        <v>3851287.4387767231</v>
      </c>
      <c r="I32" s="103">
        <v>3835334.0381696224</v>
      </c>
      <c r="J32" s="102">
        <v>3813135.2337861345</v>
      </c>
      <c r="K32" s="95"/>
      <c r="L32" s="93"/>
      <c r="M32" s="93"/>
      <c r="N32" s="93"/>
      <c r="O32" s="69"/>
    </row>
    <row r="33" spans="1:15" ht="18" customHeight="1" x14ac:dyDescent="0.25">
      <c r="A33" s="90" t="s">
        <v>1161</v>
      </c>
      <c r="B33" s="90" t="s">
        <v>56</v>
      </c>
      <c r="C33" s="91" t="s">
        <v>32</v>
      </c>
      <c r="D33" s="92"/>
      <c r="E33" s="101">
        <v>4385473</v>
      </c>
      <c r="F33" s="102">
        <v>4401188</v>
      </c>
      <c r="G33" s="103">
        <v>4417591.4399613468</v>
      </c>
      <c r="H33" s="103">
        <v>4432785.5079705361</v>
      </c>
      <c r="I33" s="103">
        <v>4447082.9148757737</v>
      </c>
      <c r="J33" s="102">
        <v>4459758.4281571787</v>
      </c>
      <c r="K33" s="95"/>
      <c r="L33" s="93"/>
      <c r="M33" s="93"/>
      <c r="N33" s="93"/>
      <c r="O33" s="69"/>
    </row>
    <row r="34" spans="1:15" ht="18" customHeight="1" x14ac:dyDescent="0.25">
      <c r="A34" s="90" t="s">
        <v>57</v>
      </c>
      <c r="B34" s="90" t="s">
        <v>58</v>
      </c>
      <c r="C34" s="91" t="s">
        <v>32</v>
      </c>
      <c r="D34" s="92"/>
      <c r="E34" s="101">
        <v>52437</v>
      </c>
      <c r="F34" s="102">
        <f>E34*SQRT(G34/E34)</f>
        <v>53222.449934734075</v>
      </c>
      <c r="G34" s="103">
        <v>54019.665065798472</v>
      </c>
      <c r="H34" s="103">
        <v>54181.909721327684</v>
      </c>
      <c r="I34" s="103">
        <v>54325.429337222988</v>
      </c>
      <c r="J34" s="102">
        <v>54483.57221441342</v>
      </c>
      <c r="K34" s="95"/>
      <c r="L34" s="93"/>
      <c r="M34" s="93"/>
      <c r="N34" s="93"/>
      <c r="O34" s="69"/>
    </row>
    <row r="35" spans="1:15" ht="18" customHeight="1" x14ac:dyDescent="0.25">
      <c r="A35" s="97" t="s">
        <v>59</v>
      </c>
      <c r="B35" s="97" t="s">
        <v>60</v>
      </c>
      <c r="C35" s="98" t="s">
        <v>32</v>
      </c>
      <c r="D35" s="99"/>
      <c r="E35" s="104"/>
      <c r="F35" s="105">
        <v>258748</v>
      </c>
      <c r="G35" s="106">
        <v>236432.29715424776</v>
      </c>
      <c r="H35" s="106">
        <v>242364.03983329621</v>
      </c>
      <c r="I35" s="106">
        <v>255766.62852861546</v>
      </c>
      <c r="J35" s="105">
        <v>259773.13527085248</v>
      </c>
      <c r="K35" s="100"/>
      <c r="L35" s="100"/>
      <c r="M35" s="100"/>
      <c r="N35" s="100"/>
      <c r="O35" s="69"/>
    </row>
    <row r="36" spans="1:15" ht="18" customHeight="1" x14ac:dyDescent="0.25">
      <c r="A36" s="447" t="s">
        <v>61</v>
      </c>
      <c r="B36" s="447"/>
      <c r="C36" s="448"/>
      <c r="D36" s="145">
        <v>2011</v>
      </c>
      <c r="E36" s="146">
        <v>2012</v>
      </c>
      <c r="F36" s="147">
        <v>2013</v>
      </c>
      <c r="G36" s="145">
        <f>F36+1</f>
        <v>2014</v>
      </c>
      <c r="H36" s="147">
        <f t="shared" ref="H36" si="9">G36+1</f>
        <v>2015</v>
      </c>
      <c r="I36" s="147">
        <f t="shared" ref="I36" si="10">H36+1</f>
        <v>2016</v>
      </c>
      <c r="J36" s="147">
        <f t="shared" ref="J36" si="11">I36+1</f>
        <v>2017</v>
      </c>
      <c r="K36" s="145">
        <f>G36</f>
        <v>2014</v>
      </c>
      <c r="L36" s="147">
        <f t="shared" ref="L36" si="12">H36</f>
        <v>2015</v>
      </c>
      <c r="M36" s="147">
        <f t="shared" ref="M36" si="13">I36</f>
        <v>2016</v>
      </c>
      <c r="N36" s="147">
        <f t="shared" ref="N36" si="14">J36</f>
        <v>2017</v>
      </c>
      <c r="O36" s="69"/>
    </row>
    <row r="37" spans="1:15" ht="18" customHeight="1" x14ac:dyDescent="0.25">
      <c r="A37" s="90" t="s">
        <v>1162</v>
      </c>
      <c r="B37" s="90" t="s">
        <v>62</v>
      </c>
      <c r="C37" s="91" t="s">
        <v>139</v>
      </c>
      <c r="D37" s="92"/>
      <c r="E37" s="107">
        <v>1780910</v>
      </c>
      <c r="F37" s="108">
        <v>1788273.4956499999</v>
      </c>
      <c r="G37" s="109"/>
      <c r="H37" s="110"/>
      <c r="I37" s="110"/>
      <c r="J37" s="110"/>
      <c r="K37" s="111">
        <v>1845053</v>
      </c>
      <c r="L37" s="108">
        <v>1960771</v>
      </c>
      <c r="M37" s="108">
        <v>2080577</v>
      </c>
      <c r="N37" s="108">
        <v>2221364</v>
      </c>
      <c r="O37" s="69"/>
    </row>
    <row r="38" spans="1:15" ht="18" customHeight="1" x14ac:dyDescent="0.25">
      <c r="A38" s="90" t="s">
        <v>1163</v>
      </c>
      <c r="B38" s="90" t="s">
        <v>63</v>
      </c>
      <c r="C38" s="91" t="s">
        <v>139</v>
      </c>
      <c r="D38" s="92"/>
      <c r="E38" s="107">
        <v>82750</v>
      </c>
      <c r="F38" s="108">
        <v>106537</v>
      </c>
      <c r="G38" s="109"/>
      <c r="H38" s="110"/>
      <c r="I38" s="110"/>
      <c r="J38" s="110"/>
      <c r="K38" s="111">
        <v>105929</v>
      </c>
      <c r="L38" s="108">
        <v>110709</v>
      </c>
      <c r="M38" s="108">
        <v>115603</v>
      </c>
      <c r="N38" s="108">
        <v>121204</v>
      </c>
      <c r="O38" s="69"/>
    </row>
    <row r="39" spans="1:15" ht="18" customHeight="1" x14ac:dyDescent="0.25">
      <c r="A39" s="90" t="s">
        <v>64</v>
      </c>
      <c r="B39" s="90" t="s">
        <v>65</v>
      </c>
      <c r="C39" s="91" t="s">
        <v>139</v>
      </c>
      <c r="D39" s="92"/>
      <c r="E39" s="107">
        <v>18548</v>
      </c>
      <c r="F39" s="108">
        <v>20944</v>
      </c>
      <c r="G39" s="109"/>
      <c r="H39" s="110"/>
      <c r="I39" s="110"/>
      <c r="J39" s="110"/>
      <c r="K39" s="111">
        <v>21564</v>
      </c>
      <c r="L39" s="108">
        <v>22559</v>
      </c>
      <c r="M39" s="108">
        <v>24337</v>
      </c>
      <c r="N39" s="108">
        <v>26228</v>
      </c>
      <c r="O39" s="69"/>
    </row>
    <row r="40" spans="1:15" ht="18" customHeight="1" x14ac:dyDescent="0.25">
      <c r="A40" s="90" t="s">
        <v>1164</v>
      </c>
      <c r="B40" s="90" t="s">
        <v>148</v>
      </c>
      <c r="C40" s="91" t="s">
        <v>139</v>
      </c>
      <c r="D40" s="92"/>
      <c r="E40" s="107">
        <v>1670703</v>
      </c>
      <c r="F40" s="108">
        <v>1808153</v>
      </c>
      <c r="G40" s="109"/>
      <c r="H40" s="110"/>
      <c r="I40" s="110"/>
      <c r="J40" s="110"/>
      <c r="K40" s="111">
        <v>1943895</v>
      </c>
      <c r="L40" s="108">
        <v>2013421</v>
      </c>
      <c r="M40" s="108">
        <v>2102352</v>
      </c>
      <c r="N40" s="108">
        <v>2246347</v>
      </c>
      <c r="O40" s="69"/>
    </row>
    <row r="41" spans="1:15" ht="18" customHeight="1" x14ac:dyDescent="0.25">
      <c r="A41" s="90" t="s">
        <v>125</v>
      </c>
      <c r="B41" s="90" t="s">
        <v>126</v>
      </c>
      <c r="C41" s="91" t="s">
        <v>139</v>
      </c>
      <c r="D41" s="92"/>
      <c r="E41" s="107">
        <v>26146</v>
      </c>
      <c r="F41" s="108">
        <v>25762</v>
      </c>
      <c r="G41" s="109"/>
      <c r="H41" s="110"/>
      <c r="I41" s="110"/>
      <c r="J41" s="110"/>
      <c r="K41" s="111">
        <v>28183</v>
      </c>
      <c r="L41" s="108">
        <v>30299</v>
      </c>
      <c r="M41" s="108">
        <v>23082</v>
      </c>
      <c r="N41" s="108">
        <v>24101</v>
      </c>
      <c r="O41" s="69"/>
    </row>
    <row r="42" spans="1:15" ht="18" customHeight="1" x14ac:dyDescent="0.25">
      <c r="A42" s="90" t="s">
        <v>628</v>
      </c>
      <c r="B42" s="90" t="s">
        <v>627</v>
      </c>
      <c r="C42" s="91" t="s">
        <v>139</v>
      </c>
      <c r="D42" s="92"/>
      <c r="E42" s="107">
        <v>167144.35710000002</v>
      </c>
      <c r="F42" s="108">
        <v>177784.24102999989</v>
      </c>
      <c r="G42" s="109"/>
      <c r="H42" s="110"/>
      <c r="I42" s="110"/>
      <c r="J42" s="110"/>
      <c r="K42" s="111">
        <v>151379</v>
      </c>
      <c r="L42" s="108">
        <v>143902</v>
      </c>
      <c r="M42" s="108">
        <v>167777</v>
      </c>
      <c r="N42" s="108">
        <v>210921</v>
      </c>
      <c r="O42" s="69"/>
    </row>
    <row r="43" spans="1:15" ht="18" customHeight="1" x14ac:dyDescent="0.25">
      <c r="A43" s="90" t="s">
        <v>66</v>
      </c>
      <c r="B43" s="90" t="s">
        <v>67</v>
      </c>
      <c r="C43" s="91" t="s">
        <v>139</v>
      </c>
      <c r="D43" s="92"/>
      <c r="E43" s="103" t="s">
        <v>6</v>
      </c>
      <c r="F43" s="101" t="s">
        <v>6</v>
      </c>
      <c r="G43" s="112"/>
      <c r="H43" s="113"/>
      <c r="I43" s="113"/>
      <c r="J43" s="113"/>
      <c r="K43" s="114" t="s">
        <v>6</v>
      </c>
      <c r="L43" s="101" t="s">
        <v>6</v>
      </c>
      <c r="M43" s="101" t="s">
        <v>6</v>
      </c>
      <c r="N43" s="101" t="s">
        <v>6</v>
      </c>
      <c r="O43" s="69"/>
    </row>
    <row r="44" spans="1:15" ht="18" customHeight="1" x14ac:dyDescent="0.25">
      <c r="A44" s="90" t="s">
        <v>68</v>
      </c>
      <c r="B44" s="90" t="s">
        <v>69</v>
      </c>
      <c r="C44" s="91" t="s">
        <v>139</v>
      </c>
      <c r="D44" s="92"/>
      <c r="E44" s="103" t="s">
        <v>6</v>
      </c>
      <c r="F44" s="101" t="s">
        <v>6</v>
      </c>
      <c r="G44" s="112"/>
      <c r="H44" s="113"/>
      <c r="I44" s="113"/>
      <c r="J44" s="113"/>
      <c r="K44" s="114" t="s">
        <v>6</v>
      </c>
      <c r="L44" s="101" t="s">
        <v>6</v>
      </c>
      <c r="M44" s="101" t="s">
        <v>6</v>
      </c>
      <c r="N44" s="101" t="s">
        <v>6</v>
      </c>
      <c r="O44" s="69"/>
    </row>
    <row r="45" spans="1:15" ht="18" customHeight="1" x14ac:dyDescent="0.25">
      <c r="A45" s="90" t="s">
        <v>70</v>
      </c>
      <c r="B45" s="90" t="s">
        <v>71</v>
      </c>
      <c r="C45" s="91" t="s">
        <v>139</v>
      </c>
      <c r="D45" s="92"/>
      <c r="E45" s="107">
        <v>4327702</v>
      </c>
      <c r="F45" s="108">
        <v>4681732</v>
      </c>
      <c r="G45" s="109"/>
      <c r="H45" s="110"/>
      <c r="I45" s="110"/>
      <c r="J45" s="110"/>
      <c r="K45" s="111">
        <v>4752317</v>
      </c>
      <c r="L45" s="108">
        <v>4685669</v>
      </c>
      <c r="M45" s="108">
        <v>4875135</v>
      </c>
      <c r="N45" s="108">
        <v>5151169</v>
      </c>
      <c r="O45" s="69"/>
    </row>
    <row r="46" spans="1:15" ht="18" customHeight="1" x14ac:dyDescent="0.25">
      <c r="A46" s="90" t="s">
        <v>72</v>
      </c>
      <c r="B46" s="90" t="s">
        <v>73</v>
      </c>
      <c r="C46" s="91" t="s">
        <v>139</v>
      </c>
      <c r="D46" s="92"/>
      <c r="E46" s="107">
        <v>1036456</v>
      </c>
      <c r="F46" s="108">
        <v>1045488.8047800001</v>
      </c>
      <c r="G46" s="109"/>
      <c r="H46" s="110"/>
      <c r="I46" s="110"/>
      <c r="J46" s="110"/>
      <c r="K46" s="111">
        <v>1045195.3639602656</v>
      </c>
      <c r="L46" s="108">
        <v>1050184.5796140274</v>
      </c>
      <c r="M46" s="108">
        <v>1056540.7037979618</v>
      </c>
      <c r="N46" s="108">
        <v>1065463.6466053424</v>
      </c>
      <c r="O46" s="69"/>
    </row>
    <row r="47" spans="1:15" ht="18" customHeight="1" x14ac:dyDescent="0.25">
      <c r="A47" s="90" t="s">
        <v>74</v>
      </c>
      <c r="B47" s="90" t="s">
        <v>75</v>
      </c>
      <c r="C47" s="91" t="s">
        <v>139</v>
      </c>
      <c r="D47" s="92"/>
      <c r="E47" s="107">
        <v>195046</v>
      </c>
      <c r="F47" s="108">
        <v>201327.24118000001</v>
      </c>
      <c r="G47" s="109"/>
      <c r="H47" s="110"/>
      <c r="I47" s="110"/>
      <c r="J47" s="110"/>
      <c r="K47" s="111">
        <v>203163.35211135237</v>
      </c>
      <c r="L47" s="108">
        <v>206145.21888859622</v>
      </c>
      <c r="M47" s="108">
        <v>209458.24284611832</v>
      </c>
      <c r="N47" s="108">
        <v>213668.78217446321</v>
      </c>
      <c r="O47" s="69"/>
    </row>
    <row r="48" spans="1:15" ht="18" customHeight="1" x14ac:dyDescent="0.25">
      <c r="A48" s="90" t="s">
        <v>76</v>
      </c>
      <c r="B48" s="90" t="s">
        <v>77</v>
      </c>
      <c r="C48" s="91" t="s">
        <v>139</v>
      </c>
      <c r="D48" s="92"/>
      <c r="E48" s="107">
        <v>56082</v>
      </c>
      <c r="F48" s="108">
        <v>55735.35626</v>
      </c>
      <c r="G48" s="109"/>
      <c r="H48" s="110"/>
      <c r="I48" s="110"/>
      <c r="J48" s="110"/>
      <c r="K48" s="111">
        <v>56218.159757529473</v>
      </c>
      <c r="L48" s="108">
        <v>57064.279344541363</v>
      </c>
      <c r="M48" s="108">
        <v>57964.547647203792</v>
      </c>
      <c r="N48" s="108">
        <v>59059.627300809021</v>
      </c>
      <c r="O48" s="69"/>
    </row>
    <row r="49" spans="1:20" ht="18" customHeight="1" x14ac:dyDescent="0.25">
      <c r="A49" s="90" t="s">
        <v>78</v>
      </c>
      <c r="B49" s="90" t="s">
        <v>79</v>
      </c>
      <c r="C49" s="91" t="s">
        <v>139</v>
      </c>
      <c r="D49" s="92"/>
      <c r="E49" s="107">
        <v>4151</v>
      </c>
      <c r="F49" s="108">
        <v>4038.9735300000002</v>
      </c>
      <c r="G49" s="109"/>
      <c r="H49" s="110"/>
      <c r="I49" s="110"/>
      <c r="J49" s="110"/>
      <c r="K49" s="111">
        <v>4077.0279106723169</v>
      </c>
      <c r="L49" s="108">
        <v>4130.4747565666476</v>
      </c>
      <c r="M49" s="108">
        <v>4190.8548267339338</v>
      </c>
      <c r="N49" s="108">
        <v>4268.8029372505889</v>
      </c>
      <c r="O49" s="69"/>
    </row>
    <row r="50" spans="1:20" ht="18" customHeight="1" x14ac:dyDescent="0.25">
      <c r="A50" s="90" t="s">
        <v>80</v>
      </c>
      <c r="B50" s="90" t="s">
        <v>81</v>
      </c>
      <c r="C50" s="91" t="s">
        <v>139</v>
      </c>
      <c r="D50" s="92"/>
      <c r="E50" s="107">
        <v>640366</v>
      </c>
      <c r="F50" s="108">
        <v>636422.91215999995</v>
      </c>
      <c r="G50" s="109"/>
      <c r="H50" s="110"/>
      <c r="I50" s="110"/>
      <c r="J50" s="110"/>
      <c r="K50" s="111">
        <v>642284.72260399302</v>
      </c>
      <c r="L50" s="108">
        <v>647261.28770702891</v>
      </c>
      <c r="M50" s="108">
        <v>652478.07863403473</v>
      </c>
      <c r="N50" s="108">
        <v>658725.00740485126</v>
      </c>
      <c r="O50" s="69"/>
    </row>
    <row r="51" spans="1:20" ht="18" customHeight="1" x14ac:dyDescent="0.25">
      <c r="A51" s="90" t="s">
        <v>82</v>
      </c>
      <c r="B51" s="90" t="s">
        <v>83</v>
      </c>
      <c r="C51" s="91" t="s">
        <v>139</v>
      </c>
      <c r="D51" s="92"/>
      <c r="E51" s="107">
        <v>16800</v>
      </c>
      <c r="F51" s="108">
        <v>16573.17337</v>
      </c>
      <c r="G51" s="109"/>
      <c r="H51" s="110"/>
      <c r="I51" s="110"/>
      <c r="J51" s="110"/>
      <c r="K51" s="111">
        <v>16720.760018391211</v>
      </c>
      <c r="L51" s="108">
        <v>16938.055789850598</v>
      </c>
      <c r="M51" s="108">
        <v>17181.915690958325</v>
      </c>
      <c r="N51" s="108">
        <v>17494.760132549713</v>
      </c>
      <c r="O51" s="69"/>
    </row>
    <row r="52" spans="1:20" ht="18" customHeight="1" x14ac:dyDescent="0.25">
      <c r="A52" s="90" t="s">
        <v>84</v>
      </c>
      <c r="B52" s="90" t="s">
        <v>85</v>
      </c>
      <c r="C52" s="91" t="s">
        <v>139</v>
      </c>
      <c r="D52" s="92"/>
      <c r="E52" s="107">
        <v>23465</v>
      </c>
      <c r="F52" s="108">
        <v>25194.352359999997</v>
      </c>
      <c r="G52" s="109"/>
      <c r="H52" s="110"/>
      <c r="I52" s="110"/>
      <c r="J52" s="110"/>
      <c r="K52" s="111">
        <v>25431.096492405228</v>
      </c>
      <c r="L52" s="108">
        <v>25786.22633373479</v>
      </c>
      <c r="M52" s="108">
        <v>26192.980596334917</v>
      </c>
      <c r="N52" s="108">
        <v>26742.659174373606</v>
      </c>
      <c r="O52" s="69"/>
    </row>
    <row r="53" spans="1:20" ht="18" customHeight="1" x14ac:dyDescent="0.25">
      <c r="A53" s="90" t="s">
        <v>86</v>
      </c>
      <c r="B53" s="90" t="s">
        <v>87</v>
      </c>
      <c r="C53" s="91" t="s">
        <v>139</v>
      </c>
      <c r="D53" s="92"/>
      <c r="E53" s="107">
        <v>973</v>
      </c>
      <c r="F53" s="108">
        <v>737.4827600000001</v>
      </c>
      <c r="G53" s="109"/>
      <c r="H53" s="110"/>
      <c r="I53" s="110"/>
      <c r="J53" s="110"/>
      <c r="K53" s="111">
        <v>744.68731794856274</v>
      </c>
      <c r="L53" s="108">
        <v>754.86260940052716</v>
      </c>
      <c r="M53" s="108">
        <v>766.53293779809042</v>
      </c>
      <c r="N53" s="108">
        <v>781.81242079413289</v>
      </c>
      <c r="O53" s="69"/>
    </row>
    <row r="54" spans="1:20" ht="18" customHeight="1" x14ac:dyDescent="0.25">
      <c r="A54" s="90" t="s">
        <v>88</v>
      </c>
      <c r="B54" s="90" t="s">
        <v>89</v>
      </c>
      <c r="C54" s="91" t="s">
        <v>139</v>
      </c>
      <c r="D54" s="92"/>
      <c r="E54" s="107">
        <v>30670</v>
      </c>
      <c r="F54" s="108">
        <v>27461</v>
      </c>
      <c r="G54" s="109"/>
      <c r="H54" s="110"/>
      <c r="I54" s="110"/>
      <c r="J54" s="110"/>
      <c r="K54" s="111">
        <v>28010</v>
      </c>
      <c r="L54" s="108">
        <v>28571</v>
      </c>
      <c r="M54" s="108">
        <v>23314</v>
      </c>
      <c r="N54" s="108">
        <v>23780</v>
      </c>
      <c r="O54" s="69"/>
    </row>
    <row r="55" spans="1:20" ht="18" customHeight="1" x14ac:dyDescent="0.25">
      <c r="A55" s="90" t="s">
        <v>90</v>
      </c>
      <c r="B55" s="90" t="s">
        <v>91</v>
      </c>
      <c r="C55" s="91" t="s">
        <v>139</v>
      </c>
      <c r="D55" s="92"/>
      <c r="E55" s="107">
        <v>4600471</v>
      </c>
      <c r="F55" s="108">
        <v>5508491</v>
      </c>
      <c r="G55" s="109"/>
      <c r="H55" s="110"/>
      <c r="I55" s="110"/>
      <c r="J55" s="110"/>
      <c r="K55" s="111">
        <v>5398309</v>
      </c>
      <c r="L55" s="108">
        <v>5619464</v>
      </c>
      <c r="M55" s="108">
        <v>5875247</v>
      </c>
      <c r="N55" s="108">
        <v>6182855</v>
      </c>
      <c r="O55" s="69"/>
    </row>
    <row r="56" spans="1:20" ht="18" customHeight="1" x14ac:dyDescent="0.25">
      <c r="A56" s="90" t="s">
        <v>92</v>
      </c>
      <c r="B56" s="90" t="s">
        <v>93</v>
      </c>
      <c r="C56" s="91" t="s">
        <v>139</v>
      </c>
      <c r="D56" s="92"/>
      <c r="E56" s="107">
        <v>248274</v>
      </c>
      <c r="F56" s="108">
        <v>209619</v>
      </c>
      <c r="G56" s="109"/>
      <c r="H56" s="110"/>
      <c r="I56" s="110"/>
      <c r="J56" s="110"/>
      <c r="K56" s="111">
        <v>232365</v>
      </c>
      <c r="L56" s="108">
        <v>236833</v>
      </c>
      <c r="M56" s="108">
        <v>242272</v>
      </c>
      <c r="N56" s="108">
        <v>248664</v>
      </c>
      <c r="O56" s="69"/>
    </row>
    <row r="57" spans="1:20" ht="18" customHeight="1" x14ac:dyDescent="0.25">
      <c r="A57" s="90" t="s">
        <v>94</v>
      </c>
      <c r="B57" s="90" t="s">
        <v>95</v>
      </c>
      <c r="C57" s="91" t="s">
        <v>139</v>
      </c>
      <c r="D57" s="92"/>
      <c r="E57" s="107">
        <v>2426335</v>
      </c>
      <c r="F57" s="115">
        <f>2626051-F58</f>
        <v>2568449</v>
      </c>
      <c r="G57" s="109"/>
      <c r="H57" s="110"/>
      <c r="I57" s="110"/>
      <c r="J57" s="110"/>
      <c r="K57" s="111">
        <v>2663179.5013859211</v>
      </c>
      <c r="L57" s="108">
        <v>2766384.9374113451</v>
      </c>
      <c r="M57" s="108">
        <v>2896485.2092956305</v>
      </c>
      <c r="N57" s="108">
        <v>3051590.6951433918</v>
      </c>
      <c r="O57" s="69"/>
      <c r="Q57" s="19"/>
      <c r="R57" s="10"/>
      <c r="S57" s="10"/>
      <c r="T57" s="10"/>
    </row>
    <row r="58" spans="1:20" ht="18" customHeight="1" x14ac:dyDescent="0.25">
      <c r="A58" s="97" t="s">
        <v>96</v>
      </c>
      <c r="B58" s="97" t="s">
        <v>97</v>
      </c>
      <c r="C58" s="98" t="s">
        <v>139</v>
      </c>
      <c r="D58" s="99"/>
      <c r="E58" s="116"/>
      <c r="F58" s="117">
        <v>57602</v>
      </c>
      <c r="G58" s="118"/>
      <c r="H58" s="119"/>
      <c r="I58" s="119"/>
      <c r="J58" s="119"/>
      <c r="K58" s="120">
        <v>59726.498614078708</v>
      </c>
      <c r="L58" s="106">
        <v>62041.062588654982</v>
      </c>
      <c r="M58" s="106">
        <v>64958.790704369414</v>
      </c>
      <c r="N58" s="106">
        <v>68437.304856607894</v>
      </c>
      <c r="O58" s="69"/>
    </row>
    <row r="59" spans="1:20" ht="18" customHeight="1" x14ac:dyDescent="0.25">
      <c r="A59" s="447" t="s">
        <v>98</v>
      </c>
      <c r="B59" s="447"/>
      <c r="C59" s="448"/>
      <c r="D59" s="145">
        <v>2011</v>
      </c>
      <c r="E59" s="146">
        <v>2012</v>
      </c>
      <c r="F59" s="147">
        <v>2013</v>
      </c>
      <c r="G59" s="145">
        <f>F59+1</f>
        <v>2014</v>
      </c>
      <c r="H59" s="147">
        <f t="shared" ref="H59" si="15">G59+1</f>
        <v>2015</v>
      </c>
      <c r="I59" s="147">
        <f t="shared" ref="I59" si="16">H59+1</f>
        <v>2016</v>
      </c>
      <c r="J59" s="147">
        <f t="shared" ref="J59" si="17">I59+1</f>
        <v>2017</v>
      </c>
      <c r="K59" s="145">
        <f>G59</f>
        <v>2014</v>
      </c>
      <c r="L59" s="147">
        <f t="shared" ref="L59" si="18">H59</f>
        <v>2015</v>
      </c>
      <c r="M59" s="147">
        <f t="shared" ref="M59" si="19">I59</f>
        <v>2016</v>
      </c>
      <c r="N59" s="147">
        <f t="shared" ref="N59" si="20">J59</f>
        <v>2017</v>
      </c>
      <c r="O59" s="69"/>
    </row>
    <row r="60" spans="1:20" ht="18" customHeight="1" x14ac:dyDescent="0.25">
      <c r="A60" s="89" t="s">
        <v>1165</v>
      </c>
      <c r="B60" s="90" t="s">
        <v>99</v>
      </c>
      <c r="C60" s="91" t="s">
        <v>139</v>
      </c>
      <c r="D60" s="92"/>
      <c r="E60" s="95"/>
      <c r="F60" s="93"/>
      <c r="G60" s="109"/>
      <c r="H60" s="110"/>
      <c r="I60" s="110"/>
      <c r="J60" s="110"/>
      <c r="K60" s="114">
        <v>0</v>
      </c>
      <c r="L60" s="101">
        <v>0</v>
      </c>
      <c r="M60" s="101">
        <v>0</v>
      </c>
      <c r="N60" s="101">
        <v>0</v>
      </c>
      <c r="O60" s="69"/>
    </row>
    <row r="61" spans="1:20" ht="18" customHeight="1" x14ac:dyDescent="0.25">
      <c r="A61" s="89" t="s">
        <v>1166</v>
      </c>
      <c r="B61" s="90" t="s">
        <v>100</v>
      </c>
      <c r="C61" s="91" t="s">
        <v>139</v>
      </c>
      <c r="D61" s="92"/>
      <c r="E61" s="95"/>
      <c r="F61" s="93"/>
      <c r="G61" s="109"/>
      <c r="H61" s="110"/>
      <c r="I61" s="110"/>
      <c r="J61" s="110"/>
      <c r="K61" s="114">
        <v>0</v>
      </c>
      <c r="L61" s="101">
        <v>0</v>
      </c>
      <c r="M61" s="101">
        <v>0</v>
      </c>
      <c r="N61" s="101">
        <v>0</v>
      </c>
      <c r="O61" s="69"/>
    </row>
    <row r="62" spans="1:20" ht="18" customHeight="1" x14ac:dyDescent="0.25">
      <c r="A62" s="89" t="s">
        <v>1167</v>
      </c>
      <c r="B62" s="90" t="s">
        <v>101</v>
      </c>
      <c r="C62" s="91" t="s">
        <v>139</v>
      </c>
      <c r="D62" s="92"/>
      <c r="E62" s="95"/>
      <c r="F62" s="93"/>
      <c r="G62" s="109"/>
      <c r="H62" s="110"/>
      <c r="I62" s="110"/>
      <c r="J62" s="110"/>
      <c r="K62" s="114">
        <v>0</v>
      </c>
      <c r="L62" s="101">
        <v>0</v>
      </c>
      <c r="M62" s="101">
        <v>0</v>
      </c>
      <c r="N62" s="101">
        <v>0</v>
      </c>
      <c r="O62" s="69"/>
    </row>
    <row r="63" spans="1:20" ht="18" customHeight="1" x14ac:dyDescent="0.25">
      <c r="A63" s="89" t="s">
        <v>1168</v>
      </c>
      <c r="B63" s="90" t="s">
        <v>127</v>
      </c>
      <c r="C63" s="91" t="s">
        <v>139</v>
      </c>
      <c r="D63" s="92"/>
      <c r="E63" s="95"/>
      <c r="F63" s="93"/>
      <c r="G63" s="109"/>
      <c r="H63" s="110"/>
      <c r="I63" s="110"/>
      <c r="J63" s="110"/>
      <c r="K63" s="114">
        <v>0</v>
      </c>
      <c r="L63" s="101">
        <v>0</v>
      </c>
      <c r="M63" s="101">
        <v>0</v>
      </c>
      <c r="N63" s="101">
        <v>0</v>
      </c>
      <c r="O63" s="69"/>
    </row>
    <row r="64" spans="1:20" ht="18" customHeight="1" x14ac:dyDescent="0.25">
      <c r="A64" s="89" t="s">
        <v>1169</v>
      </c>
      <c r="B64" s="90" t="s">
        <v>128</v>
      </c>
      <c r="C64" s="91" t="s">
        <v>139</v>
      </c>
      <c r="D64" s="92"/>
      <c r="E64" s="95"/>
      <c r="F64" s="93"/>
      <c r="G64" s="109"/>
      <c r="H64" s="110"/>
      <c r="I64" s="110"/>
      <c r="J64" s="110"/>
      <c r="K64" s="114">
        <v>0</v>
      </c>
      <c r="L64" s="101">
        <v>0</v>
      </c>
      <c r="M64" s="101">
        <v>0</v>
      </c>
      <c r="N64" s="101">
        <v>0</v>
      </c>
      <c r="O64" s="69"/>
    </row>
    <row r="65" spans="1:15" ht="18" customHeight="1" x14ac:dyDescent="0.25">
      <c r="A65" s="90" t="s">
        <v>1170</v>
      </c>
      <c r="B65" s="90" t="s">
        <v>627</v>
      </c>
      <c r="C65" s="91" t="s">
        <v>139</v>
      </c>
      <c r="D65" s="92"/>
      <c r="E65" s="95"/>
      <c r="F65" s="93"/>
      <c r="G65" s="109"/>
      <c r="H65" s="110"/>
      <c r="I65" s="110"/>
      <c r="J65" s="110"/>
      <c r="K65" s="114">
        <v>0</v>
      </c>
      <c r="L65" s="101">
        <v>0</v>
      </c>
      <c r="M65" s="101">
        <v>0</v>
      </c>
      <c r="N65" s="101">
        <v>0</v>
      </c>
      <c r="O65" s="69"/>
    </row>
    <row r="66" spans="1:15" ht="18" customHeight="1" x14ac:dyDescent="0.25">
      <c r="A66" s="89" t="s">
        <v>1171</v>
      </c>
      <c r="B66" s="90" t="s">
        <v>102</v>
      </c>
      <c r="C66" s="91" t="s">
        <v>139</v>
      </c>
      <c r="D66" s="92"/>
      <c r="E66" s="95"/>
      <c r="F66" s="93"/>
      <c r="G66" s="109"/>
      <c r="H66" s="110"/>
      <c r="I66" s="110"/>
      <c r="J66" s="110"/>
      <c r="K66" s="114">
        <v>0</v>
      </c>
      <c r="L66" s="101">
        <v>0</v>
      </c>
      <c r="M66" s="101">
        <v>0</v>
      </c>
      <c r="N66" s="101">
        <v>0</v>
      </c>
      <c r="O66" s="69"/>
    </row>
    <row r="67" spans="1:15" ht="18" customHeight="1" x14ac:dyDescent="0.25">
      <c r="A67" s="89" t="s">
        <v>1172</v>
      </c>
      <c r="B67" s="90" t="s">
        <v>103</v>
      </c>
      <c r="C67" s="91" t="s">
        <v>139</v>
      </c>
      <c r="D67" s="92"/>
      <c r="E67" s="95"/>
      <c r="F67" s="93"/>
      <c r="G67" s="109"/>
      <c r="H67" s="110"/>
      <c r="I67" s="110"/>
      <c r="J67" s="110"/>
      <c r="K67" s="114">
        <v>0</v>
      </c>
      <c r="L67" s="101">
        <v>0</v>
      </c>
      <c r="M67" s="101">
        <v>0</v>
      </c>
      <c r="N67" s="101">
        <v>0</v>
      </c>
      <c r="O67" s="69"/>
    </row>
    <row r="68" spans="1:15" ht="18" customHeight="1" x14ac:dyDescent="0.25">
      <c r="A68" s="89" t="s">
        <v>1173</v>
      </c>
      <c r="B68" s="90" t="s">
        <v>104</v>
      </c>
      <c r="C68" s="91" t="s">
        <v>139</v>
      </c>
      <c r="D68" s="92"/>
      <c r="E68" s="95"/>
      <c r="F68" s="93"/>
      <c r="G68" s="109"/>
      <c r="H68" s="110"/>
      <c r="I68" s="110"/>
      <c r="J68" s="110"/>
      <c r="K68" s="114">
        <v>0</v>
      </c>
      <c r="L68" s="101">
        <v>0</v>
      </c>
      <c r="M68" s="101">
        <v>0</v>
      </c>
      <c r="N68" s="101">
        <v>0</v>
      </c>
      <c r="O68" s="69"/>
    </row>
    <row r="69" spans="1:15" ht="18" customHeight="1" x14ac:dyDescent="0.25">
      <c r="A69" s="89" t="s">
        <v>1174</v>
      </c>
      <c r="B69" s="90" t="s">
        <v>105</v>
      </c>
      <c r="C69" s="91" t="s">
        <v>139</v>
      </c>
      <c r="D69" s="92"/>
      <c r="E69" s="95"/>
      <c r="F69" s="93"/>
      <c r="G69" s="109"/>
      <c r="H69" s="110"/>
      <c r="I69" s="110"/>
      <c r="J69" s="110"/>
      <c r="K69" s="114">
        <v>0</v>
      </c>
      <c r="L69" s="101">
        <v>0</v>
      </c>
      <c r="M69" s="101">
        <v>0</v>
      </c>
      <c r="N69" s="101">
        <v>0</v>
      </c>
      <c r="O69" s="69"/>
    </row>
    <row r="70" spans="1:15" ht="18" customHeight="1" x14ac:dyDescent="0.25">
      <c r="A70" s="89" t="s">
        <v>1175</v>
      </c>
      <c r="B70" s="90" t="s">
        <v>106</v>
      </c>
      <c r="C70" s="91" t="s">
        <v>139</v>
      </c>
      <c r="D70" s="92"/>
      <c r="E70" s="95"/>
      <c r="F70" s="93"/>
      <c r="G70" s="109"/>
      <c r="H70" s="110"/>
      <c r="I70" s="110"/>
      <c r="J70" s="110"/>
      <c r="K70" s="114">
        <v>0</v>
      </c>
      <c r="L70" s="101">
        <v>0</v>
      </c>
      <c r="M70" s="101">
        <v>0</v>
      </c>
      <c r="N70" s="101">
        <v>0</v>
      </c>
      <c r="O70" s="69"/>
    </row>
    <row r="71" spans="1:15" ht="18" customHeight="1" x14ac:dyDescent="0.25">
      <c r="A71" s="89" t="s">
        <v>1176</v>
      </c>
      <c r="B71" s="90" t="s">
        <v>107</v>
      </c>
      <c r="C71" s="91" t="s">
        <v>139</v>
      </c>
      <c r="D71" s="92"/>
      <c r="E71" s="95"/>
      <c r="F71" s="93"/>
      <c r="G71" s="109"/>
      <c r="H71" s="110"/>
      <c r="I71" s="110"/>
      <c r="J71" s="110"/>
      <c r="K71" s="114">
        <v>0</v>
      </c>
      <c r="L71" s="101">
        <v>0</v>
      </c>
      <c r="M71" s="101">
        <v>0</v>
      </c>
      <c r="N71" s="101">
        <v>0</v>
      </c>
      <c r="O71" s="69"/>
    </row>
    <row r="72" spans="1:15" ht="18" customHeight="1" x14ac:dyDescent="0.25">
      <c r="A72" s="89" t="s">
        <v>1177</v>
      </c>
      <c r="B72" s="90" t="s">
        <v>108</v>
      </c>
      <c r="C72" s="91" t="s">
        <v>139</v>
      </c>
      <c r="D72" s="92"/>
      <c r="E72" s="95"/>
      <c r="F72" s="93"/>
      <c r="G72" s="109"/>
      <c r="H72" s="110"/>
      <c r="I72" s="110"/>
      <c r="J72" s="110"/>
      <c r="K72" s="114">
        <v>0</v>
      </c>
      <c r="L72" s="101">
        <v>0</v>
      </c>
      <c r="M72" s="101">
        <v>0</v>
      </c>
      <c r="N72" s="101">
        <v>0</v>
      </c>
      <c r="O72" s="69"/>
    </row>
    <row r="73" spans="1:15" ht="18" customHeight="1" x14ac:dyDescent="0.25">
      <c r="A73" s="89" t="s">
        <v>1178</v>
      </c>
      <c r="B73" s="90" t="s">
        <v>109</v>
      </c>
      <c r="C73" s="91" t="s">
        <v>139</v>
      </c>
      <c r="D73" s="92"/>
      <c r="E73" s="95"/>
      <c r="F73" s="93"/>
      <c r="G73" s="109"/>
      <c r="H73" s="110"/>
      <c r="I73" s="110"/>
      <c r="J73" s="110"/>
      <c r="K73" s="114">
        <v>0</v>
      </c>
      <c r="L73" s="101">
        <v>0</v>
      </c>
      <c r="M73" s="101">
        <v>0</v>
      </c>
      <c r="N73" s="101">
        <v>0</v>
      </c>
      <c r="O73" s="69"/>
    </row>
    <row r="74" spans="1:15" ht="18" customHeight="1" x14ac:dyDescent="0.25">
      <c r="A74" s="89" t="s">
        <v>1179</v>
      </c>
      <c r="B74" s="90" t="s">
        <v>110</v>
      </c>
      <c r="C74" s="91" t="s">
        <v>139</v>
      </c>
      <c r="D74" s="92"/>
      <c r="E74" s="95"/>
      <c r="F74" s="93"/>
      <c r="G74" s="109"/>
      <c r="H74" s="110"/>
      <c r="I74" s="110"/>
      <c r="J74" s="110"/>
      <c r="K74" s="114">
        <v>0</v>
      </c>
      <c r="L74" s="101">
        <v>0</v>
      </c>
      <c r="M74" s="101">
        <v>0</v>
      </c>
      <c r="N74" s="101">
        <v>0</v>
      </c>
      <c r="O74" s="69"/>
    </row>
    <row r="75" spans="1:15" ht="18" customHeight="1" x14ac:dyDescent="0.25">
      <c r="A75" s="89" t="s">
        <v>1180</v>
      </c>
      <c r="B75" s="90" t="s">
        <v>111</v>
      </c>
      <c r="C75" s="91" t="s">
        <v>139</v>
      </c>
      <c r="D75" s="92"/>
      <c r="E75" s="95"/>
      <c r="F75" s="93"/>
      <c r="G75" s="109"/>
      <c r="H75" s="110"/>
      <c r="I75" s="110"/>
      <c r="J75" s="110"/>
      <c r="K75" s="114">
        <v>0</v>
      </c>
      <c r="L75" s="101">
        <v>0</v>
      </c>
      <c r="M75" s="101">
        <v>0</v>
      </c>
      <c r="N75" s="101">
        <v>0</v>
      </c>
      <c r="O75" s="69"/>
    </row>
    <row r="76" spans="1:15" ht="18" customHeight="1" x14ac:dyDescent="0.25">
      <c r="A76" s="89" t="s">
        <v>1181</v>
      </c>
      <c r="B76" s="90" t="s">
        <v>112</v>
      </c>
      <c r="C76" s="91" t="s">
        <v>139</v>
      </c>
      <c r="D76" s="92"/>
      <c r="E76" s="95"/>
      <c r="F76" s="93"/>
      <c r="G76" s="109"/>
      <c r="H76" s="110"/>
      <c r="I76" s="110"/>
      <c r="J76" s="110"/>
      <c r="K76" s="114">
        <v>0</v>
      </c>
      <c r="L76" s="101">
        <v>0</v>
      </c>
      <c r="M76" s="101">
        <v>0</v>
      </c>
      <c r="N76" s="101">
        <v>0</v>
      </c>
      <c r="O76" s="69"/>
    </row>
    <row r="77" spans="1:15" ht="18" customHeight="1" x14ac:dyDescent="0.25">
      <c r="A77" s="89" t="s">
        <v>1182</v>
      </c>
      <c r="B77" s="90" t="s">
        <v>113</v>
      </c>
      <c r="C77" s="91" t="s">
        <v>139</v>
      </c>
      <c r="D77" s="92"/>
      <c r="E77" s="95"/>
      <c r="F77" s="93"/>
      <c r="G77" s="109"/>
      <c r="H77" s="110"/>
      <c r="I77" s="110"/>
      <c r="J77" s="110"/>
      <c r="K77" s="114">
        <v>0</v>
      </c>
      <c r="L77" s="101">
        <v>0</v>
      </c>
      <c r="M77" s="101">
        <v>0</v>
      </c>
      <c r="N77" s="101">
        <v>0</v>
      </c>
      <c r="O77" s="69"/>
    </row>
    <row r="78" spans="1:15" ht="18" customHeight="1" x14ac:dyDescent="0.25">
      <c r="A78" s="89" t="s">
        <v>1183</v>
      </c>
      <c r="B78" s="90" t="s">
        <v>114</v>
      </c>
      <c r="C78" s="91" t="s">
        <v>139</v>
      </c>
      <c r="D78" s="92"/>
      <c r="E78" s="95"/>
      <c r="F78" s="93"/>
      <c r="G78" s="109"/>
      <c r="H78" s="110"/>
      <c r="I78" s="110"/>
      <c r="J78" s="110"/>
      <c r="K78" s="114">
        <v>0</v>
      </c>
      <c r="L78" s="101">
        <v>0</v>
      </c>
      <c r="M78" s="101">
        <v>0</v>
      </c>
      <c r="N78" s="101">
        <v>0</v>
      </c>
      <c r="O78" s="69"/>
    </row>
    <row r="79" spans="1:15" ht="18" customHeight="1" x14ac:dyDescent="0.25">
      <c r="A79" s="89" t="s">
        <v>1184</v>
      </c>
      <c r="B79" s="90" t="s">
        <v>115</v>
      </c>
      <c r="C79" s="91" t="s">
        <v>139</v>
      </c>
      <c r="D79" s="92"/>
      <c r="E79" s="95"/>
      <c r="F79" s="93"/>
      <c r="G79" s="109"/>
      <c r="H79" s="110"/>
      <c r="I79" s="110"/>
      <c r="J79" s="110"/>
      <c r="K79" s="114">
        <v>0</v>
      </c>
      <c r="L79" s="101">
        <v>0</v>
      </c>
      <c r="M79" s="101">
        <v>0</v>
      </c>
      <c r="N79" s="101">
        <v>0</v>
      </c>
      <c r="O79" s="69"/>
    </row>
    <row r="80" spans="1:15" ht="18" customHeight="1" x14ac:dyDescent="0.25">
      <c r="A80" s="89" t="s">
        <v>1185</v>
      </c>
      <c r="B80" s="90" t="s">
        <v>116</v>
      </c>
      <c r="C80" s="91" t="s">
        <v>139</v>
      </c>
      <c r="D80" s="92"/>
      <c r="E80" s="95"/>
      <c r="F80" s="93"/>
      <c r="G80" s="109"/>
      <c r="H80" s="110"/>
      <c r="I80" s="110"/>
      <c r="J80" s="110"/>
      <c r="K80" s="114">
        <v>0</v>
      </c>
      <c r="L80" s="101">
        <v>0</v>
      </c>
      <c r="M80" s="101">
        <v>0</v>
      </c>
      <c r="N80" s="101">
        <v>0</v>
      </c>
      <c r="O80" s="69"/>
    </row>
    <row r="81" spans="1:18" ht="18" customHeight="1" x14ac:dyDescent="0.25">
      <c r="A81" s="121" t="s">
        <v>1186</v>
      </c>
      <c r="B81" s="97" t="s">
        <v>117</v>
      </c>
      <c r="C81" s="98" t="s">
        <v>139</v>
      </c>
      <c r="D81" s="99"/>
      <c r="E81" s="100"/>
      <c r="F81" s="100"/>
      <c r="G81" s="118"/>
      <c r="H81" s="119"/>
      <c r="I81" s="119"/>
      <c r="J81" s="119"/>
      <c r="K81" s="122">
        <v>0</v>
      </c>
      <c r="L81" s="106">
        <v>0</v>
      </c>
      <c r="M81" s="106">
        <v>0</v>
      </c>
      <c r="N81" s="106">
        <v>0</v>
      </c>
      <c r="O81" s="69"/>
    </row>
    <row r="82" spans="1:18" ht="18" customHeight="1" x14ac:dyDescent="0.25">
      <c r="A82" s="150"/>
      <c r="B82" s="147" t="s">
        <v>1051</v>
      </c>
      <c r="C82" s="151"/>
      <c r="D82" s="145">
        <v>2011</v>
      </c>
      <c r="E82" s="146">
        <v>2012</v>
      </c>
      <c r="F82" s="147">
        <v>2013</v>
      </c>
      <c r="G82" s="145">
        <f>F82+1</f>
        <v>2014</v>
      </c>
      <c r="H82" s="147">
        <f t="shared" ref="H82" si="21">G82+1</f>
        <v>2015</v>
      </c>
      <c r="I82" s="147">
        <f t="shared" ref="I82" si="22">H82+1</f>
        <v>2016</v>
      </c>
      <c r="J82" s="147">
        <f t="shared" ref="J82" si="23">I82+1</f>
        <v>2017</v>
      </c>
      <c r="K82" s="145">
        <f>G82</f>
        <v>2014</v>
      </c>
      <c r="L82" s="147">
        <f t="shared" ref="L82" si="24">H82</f>
        <v>2015</v>
      </c>
      <c r="M82" s="147">
        <f t="shared" ref="M82" si="25">I82</f>
        <v>2016</v>
      </c>
      <c r="N82" s="147">
        <f t="shared" ref="N82" si="26">J82</f>
        <v>2017</v>
      </c>
      <c r="O82" s="69"/>
    </row>
    <row r="83" spans="1:18" ht="18" customHeight="1" x14ac:dyDescent="0.25">
      <c r="A83" s="90" t="s">
        <v>118</v>
      </c>
      <c r="B83" s="90" t="s">
        <v>119</v>
      </c>
      <c r="C83" s="91" t="s">
        <v>17</v>
      </c>
      <c r="D83" s="92"/>
      <c r="E83" s="95"/>
      <c r="F83" s="123">
        <v>4.25</v>
      </c>
      <c r="G83" s="124">
        <v>4</v>
      </c>
      <c r="H83" s="123">
        <v>4</v>
      </c>
      <c r="I83" s="123">
        <v>4</v>
      </c>
      <c r="J83" s="123">
        <v>4</v>
      </c>
      <c r="K83" s="92"/>
      <c r="L83" s="93"/>
      <c r="M83" s="93"/>
      <c r="N83" s="93"/>
      <c r="O83" s="69"/>
    </row>
    <row r="84" spans="1:18" ht="18" customHeight="1" x14ac:dyDescent="0.25">
      <c r="A84" s="90" t="s">
        <v>1187</v>
      </c>
      <c r="B84" s="90" t="s">
        <v>188</v>
      </c>
      <c r="C84" s="91" t="s">
        <v>17</v>
      </c>
      <c r="D84" s="92"/>
      <c r="E84" s="95"/>
      <c r="F84" s="93">
        <v>70</v>
      </c>
      <c r="G84" s="92">
        <v>70</v>
      </c>
      <c r="H84" s="93">
        <v>70</v>
      </c>
      <c r="I84" s="93">
        <v>70</v>
      </c>
      <c r="J84" s="93">
        <v>70</v>
      </c>
      <c r="K84" s="92"/>
      <c r="L84" s="93"/>
      <c r="M84" s="93"/>
      <c r="N84" s="93"/>
      <c r="O84" s="69"/>
    </row>
    <row r="85" spans="1:18" ht="18" customHeight="1" x14ac:dyDescent="0.25">
      <c r="A85" s="90" t="s">
        <v>1188</v>
      </c>
      <c r="B85" s="90" t="s">
        <v>221</v>
      </c>
      <c r="C85" s="91" t="s">
        <v>17</v>
      </c>
      <c r="D85" s="92"/>
      <c r="E85" s="95">
        <v>79.715460467912948</v>
      </c>
      <c r="F85" s="123">
        <v>90.262403045979497</v>
      </c>
      <c r="G85" s="92">
        <f>F85</f>
        <v>90.262403045979497</v>
      </c>
      <c r="H85" s="93">
        <f t="shared" ref="H85:J85" si="27">G85</f>
        <v>90.262403045979497</v>
      </c>
      <c r="I85" s="93">
        <f t="shared" si="27"/>
        <v>90.262403045979497</v>
      </c>
      <c r="J85" s="93">
        <f t="shared" si="27"/>
        <v>90.262403045979497</v>
      </c>
      <c r="K85" s="92"/>
      <c r="L85" s="93"/>
      <c r="M85" s="93"/>
      <c r="N85" s="93"/>
      <c r="O85" s="69"/>
    </row>
    <row r="86" spans="1:18" ht="18" customHeight="1" x14ac:dyDescent="0.25">
      <c r="A86" s="90" t="s">
        <v>1189</v>
      </c>
      <c r="B86" s="90" t="s">
        <v>222</v>
      </c>
      <c r="C86" s="91" t="s">
        <v>17</v>
      </c>
      <c r="D86" s="92"/>
      <c r="E86" s="95">
        <v>92.557201619698517</v>
      </c>
      <c r="F86" s="123">
        <v>97.835239757730434</v>
      </c>
      <c r="G86" s="124">
        <f>F86</f>
        <v>97.835239757730434</v>
      </c>
      <c r="H86" s="123">
        <f t="shared" ref="H86:J86" si="28">G86</f>
        <v>97.835239757730434</v>
      </c>
      <c r="I86" s="123">
        <f t="shared" si="28"/>
        <v>97.835239757730434</v>
      </c>
      <c r="J86" s="123">
        <f t="shared" si="28"/>
        <v>97.835239757730434</v>
      </c>
      <c r="K86" s="92"/>
      <c r="L86" s="93"/>
      <c r="M86" s="93"/>
      <c r="N86" s="93"/>
      <c r="O86" s="69"/>
    </row>
    <row r="87" spans="1:18" ht="18" customHeight="1" x14ac:dyDescent="0.25">
      <c r="A87" s="90"/>
      <c r="B87" s="90" t="s">
        <v>933</v>
      </c>
      <c r="C87" s="91"/>
      <c r="D87" s="92"/>
      <c r="E87" s="95" t="b">
        <v>1</v>
      </c>
      <c r="F87" s="93" t="b">
        <v>0</v>
      </c>
      <c r="G87" s="92" t="b">
        <v>0</v>
      </c>
      <c r="H87" s="93" t="b">
        <v>0</v>
      </c>
      <c r="I87" s="93" t="b">
        <v>1</v>
      </c>
      <c r="J87" s="93" t="b">
        <v>0</v>
      </c>
      <c r="K87" s="92"/>
      <c r="L87" s="93"/>
      <c r="M87" s="93"/>
      <c r="N87" s="93"/>
      <c r="O87" s="69"/>
    </row>
    <row r="88" spans="1:18" ht="18" customHeight="1" x14ac:dyDescent="0.25">
      <c r="A88" s="90"/>
      <c r="B88" s="90" t="s">
        <v>979</v>
      </c>
      <c r="C88" s="91" t="s">
        <v>139</v>
      </c>
      <c r="D88" s="92"/>
      <c r="E88" s="95"/>
      <c r="F88" s="108">
        <v>23884</v>
      </c>
      <c r="G88" s="111">
        <f>F88</f>
        <v>23884</v>
      </c>
      <c r="H88" s="108">
        <f t="shared" ref="H88:J88" si="29">G88</f>
        <v>23884</v>
      </c>
      <c r="I88" s="108">
        <f t="shared" si="29"/>
        <v>23884</v>
      </c>
      <c r="J88" s="108">
        <f t="shared" si="29"/>
        <v>23884</v>
      </c>
      <c r="K88" s="92"/>
      <c r="L88" s="93"/>
      <c r="M88" s="93"/>
      <c r="N88" s="93"/>
      <c r="O88" s="69"/>
    </row>
    <row r="89" spans="1:18" ht="18" customHeight="1" x14ac:dyDescent="0.25">
      <c r="A89" s="97"/>
      <c r="B89" s="97" t="s">
        <v>980</v>
      </c>
      <c r="C89" s="98" t="s">
        <v>139</v>
      </c>
      <c r="D89" s="99"/>
      <c r="E89" s="100"/>
      <c r="F89" s="117">
        <f>-2832-2848-3454-3649</f>
        <v>-12783</v>
      </c>
      <c r="G89" s="120">
        <f>F89</f>
        <v>-12783</v>
      </c>
      <c r="H89" s="117">
        <f t="shared" ref="H89:J89" si="30">G89</f>
        <v>-12783</v>
      </c>
      <c r="I89" s="117">
        <f t="shared" si="30"/>
        <v>-12783</v>
      </c>
      <c r="J89" s="117">
        <f t="shared" si="30"/>
        <v>-12783</v>
      </c>
      <c r="K89" s="99"/>
      <c r="L89" s="100"/>
      <c r="M89" s="100"/>
      <c r="N89" s="100"/>
      <c r="O89" s="69"/>
    </row>
    <row r="90" spans="1:18" s="3" customFormat="1" ht="18" customHeight="1" x14ac:dyDescent="0.25">
      <c r="A90" s="90"/>
      <c r="B90" s="90"/>
      <c r="C90" s="91"/>
      <c r="D90" s="92"/>
      <c r="E90" s="95"/>
      <c r="F90" s="93"/>
      <c r="G90" s="109"/>
      <c r="H90" s="110"/>
      <c r="I90" s="110"/>
      <c r="J90" s="110"/>
      <c r="K90" s="92"/>
      <c r="L90" s="93"/>
      <c r="M90" s="93"/>
      <c r="N90" s="93"/>
      <c r="O90" s="69"/>
      <c r="P90"/>
      <c r="Q90"/>
      <c r="R90"/>
    </row>
    <row r="91" spans="1:18" s="3" customFormat="1" ht="18" customHeight="1" x14ac:dyDescent="0.25">
      <c r="A91" s="152" t="s">
        <v>572</v>
      </c>
      <c r="B91" s="139" t="s">
        <v>129</v>
      </c>
      <c r="C91" s="151"/>
      <c r="D91" s="145">
        <v>2011</v>
      </c>
      <c r="E91" s="146">
        <v>2012</v>
      </c>
      <c r="F91" s="147">
        <v>2013</v>
      </c>
      <c r="G91" s="145">
        <f>F91+1</f>
        <v>2014</v>
      </c>
      <c r="H91" s="147">
        <f t="shared" ref="H91" si="31">G91+1</f>
        <v>2015</v>
      </c>
      <c r="I91" s="147">
        <f t="shared" ref="I91" si="32">H91+1</f>
        <v>2016</v>
      </c>
      <c r="J91" s="147">
        <f t="shared" ref="J91" si="33">I91+1</f>
        <v>2017</v>
      </c>
      <c r="K91" s="153"/>
      <c r="L91" s="142"/>
      <c r="M91" s="142"/>
      <c r="N91" s="142"/>
      <c r="O91" s="154" t="s">
        <v>153</v>
      </c>
      <c r="P91"/>
      <c r="Q91"/>
      <c r="R91"/>
    </row>
    <row r="92" spans="1:18" s="3" customFormat="1" ht="18" customHeight="1" x14ac:dyDescent="0.25">
      <c r="A92" s="125">
        <v>152008</v>
      </c>
      <c r="B92" s="69" t="s">
        <v>631</v>
      </c>
      <c r="C92" s="91"/>
      <c r="D92" s="92"/>
      <c r="E92" s="107">
        <v>44234</v>
      </c>
      <c r="F92" s="101">
        <v>239739</v>
      </c>
      <c r="G92" s="111">
        <v>0</v>
      </c>
      <c r="H92" s="108">
        <v>0</v>
      </c>
      <c r="I92" s="108">
        <v>0</v>
      </c>
      <c r="J92" s="108">
        <v>0</v>
      </c>
      <c r="K92" s="92"/>
      <c r="L92" s="93"/>
      <c r="M92" s="93"/>
      <c r="N92" s="93"/>
      <c r="O92" s="126" t="s">
        <v>645</v>
      </c>
      <c r="P92" s="13"/>
      <c r="Q92" s="13"/>
      <c r="R92" s="13"/>
    </row>
    <row r="93" spans="1:18" s="3" customFormat="1" ht="18" customHeight="1" x14ac:dyDescent="0.25">
      <c r="A93" s="125">
        <v>723001</v>
      </c>
      <c r="B93" s="126" t="s">
        <v>632</v>
      </c>
      <c r="C93" s="91"/>
      <c r="D93" s="92"/>
      <c r="E93" s="107">
        <v>-60800</v>
      </c>
      <c r="F93" s="101">
        <v>93780</v>
      </c>
      <c r="G93" s="111">
        <v>0</v>
      </c>
      <c r="H93" s="108">
        <v>0</v>
      </c>
      <c r="I93" s="108">
        <v>0</v>
      </c>
      <c r="J93" s="108">
        <v>0</v>
      </c>
      <c r="K93" s="92"/>
      <c r="L93" s="93"/>
      <c r="M93" s="93"/>
      <c r="N93" s="93"/>
      <c r="O93" s="69" t="s">
        <v>647</v>
      </c>
      <c r="P93"/>
      <c r="Q93"/>
      <c r="R93"/>
    </row>
    <row r="94" spans="1:18" s="3" customFormat="1" ht="18" customHeight="1" x14ac:dyDescent="0.25">
      <c r="A94" s="127"/>
      <c r="B94" s="69" t="s">
        <v>633</v>
      </c>
      <c r="C94" s="91"/>
      <c r="D94" s="92"/>
      <c r="E94" s="107">
        <f>SUM(E95:E96)</f>
        <v>40164.660000000003</v>
      </c>
      <c r="F94" s="103">
        <f>SUM(F95:F96)</f>
        <v>0</v>
      </c>
      <c r="G94" s="111">
        <f t="shared" ref="G94:J94" si="34">SUM(G95:G96)</f>
        <v>0</v>
      </c>
      <c r="H94" s="108">
        <f t="shared" si="34"/>
        <v>0</v>
      </c>
      <c r="I94" s="108">
        <f t="shared" si="34"/>
        <v>0</v>
      </c>
      <c r="J94" s="108">
        <f t="shared" si="34"/>
        <v>0</v>
      </c>
      <c r="K94" s="92"/>
      <c r="L94" s="93"/>
      <c r="M94" s="93"/>
      <c r="N94" s="93"/>
      <c r="O94" s="69"/>
      <c r="P94"/>
      <c r="Q94"/>
      <c r="R94"/>
    </row>
    <row r="95" spans="1:18" s="3" customFormat="1" ht="18" customHeight="1" x14ac:dyDescent="0.25">
      <c r="A95" s="125">
        <v>192000</v>
      </c>
      <c r="B95" s="69" t="s">
        <v>639</v>
      </c>
      <c r="C95" s="91"/>
      <c r="D95" s="92"/>
      <c r="E95" s="107">
        <v>49586</v>
      </c>
      <c r="F95" s="101">
        <v>0</v>
      </c>
      <c r="G95" s="111">
        <v>0</v>
      </c>
      <c r="H95" s="108">
        <v>0</v>
      </c>
      <c r="I95" s="108">
        <v>0</v>
      </c>
      <c r="J95" s="108">
        <v>0</v>
      </c>
      <c r="K95" s="92"/>
      <c r="L95" s="93"/>
      <c r="M95" s="93"/>
      <c r="N95" s="93"/>
      <c r="O95" s="69"/>
      <c r="P95"/>
      <c r="Q95"/>
      <c r="R95"/>
    </row>
    <row r="96" spans="1:18" s="3" customFormat="1" ht="18" customHeight="1" x14ac:dyDescent="0.25">
      <c r="A96" s="125">
        <v>112003</v>
      </c>
      <c r="B96" s="69" t="s">
        <v>640</v>
      </c>
      <c r="C96" s="91"/>
      <c r="D96" s="92"/>
      <c r="E96" s="107">
        <f>-E95*0.19</f>
        <v>-9421.34</v>
      </c>
      <c r="F96" s="101">
        <v>0</v>
      </c>
      <c r="G96" s="111">
        <v>0</v>
      </c>
      <c r="H96" s="108">
        <v>0</v>
      </c>
      <c r="I96" s="108">
        <v>0</v>
      </c>
      <c r="J96" s="108">
        <v>0</v>
      </c>
      <c r="K96" s="92"/>
      <c r="L96" s="93"/>
      <c r="M96" s="93"/>
      <c r="N96" s="93"/>
      <c r="O96" s="69"/>
      <c r="P96"/>
      <c r="Q96"/>
      <c r="R96"/>
    </row>
    <row r="97" spans="1:18" s="3" customFormat="1" ht="18" customHeight="1" x14ac:dyDescent="0.25">
      <c r="A97" s="127"/>
      <c r="B97" s="69" t="s">
        <v>643</v>
      </c>
      <c r="C97" s="91"/>
      <c r="D97" s="92"/>
      <c r="E97" s="107">
        <f>SUM(E98:E99)</f>
        <v>30947.67</v>
      </c>
      <c r="F97" s="101">
        <f>SUM(F98:F99)</f>
        <v>74950.259999999995</v>
      </c>
      <c r="G97" s="111">
        <f t="shared" ref="G97:J97" si="35">SUM(G98:G99)</f>
        <v>78603.109674218562</v>
      </c>
      <c r="H97" s="108">
        <f t="shared" si="35"/>
        <v>82229.927639852365</v>
      </c>
      <c r="I97" s="108">
        <f t="shared" si="35"/>
        <v>86486.219458033331</v>
      </c>
      <c r="J97" s="108">
        <f t="shared" si="35"/>
        <v>0</v>
      </c>
      <c r="K97" s="92"/>
      <c r="L97" s="93"/>
      <c r="M97" s="93"/>
      <c r="N97" s="93"/>
      <c r="O97" s="69"/>
      <c r="P97"/>
      <c r="Q97"/>
      <c r="R97"/>
    </row>
    <row r="98" spans="1:18" s="3" customFormat="1" ht="18" customHeight="1" x14ac:dyDescent="0.25">
      <c r="A98" s="125">
        <v>194000</v>
      </c>
      <c r="B98" s="69" t="s">
        <v>641</v>
      </c>
      <c r="C98" s="91"/>
      <c r="D98" s="92"/>
      <c r="E98" s="107">
        <v>38207</v>
      </c>
      <c r="F98" s="101">
        <f>97338</f>
        <v>97338</v>
      </c>
      <c r="G98" s="111">
        <f>F98*(G4-G6)/(F4-F6)</f>
        <v>100773.21753104943</v>
      </c>
      <c r="H98" s="108">
        <f>G98*(H4-H6)/(G4-G6)</f>
        <v>105422.98415365689</v>
      </c>
      <c r="I98" s="108">
        <f>H98*(I4-I6)/(H4-H6)</f>
        <v>110879.76853594017</v>
      </c>
      <c r="J98" s="108">
        <v>0</v>
      </c>
      <c r="K98" s="92"/>
      <c r="L98" s="93"/>
      <c r="M98" s="93"/>
      <c r="N98" s="93"/>
      <c r="O98" s="69" t="s">
        <v>1005</v>
      </c>
      <c r="P98"/>
      <c r="Q98"/>
      <c r="R98"/>
    </row>
    <row r="99" spans="1:18" s="3" customFormat="1" ht="18" customHeight="1" x14ac:dyDescent="0.25">
      <c r="A99" s="125">
        <v>112003</v>
      </c>
      <c r="B99" s="69" t="s">
        <v>640</v>
      </c>
      <c r="C99" s="91"/>
      <c r="D99" s="92"/>
      <c r="E99" s="107">
        <f>-E98*0.19</f>
        <v>-7259.33</v>
      </c>
      <c r="F99" s="101">
        <f>-F98*0.23</f>
        <v>-22387.74</v>
      </c>
      <c r="G99" s="111">
        <f>-G98*0.22</f>
        <v>-22170.107856830877</v>
      </c>
      <c r="H99" s="108">
        <f t="shared" ref="H99:I99" si="36">-H98*0.22</f>
        <v>-23193.056513804517</v>
      </c>
      <c r="I99" s="108">
        <f t="shared" si="36"/>
        <v>-24393.549077906835</v>
      </c>
      <c r="J99" s="108">
        <v>0</v>
      </c>
      <c r="K99" s="92"/>
      <c r="L99" s="93"/>
      <c r="M99" s="93"/>
      <c r="N99" s="93"/>
      <c r="O99" s="69"/>
      <c r="P99"/>
      <c r="Q99"/>
      <c r="R99"/>
    </row>
    <row r="100" spans="1:18" s="3" customFormat="1" ht="18" customHeight="1" x14ac:dyDescent="0.25">
      <c r="A100" s="125">
        <v>113000</v>
      </c>
      <c r="B100" s="128" t="s">
        <v>642</v>
      </c>
      <c r="C100" s="91"/>
      <c r="D100" s="92"/>
      <c r="E100" s="107">
        <v>0</v>
      </c>
      <c r="F100" s="101">
        <v>8000</v>
      </c>
      <c r="G100" s="111">
        <v>0</v>
      </c>
      <c r="H100" s="108">
        <v>0</v>
      </c>
      <c r="I100" s="108">
        <v>0</v>
      </c>
      <c r="J100" s="108">
        <v>0</v>
      </c>
      <c r="K100" s="92"/>
      <c r="L100" s="93"/>
      <c r="M100" s="93"/>
      <c r="N100" s="93"/>
      <c r="O100" s="69"/>
      <c r="P100"/>
      <c r="Q100"/>
      <c r="R100"/>
    </row>
    <row r="101" spans="1:18" s="3" customFormat="1" ht="18" customHeight="1" x14ac:dyDescent="0.25">
      <c r="A101" s="127"/>
      <c r="B101" s="126" t="s">
        <v>634</v>
      </c>
      <c r="C101" s="91"/>
      <c r="D101" s="92"/>
      <c r="E101" s="107">
        <f>SUM(E102:E103)</f>
        <v>97472.16</v>
      </c>
      <c r="F101" s="103">
        <f>SUM(F102:F103)</f>
        <v>157056.13</v>
      </c>
      <c r="G101" s="111">
        <f>G102+G103</f>
        <v>126499.62</v>
      </c>
      <c r="H101" s="108">
        <f t="shared" ref="H101:J101" si="37">H102+H103</f>
        <v>89392.68</v>
      </c>
      <c r="I101" s="108">
        <f t="shared" si="37"/>
        <v>94756.74</v>
      </c>
      <c r="J101" s="108">
        <f t="shared" si="37"/>
        <v>50221.08</v>
      </c>
      <c r="K101" s="92"/>
      <c r="L101" s="93"/>
      <c r="M101" s="93"/>
      <c r="N101" s="93"/>
      <c r="O101" s="69" t="s">
        <v>1006</v>
      </c>
      <c r="P101"/>
      <c r="Q101"/>
      <c r="R101"/>
    </row>
    <row r="102" spans="1:18" s="3" customFormat="1" ht="18" customHeight="1" x14ac:dyDescent="0.25">
      <c r="A102" s="125">
        <v>192000</v>
      </c>
      <c r="B102" s="69" t="s">
        <v>641</v>
      </c>
      <c r="C102" s="91"/>
      <c r="D102" s="92"/>
      <c r="E102" s="107">
        <v>120336</v>
      </c>
      <c r="F102" s="101">
        <v>203969</v>
      </c>
      <c r="G102" s="111">
        <v>162179</v>
      </c>
      <c r="H102" s="108">
        <v>114606</v>
      </c>
      <c r="I102" s="108">
        <v>121483</v>
      </c>
      <c r="J102" s="108">
        <v>64386</v>
      </c>
      <c r="K102" s="92"/>
      <c r="L102" s="93"/>
      <c r="M102" s="93"/>
      <c r="N102" s="93"/>
      <c r="O102" s="69"/>
      <c r="P102"/>
      <c r="Q102"/>
      <c r="R102"/>
    </row>
    <row r="103" spans="1:18" s="3" customFormat="1" ht="18" customHeight="1" x14ac:dyDescent="0.25">
      <c r="A103" s="125">
        <v>112003</v>
      </c>
      <c r="B103" s="69" t="s">
        <v>640</v>
      </c>
      <c r="C103" s="91"/>
      <c r="D103" s="92"/>
      <c r="E103" s="107">
        <f>-E102*0.19</f>
        <v>-22863.84</v>
      </c>
      <c r="F103" s="101">
        <f>-F102*0.23</f>
        <v>-46912.87</v>
      </c>
      <c r="G103" s="111">
        <f>-G102*0.22</f>
        <v>-35679.379999999997</v>
      </c>
      <c r="H103" s="108">
        <f t="shared" ref="H103:J103" si="38">-H102*0.22</f>
        <v>-25213.32</v>
      </c>
      <c r="I103" s="108">
        <f t="shared" si="38"/>
        <v>-26726.26</v>
      </c>
      <c r="J103" s="108">
        <f t="shared" si="38"/>
        <v>-14164.92</v>
      </c>
      <c r="K103" s="92"/>
      <c r="L103" s="93"/>
      <c r="M103" s="93"/>
      <c r="N103" s="93"/>
      <c r="O103" s="69"/>
      <c r="P103"/>
      <c r="Q103"/>
      <c r="R103"/>
    </row>
    <row r="104" spans="1:18" s="3" customFormat="1" ht="18" customHeight="1" x14ac:dyDescent="0.25">
      <c r="A104" s="125">
        <v>211003</v>
      </c>
      <c r="B104" s="129" t="s">
        <v>273</v>
      </c>
      <c r="C104" s="91"/>
      <c r="D104" s="92"/>
      <c r="E104" s="107">
        <v>185970</v>
      </c>
      <c r="F104" s="101">
        <v>12296</v>
      </c>
      <c r="G104" s="111">
        <v>0</v>
      </c>
      <c r="H104" s="108">
        <v>0</v>
      </c>
      <c r="I104" s="108">
        <v>0</v>
      </c>
      <c r="J104" s="108">
        <v>0</v>
      </c>
      <c r="K104" s="92"/>
      <c r="L104" s="93"/>
      <c r="M104" s="93"/>
      <c r="N104" s="93"/>
      <c r="O104" s="69"/>
      <c r="P104"/>
      <c r="Q104"/>
      <c r="R104"/>
    </row>
    <row r="105" spans="1:18" s="3" customFormat="1" ht="18" customHeight="1" x14ac:dyDescent="0.25">
      <c r="A105" s="125">
        <v>311000</v>
      </c>
      <c r="B105" s="129" t="s">
        <v>635</v>
      </c>
      <c r="C105" s="91"/>
      <c r="D105" s="92"/>
      <c r="E105" s="107">
        <v>0</v>
      </c>
      <c r="F105" s="101">
        <v>30000</v>
      </c>
      <c r="G105" s="111">
        <v>0</v>
      </c>
      <c r="H105" s="108">
        <v>0</v>
      </c>
      <c r="I105" s="108">
        <v>0</v>
      </c>
      <c r="J105" s="108">
        <v>0</v>
      </c>
      <c r="K105" s="92"/>
      <c r="L105" s="93"/>
      <c r="M105" s="93"/>
      <c r="N105" s="93"/>
      <c r="O105" s="69" t="s">
        <v>644</v>
      </c>
      <c r="P105"/>
      <c r="Q105"/>
      <c r="R105"/>
    </row>
    <row r="106" spans="1:18" s="3" customFormat="1" ht="18" customHeight="1" x14ac:dyDescent="0.25">
      <c r="A106" s="125">
        <v>725002</v>
      </c>
      <c r="B106" s="129" t="s">
        <v>636</v>
      </c>
      <c r="C106" s="91"/>
      <c r="D106" s="92"/>
      <c r="E106" s="107">
        <v>0</v>
      </c>
      <c r="F106" s="101">
        <v>-124514</v>
      </c>
      <c r="G106" s="114">
        <v>-68400</v>
      </c>
      <c r="H106" s="101">
        <v>-64100</v>
      </c>
      <c r="I106" s="101">
        <v>0</v>
      </c>
      <c r="J106" s="101">
        <v>0</v>
      </c>
      <c r="K106" s="92"/>
      <c r="L106" s="93"/>
      <c r="M106" s="93"/>
      <c r="N106" s="93"/>
      <c r="O106" s="69" t="s">
        <v>647</v>
      </c>
      <c r="P106"/>
      <c r="Q106"/>
      <c r="R106"/>
    </row>
    <row r="107" spans="1:18" s="3" customFormat="1" ht="18" customHeight="1" x14ac:dyDescent="0.25">
      <c r="A107" s="127">
        <v>292000</v>
      </c>
      <c r="B107" s="130" t="s">
        <v>637</v>
      </c>
      <c r="C107" s="91"/>
      <c r="D107" s="92"/>
      <c r="E107" s="107">
        <v>9750</v>
      </c>
      <c r="F107" s="101">
        <v>19500</v>
      </c>
      <c r="G107" s="111">
        <v>97719.6</v>
      </c>
      <c r="H107" s="108">
        <v>19500</v>
      </c>
      <c r="I107" s="108">
        <v>19500</v>
      </c>
      <c r="J107" s="108">
        <v>0</v>
      </c>
      <c r="K107" s="92"/>
      <c r="L107" s="93"/>
      <c r="M107" s="93"/>
      <c r="N107" s="93"/>
      <c r="O107" s="69" t="s">
        <v>645</v>
      </c>
      <c r="P107"/>
      <c r="Q107"/>
      <c r="R107"/>
    </row>
    <row r="108" spans="1:18" s="3" customFormat="1" ht="18" customHeight="1" x14ac:dyDescent="0.25">
      <c r="A108" s="127">
        <v>292000</v>
      </c>
      <c r="B108" s="130" t="s">
        <v>638</v>
      </c>
      <c r="C108" s="91"/>
      <c r="D108" s="92"/>
      <c r="E108" s="107">
        <v>27007.599999999999</v>
      </c>
      <c r="F108" s="101">
        <v>30339.5</v>
      </c>
      <c r="G108" s="111">
        <v>48087.9</v>
      </c>
      <c r="H108" s="108">
        <v>0</v>
      </c>
      <c r="I108" s="108">
        <v>0</v>
      </c>
      <c r="J108" s="108">
        <v>0</v>
      </c>
      <c r="K108" s="92"/>
      <c r="L108" s="93"/>
      <c r="M108" s="93"/>
      <c r="N108" s="93"/>
      <c r="O108" s="69" t="s">
        <v>645</v>
      </c>
      <c r="P108"/>
      <c r="Q108"/>
      <c r="R108"/>
    </row>
    <row r="109" spans="1:18" s="3" customFormat="1" ht="18" customHeight="1" x14ac:dyDescent="0.25">
      <c r="A109" s="127" t="s">
        <v>646</v>
      </c>
      <c r="B109" s="129" t="s">
        <v>652</v>
      </c>
      <c r="C109" s="91"/>
      <c r="D109" s="92"/>
      <c r="E109" s="107">
        <v>0</v>
      </c>
      <c r="F109" s="101">
        <v>0</v>
      </c>
      <c r="G109" s="111">
        <v>26000</v>
      </c>
      <c r="H109" s="108">
        <v>0</v>
      </c>
      <c r="I109" s="108">
        <v>0</v>
      </c>
      <c r="J109" s="108">
        <v>0</v>
      </c>
      <c r="K109" s="92"/>
      <c r="L109" s="93"/>
      <c r="M109" s="93"/>
      <c r="N109" s="93"/>
      <c r="O109" s="69" t="s">
        <v>645</v>
      </c>
      <c r="P109"/>
      <c r="Q109"/>
      <c r="R109"/>
    </row>
    <row r="110" spans="1:18" s="3" customFormat="1" ht="18" customHeight="1" x14ac:dyDescent="0.25">
      <c r="A110" s="131"/>
      <c r="B110" s="132" t="s">
        <v>630</v>
      </c>
      <c r="C110" s="98"/>
      <c r="D110" s="99"/>
      <c r="E110" s="133">
        <f>E92+E93+E94+E97+E100+E101+E104+E105+E106+E107+E108+E109</f>
        <v>374746.08999999997</v>
      </c>
      <c r="F110" s="134">
        <f t="shared" ref="F110:J110" si="39">F92+F93+F94+F97+F100+F101+F104+F105+F106+F107+F108+F109</f>
        <v>541146.89</v>
      </c>
      <c r="G110" s="133">
        <f t="shared" si="39"/>
        <v>308510.22967421857</v>
      </c>
      <c r="H110" s="133">
        <f t="shared" si="39"/>
        <v>127022.60763985236</v>
      </c>
      <c r="I110" s="133">
        <f t="shared" si="39"/>
        <v>200742.95945803332</v>
      </c>
      <c r="J110" s="133">
        <f t="shared" si="39"/>
        <v>50221.08</v>
      </c>
      <c r="K110" s="99"/>
      <c r="L110" s="100"/>
      <c r="M110" s="100"/>
      <c r="N110" s="100"/>
      <c r="O110" s="135"/>
      <c r="P110"/>
      <c r="Q110"/>
      <c r="R110"/>
    </row>
    <row r="111" spans="1:18" s="3" customFormat="1" ht="18" customHeight="1" x14ac:dyDescent="0.25">
      <c r="A111"/>
      <c r="B111" s="20"/>
      <c r="C111" s="85"/>
      <c r="D111" s="86"/>
      <c r="E111" s="86"/>
      <c r="F111" s="86"/>
      <c r="G111" s="87"/>
      <c r="H111" s="87"/>
      <c r="I111" s="87"/>
      <c r="J111" s="87"/>
      <c r="K111" s="86"/>
      <c r="L111" s="7"/>
      <c r="M111" s="7"/>
      <c r="N111" s="7"/>
      <c r="O111"/>
      <c r="P111"/>
      <c r="Q111"/>
      <c r="R111"/>
    </row>
    <row r="112" spans="1:18" ht="18" customHeight="1" x14ac:dyDescent="0.25">
      <c r="B112" s="20"/>
      <c r="D112" s="8"/>
      <c r="E112" s="8"/>
      <c r="F112" s="8"/>
      <c r="G112" s="84"/>
      <c r="H112" s="84"/>
      <c r="I112" s="84"/>
      <c r="J112" s="84"/>
      <c r="K112" s="8"/>
      <c r="L112" s="8"/>
      <c r="M112" s="8"/>
      <c r="N112" s="7"/>
    </row>
    <row r="113" spans="2:14" ht="18" customHeight="1" x14ac:dyDescent="0.25">
      <c r="B113" s="20"/>
      <c r="D113" s="8"/>
      <c r="E113" s="8"/>
      <c r="F113" s="8"/>
      <c r="G113" s="84"/>
      <c r="H113" s="84"/>
      <c r="I113" s="84"/>
      <c r="J113" s="84"/>
      <c r="K113" s="8"/>
      <c r="L113" s="8"/>
      <c r="M113" s="8"/>
      <c r="N113" s="7"/>
    </row>
    <row r="114" spans="2:14" ht="18" customHeight="1" x14ac:dyDescent="0.25">
      <c r="B114" s="20"/>
      <c r="D114" s="8"/>
      <c r="E114" s="8"/>
      <c r="F114" s="8"/>
      <c r="G114" s="84"/>
      <c r="H114" s="84"/>
      <c r="I114" s="84"/>
      <c r="J114" s="84"/>
      <c r="K114" s="8"/>
      <c r="L114" s="8"/>
      <c r="M114" s="8"/>
      <c r="N114" s="7"/>
    </row>
    <row r="115" spans="2:14" ht="18" customHeight="1" x14ac:dyDescent="0.25">
      <c r="B115" s="21"/>
      <c r="D115" s="8"/>
      <c r="E115" s="8"/>
      <c r="F115" s="8"/>
      <c r="G115" s="84"/>
      <c r="H115" s="84"/>
      <c r="I115" s="84"/>
      <c r="J115" s="84"/>
      <c r="K115" s="8"/>
      <c r="L115" s="8"/>
      <c r="M115" s="8"/>
      <c r="N115" s="7"/>
    </row>
    <row r="116" spans="2:14" ht="18" customHeight="1" x14ac:dyDescent="0.25">
      <c r="B116" s="21"/>
      <c r="D116" s="8"/>
      <c r="E116" s="8"/>
      <c r="F116" s="8"/>
      <c r="G116" s="84"/>
      <c r="H116" s="84"/>
      <c r="I116" s="84"/>
      <c r="J116" s="84"/>
      <c r="K116" s="8"/>
      <c r="L116" s="8"/>
      <c r="M116" s="8"/>
      <c r="N116" s="7"/>
    </row>
    <row r="117" spans="2:14" ht="18" customHeight="1" x14ac:dyDescent="0.25">
      <c r="B117" s="20"/>
      <c r="D117" s="3"/>
      <c r="F117" s="3"/>
      <c r="G117" s="32"/>
      <c r="H117" s="32"/>
      <c r="I117" s="32"/>
      <c r="J117" s="32"/>
      <c r="K117" s="3"/>
      <c r="L117" s="3"/>
      <c r="M117" s="3"/>
    </row>
    <row r="118" spans="2:14" ht="18" customHeight="1" x14ac:dyDescent="0.25">
      <c r="B118" s="20"/>
      <c r="D118" s="3"/>
      <c r="F118" s="3"/>
      <c r="G118" s="32"/>
      <c r="H118" s="32"/>
      <c r="I118" s="32"/>
      <c r="J118" s="32"/>
      <c r="K118" s="3"/>
      <c r="L118" s="3"/>
      <c r="M118" s="3"/>
    </row>
    <row r="119" spans="2:14" ht="18" customHeight="1" x14ac:dyDescent="0.25">
      <c r="B119" s="22"/>
      <c r="D119" s="3"/>
      <c r="F119" s="3"/>
      <c r="G119" s="32"/>
      <c r="H119" s="32"/>
      <c r="I119" s="32"/>
      <c r="J119" s="32"/>
      <c r="K119" s="3"/>
      <c r="L119" s="3"/>
      <c r="M119" s="3"/>
    </row>
    <row r="120" spans="2:14" ht="18" customHeight="1" x14ac:dyDescent="0.25">
      <c r="B120" s="22"/>
      <c r="D120" s="3"/>
      <c r="F120" s="3"/>
      <c r="G120" s="32"/>
      <c r="H120" s="32"/>
      <c r="I120" s="32"/>
      <c r="J120" s="32"/>
      <c r="K120" s="3"/>
      <c r="L120" s="3"/>
      <c r="M120" s="3"/>
    </row>
    <row r="121" spans="2:14" ht="18" customHeight="1" x14ac:dyDescent="0.25">
      <c r="B121" s="21"/>
      <c r="D121" s="3"/>
      <c r="F121" s="3"/>
      <c r="G121" s="32"/>
      <c r="H121" s="32"/>
      <c r="I121" s="32"/>
      <c r="J121" s="32"/>
      <c r="K121" s="3"/>
      <c r="L121" s="3"/>
      <c r="M121" s="3"/>
    </row>
    <row r="122" spans="2:14" ht="18" customHeight="1" x14ac:dyDescent="0.25">
      <c r="B122" s="23"/>
      <c r="D122" s="3"/>
      <c r="F122" s="3"/>
      <c r="G122" s="32"/>
      <c r="H122" s="32"/>
      <c r="I122" s="32"/>
      <c r="J122" s="32"/>
      <c r="K122" s="3"/>
      <c r="L122" s="3"/>
      <c r="M122" s="3"/>
    </row>
    <row r="123" spans="2:14" ht="18" customHeight="1" x14ac:dyDescent="0.25">
      <c r="B123" s="24"/>
      <c r="D123" s="3"/>
      <c r="F123" s="3"/>
      <c r="G123" s="32"/>
      <c r="H123" s="32"/>
      <c r="I123" s="32"/>
      <c r="J123" s="32"/>
      <c r="K123" s="3"/>
      <c r="L123" s="3"/>
      <c r="M123" s="3"/>
    </row>
    <row r="124" spans="2:14" ht="18" customHeight="1" x14ac:dyDescent="0.25">
      <c r="B124" s="24"/>
      <c r="D124" s="3"/>
      <c r="F124" s="3"/>
      <c r="G124" s="32"/>
      <c r="H124" s="32"/>
      <c r="I124" s="32"/>
      <c r="J124" s="32"/>
      <c r="K124" s="3"/>
      <c r="L124" s="3"/>
      <c r="M124" s="3"/>
    </row>
    <row r="125" spans="2:14" ht="18" customHeight="1" x14ac:dyDescent="0.25">
      <c r="B125" s="25"/>
      <c r="D125" s="3"/>
      <c r="F125" s="3"/>
      <c r="G125" s="32"/>
      <c r="H125" s="32"/>
      <c r="I125" s="32"/>
      <c r="J125" s="32"/>
      <c r="K125" s="3"/>
      <c r="L125" s="3"/>
      <c r="M125" s="3"/>
    </row>
    <row r="126" spans="2:14" ht="18" customHeight="1" x14ac:dyDescent="0.25">
      <c r="B126" s="26"/>
      <c r="D126" s="3"/>
      <c r="F126" s="3"/>
      <c r="G126" s="32"/>
      <c r="H126" s="32"/>
      <c r="I126" s="32"/>
      <c r="J126" s="32"/>
      <c r="K126" s="3"/>
      <c r="L126" s="3"/>
      <c r="M126" s="3"/>
    </row>
    <row r="127" spans="2:14" ht="18" customHeight="1" x14ac:dyDescent="0.25">
      <c r="B127" s="24"/>
      <c r="D127" s="3"/>
      <c r="F127" s="3"/>
      <c r="G127" s="32"/>
      <c r="H127" s="32"/>
      <c r="I127" s="32"/>
      <c r="J127" s="32"/>
      <c r="K127" s="3"/>
      <c r="L127" s="3"/>
      <c r="M127" s="3"/>
    </row>
    <row r="128" spans="2:14" ht="18" customHeight="1" x14ac:dyDescent="0.25">
      <c r="B128" s="24"/>
      <c r="D128" s="3"/>
      <c r="F128" s="3"/>
      <c r="G128" s="32"/>
      <c r="H128" s="32"/>
      <c r="I128" s="32"/>
      <c r="J128" s="32"/>
      <c r="K128" s="3"/>
      <c r="L128" s="3"/>
      <c r="M128" s="3"/>
    </row>
    <row r="129" spans="2:13" ht="18" customHeight="1" x14ac:dyDescent="0.25">
      <c r="B129" s="24"/>
      <c r="D129" s="3"/>
      <c r="F129" s="3"/>
      <c r="G129" s="32"/>
      <c r="H129" s="32"/>
      <c r="I129" s="32"/>
      <c r="J129" s="32"/>
      <c r="K129" s="3"/>
      <c r="L129" s="3"/>
      <c r="M129" s="3"/>
    </row>
    <row r="130" spans="2:13" ht="18" customHeight="1" x14ac:dyDescent="0.25">
      <c r="B130" s="24"/>
      <c r="D130" s="3"/>
      <c r="F130" s="3"/>
      <c r="G130" s="32"/>
      <c r="H130" s="32"/>
      <c r="I130" s="32"/>
      <c r="J130" s="32"/>
      <c r="K130" s="3"/>
      <c r="L130" s="3"/>
      <c r="M130" s="3"/>
    </row>
    <row r="131" spans="2:13" ht="18" customHeight="1" x14ac:dyDescent="0.25">
      <c r="B131" s="24"/>
      <c r="D131" s="3"/>
      <c r="F131" s="3"/>
      <c r="G131" s="32"/>
      <c r="H131" s="32"/>
      <c r="I131" s="32"/>
      <c r="J131" s="32"/>
      <c r="K131" s="3"/>
      <c r="L131" s="3"/>
      <c r="M131" s="3"/>
    </row>
    <row r="132" spans="2:13" ht="18" customHeight="1" x14ac:dyDescent="0.25">
      <c r="B132" s="23"/>
      <c r="D132" s="3"/>
      <c r="F132" s="3"/>
      <c r="G132" s="32"/>
      <c r="H132" s="32"/>
      <c r="I132" s="32"/>
      <c r="J132" s="32"/>
      <c r="K132" s="3"/>
      <c r="L132" s="3"/>
      <c r="M132" s="3"/>
    </row>
    <row r="133" spans="2:13" ht="18" customHeight="1" x14ac:dyDescent="0.25">
      <c r="B133" s="23"/>
      <c r="D133" s="3"/>
      <c r="F133" s="3"/>
      <c r="G133" s="32"/>
      <c r="H133" s="32"/>
      <c r="I133" s="32"/>
      <c r="J133" s="32"/>
      <c r="K133" s="3"/>
      <c r="L133" s="3"/>
      <c r="M133" s="3"/>
    </row>
    <row r="134" spans="2:13" ht="18" customHeight="1" thickBot="1" x14ac:dyDescent="0.3">
      <c r="B134" s="27"/>
      <c r="D134" s="3"/>
      <c r="F134" s="3"/>
      <c r="G134" s="32"/>
      <c r="H134" s="32"/>
      <c r="I134" s="32"/>
      <c r="J134" s="32"/>
      <c r="K134" s="3"/>
      <c r="L134" s="3"/>
      <c r="M134" s="3"/>
    </row>
    <row r="135" spans="2:13" ht="18" customHeight="1" x14ac:dyDescent="0.25">
      <c r="D135" s="3"/>
      <c r="F135" s="3"/>
      <c r="G135" s="32"/>
      <c r="H135" s="32"/>
      <c r="I135" s="32"/>
      <c r="J135" s="32"/>
      <c r="K135" s="3"/>
      <c r="L135" s="3"/>
      <c r="M135" s="3"/>
    </row>
    <row r="136" spans="2:13" ht="18" customHeight="1" x14ac:dyDescent="0.25">
      <c r="D136" s="3"/>
      <c r="F136" s="3"/>
      <c r="G136" s="32"/>
      <c r="H136" s="32"/>
      <c r="I136" s="32"/>
      <c r="J136" s="32"/>
      <c r="K136" s="3"/>
      <c r="L136" s="3"/>
      <c r="M136" s="3"/>
    </row>
    <row r="137" spans="2:13" ht="18" customHeight="1" x14ac:dyDescent="0.25">
      <c r="D137" s="3"/>
      <c r="F137" s="3"/>
      <c r="G137" s="32"/>
      <c r="H137" s="32"/>
      <c r="I137" s="32"/>
      <c r="J137" s="32"/>
      <c r="K137" s="3"/>
      <c r="L137" s="3"/>
      <c r="M137" s="3"/>
    </row>
    <row r="138" spans="2:13" ht="18" customHeight="1" x14ac:dyDescent="0.25">
      <c r="D138" s="3"/>
      <c r="F138" s="3"/>
      <c r="G138" s="32"/>
      <c r="H138" s="32"/>
      <c r="I138" s="32"/>
      <c r="J138" s="32"/>
      <c r="K138" s="3"/>
      <c r="L138" s="3"/>
      <c r="M138" s="3"/>
    </row>
    <row r="139" spans="2:13" ht="18" customHeight="1" x14ac:dyDescent="0.25">
      <c r="D139" s="3"/>
      <c r="F139" s="3"/>
      <c r="G139" s="32"/>
      <c r="H139" s="32"/>
      <c r="I139" s="32"/>
      <c r="J139" s="32"/>
      <c r="K139" s="3"/>
      <c r="L139" s="3"/>
      <c r="M139" s="3"/>
    </row>
    <row r="140" spans="2:13" ht="18" customHeight="1" x14ac:dyDescent="0.25">
      <c r="D140" s="3"/>
      <c r="F140" s="3"/>
      <c r="G140" s="32"/>
      <c r="H140" s="32"/>
      <c r="I140" s="32"/>
      <c r="J140" s="32"/>
      <c r="K140" s="3"/>
      <c r="L140" s="3"/>
      <c r="M140" s="3"/>
    </row>
    <row r="141" spans="2:13" ht="18" customHeight="1" x14ac:dyDescent="0.25">
      <c r="D141" s="3"/>
      <c r="F141" s="3"/>
      <c r="G141" s="32"/>
      <c r="H141" s="32"/>
      <c r="I141" s="32"/>
      <c r="J141" s="32"/>
      <c r="K141" s="3"/>
      <c r="L141" s="3"/>
      <c r="M141" s="3"/>
    </row>
    <row r="142" spans="2:13" ht="18" customHeight="1" x14ac:dyDescent="0.25">
      <c r="D142" s="3"/>
      <c r="F142" s="3"/>
      <c r="G142" s="32"/>
      <c r="H142" s="32"/>
      <c r="I142" s="32"/>
      <c r="J142" s="32"/>
      <c r="K142" s="3"/>
      <c r="L142" s="3"/>
      <c r="M142" s="3"/>
    </row>
    <row r="143" spans="2:13" ht="18" customHeight="1" x14ac:dyDescent="0.25">
      <c r="D143" s="3"/>
      <c r="F143" s="3"/>
      <c r="G143" s="32"/>
      <c r="H143" s="32"/>
      <c r="I143" s="32"/>
      <c r="J143" s="32"/>
      <c r="K143" s="3"/>
      <c r="L143" s="3"/>
      <c r="M143" s="3"/>
    </row>
    <row r="144" spans="2:13" ht="18" customHeight="1" x14ac:dyDescent="0.25">
      <c r="D144" s="3"/>
      <c r="F144" s="3"/>
      <c r="G144" s="32"/>
      <c r="H144" s="32"/>
      <c r="I144" s="32"/>
      <c r="J144" s="32"/>
      <c r="K144" s="3"/>
      <c r="L144" s="3"/>
      <c r="M144" s="3"/>
    </row>
    <row r="145" spans="4:13" ht="18" customHeight="1" x14ac:dyDescent="0.25">
      <c r="D145" s="3"/>
      <c r="F145" s="3"/>
      <c r="G145" s="32"/>
      <c r="H145" s="32"/>
      <c r="I145" s="32"/>
      <c r="J145" s="32"/>
      <c r="K145" s="3"/>
      <c r="L145" s="3"/>
      <c r="M145" s="3"/>
    </row>
    <row r="146" spans="4:13" ht="18" customHeight="1" x14ac:dyDescent="0.25">
      <c r="D146" s="3"/>
      <c r="F146" s="3"/>
      <c r="G146" s="32"/>
      <c r="H146" s="32"/>
      <c r="I146" s="32"/>
      <c r="J146" s="32"/>
      <c r="K146" s="3"/>
      <c r="L146" s="3"/>
      <c r="M146" s="3"/>
    </row>
    <row r="147" spans="4:13" ht="18" customHeight="1" x14ac:dyDescent="0.25">
      <c r="D147" s="3"/>
      <c r="F147" s="3"/>
      <c r="G147" s="32"/>
      <c r="H147" s="32"/>
      <c r="I147" s="32"/>
      <c r="J147" s="32"/>
      <c r="K147" s="3"/>
      <c r="L147" s="3"/>
      <c r="M147" s="3"/>
    </row>
    <row r="148" spans="4:13" ht="18" customHeight="1" x14ac:dyDescent="0.25">
      <c r="D148" s="3"/>
      <c r="F148" s="3"/>
      <c r="G148" s="32"/>
      <c r="H148" s="32"/>
      <c r="I148" s="32"/>
      <c r="J148" s="32"/>
      <c r="K148" s="3"/>
      <c r="L148" s="3"/>
      <c r="M148" s="3"/>
    </row>
    <row r="149" spans="4:13" ht="18" customHeight="1" x14ac:dyDescent="0.25">
      <c r="D149" s="3"/>
      <c r="F149" s="3"/>
      <c r="G149" s="32"/>
      <c r="H149" s="32"/>
      <c r="I149" s="32"/>
      <c r="J149" s="32"/>
      <c r="K149" s="3"/>
      <c r="L149" s="3"/>
      <c r="M149" s="3"/>
    </row>
    <row r="150" spans="4:13" ht="18" customHeight="1" x14ac:dyDescent="0.25">
      <c r="D150" s="3"/>
      <c r="F150" s="3"/>
      <c r="G150" s="32"/>
      <c r="H150" s="32"/>
      <c r="I150" s="32"/>
      <c r="J150" s="32"/>
      <c r="K150" s="3"/>
      <c r="L150" s="3"/>
      <c r="M150" s="3"/>
    </row>
    <row r="151" spans="4:13" ht="18" customHeight="1" x14ac:dyDescent="0.25">
      <c r="D151" s="3"/>
      <c r="F151" s="3"/>
      <c r="G151" s="32"/>
      <c r="H151" s="32"/>
      <c r="I151" s="32"/>
      <c r="J151" s="32"/>
      <c r="K151" s="3"/>
      <c r="L151" s="3"/>
      <c r="M151" s="3"/>
    </row>
    <row r="152" spans="4:13" ht="18" customHeight="1" x14ac:dyDescent="0.25">
      <c r="D152" s="3"/>
      <c r="F152" s="3"/>
      <c r="G152" s="32"/>
      <c r="H152" s="32"/>
      <c r="I152" s="32"/>
      <c r="J152" s="32"/>
      <c r="K152" s="3"/>
      <c r="L152" s="3"/>
      <c r="M152" s="3"/>
    </row>
    <row r="153" spans="4:13" ht="18" customHeight="1" x14ac:dyDescent="0.25">
      <c r="D153" s="3"/>
      <c r="F153" s="3"/>
      <c r="G153" s="32"/>
      <c r="H153" s="32"/>
      <c r="I153" s="32"/>
      <c r="J153" s="32"/>
      <c r="K153" s="3"/>
      <c r="L153" s="3"/>
      <c r="M153" s="3"/>
    </row>
    <row r="154" spans="4:13" ht="18" customHeight="1" x14ac:dyDescent="0.25">
      <c r="D154" s="3"/>
      <c r="F154" s="3"/>
      <c r="G154" s="32"/>
      <c r="H154" s="32"/>
      <c r="I154" s="32"/>
      <c r="J154" s="32"/>
      <c r="K154" s="3"/>
      <c r="L154" s="3"/>
      <c r="M154" s="3"/>
    </row>
    <row r="155" spans="4:13" ht="18" customHeight="1" x14ac:dyDescent="0.25">
      <c r="D155" s="3"/>
      <c r="F155" s="3"/>
      <c r="G155" s="32"/>
      <c r="H155" s="32"/>
      <c r="I155" s="32"/>
      <c r="J155" s="32"/>
      <c r="K155" s="3"/>
      <c r="L155" s="3"/>
      <c r="M155" s="3"/>
    </row>
    <row r="156" spans="4:13" ht="18" customHeight="1" x14ac:dyDescent="0.25">
      <c r="D156" s="3"/>
      <c r="F156" s="3"/>
      <c r="G156" s="32"/>
      <c r="H156" s="32"/>
      <c r="I156" s="32"/>
      <c r="J156" s="32"/>
      <c r="K156" s="3"/>
      <c r="L156" s="3"/>
      <c r="M156" s="3"/>
    </row>
    <row r="157" spans="4:13" ht="18" customHeight="1" x14ac:dyDescent="0.25">
      <c r="D157" s="3"/>
      <c r="F157" s="3"/>
      <c r="G157" s="32"/>
      <c r="H157" s="32"/>
      <c r="I157" s="32"/>
      <c r="J157" s="32"/>
      <c r="K157" s="3"/>
      <c r="L157" s="3"/>
      <c r="M157" s="3"/>
    </row>
    <row r="158" spans="4:13" ht="18" customHeight="1" x14ac:dyDescent="0.25">
      <c r="D158" s="3"/>
      <c r="F158" s="3"/>
      <c r="G158" s="32"/>
      <c r="H158" s="32"/>
      <c r="I158" s="32"/>
      <c r="J158" s="32"/>
      <c r="K158" s="3"/>
      <c r="L158" s="3"/>
      <c r="M158" s="3"/>
    </row>
    <row r="159" spans="4:13" ht="18" customHeight="1" x14ac:dyDescent="0.25">
      <c r="D159" s="3"/>
      <c r="F159" s="3"/>
      <c r="G159" s="32"/>
      <c r="H159" s="32"/>
      <c r="I159" s="32"/>
      <c r="J159" s="32"/>
      <c r="K159" s="3"/>
      <c r="L159" s="3"/>
      <c r="M159" s="3"/>
    </row>
    <row r="160" spans="4:13" ht="18" customHeight="1" x14ac:dyDescent="0.25">
      <c r="D160" s="3"/>
      <c r="F160" s="3"/>
      <c r="G160" s="32"/>
      <c r="H160" s="32"/>
      <c r="I160" s="32"/>
      <c r="J160" s="32"/>
      <c r="K160" s="3"/>
      <c r="L160" s="3"/>
      <c r="M160" s="3"/>
    </row>
    <row r="161" spans="4:13" ht="18" customHeight="1" x14ac:dyDescent="0.25">
      <c r="D161" s="3"/>
      <c r="F161" s="3"/>
      <c r="G161" s="32"/>
      <c r="H161" s="32"/>
      <c r="I161" s="32"/>
      <c r="J161" s="32"/>
      <c r="K161" s="3"/>
      <c r="L161" s="3"/>
      <c r="M161" s="3"/>
    </row>
    <row r="162" spans="4:13" ht="18" customHeight="1" x14ac:dyDescent="0.25">
      <c r="D162" s="3"/>
      <c r="F162" s="3"/>
      <c r="G162" s="32"/>
      <c r="H162" s="32"/>
      <c r="I162" s="32"/>
      <c r="J162" s="32"/>
      <c r="K162" s="3"/>
      <c r="L162" s="3"/>
      <c r="M162" s="3"/>
    </row>
    <row r="163" spans="4:13" ht="18" customHeight="1" x14ac:dyDescent="0.25">
      <c r="D163" s="3"/>
      <c r="F163" s="3"/>
      <c r="G163" s="32"/>
      <c r="H163" s="32"/>
      <c r="I163" s="32"/>
      <c r="J163" s="32"/>
      <c r="K163" s="3"/>
      <c r="L163" s="3"/>
      <c r="M163" s="3"/>
    </row>
    <row r="164" spans="4:13" ht="18" customHeight="1" x14ac:dyDescent="0.25">
      <c r="D164" s="3"/>
      <c r="F164" s="3"/>
      <c r="G164" s="32"/>
      <c r="H164" s="32"/>
      <c r="I164" s="32"/>
      <c r="J164" s="32"/>
      <c r="K164" s="3"/>
      <c r="L164" s="3"/>
      <c r="M164" s="3"/>
    </row>
    <row r="165" spans="4:13" ht="18" customHeight="1" x14ac:dyDescent="0.25">
      <c r="D165" s="3"/>
      <c r="F165" s="3"/>
      <c r="G165" s="32"/>
      <c r="H165" s="32"/>
      <c r="I165" s="32"/>
      <c r="J165" s="32"/>
      <c r="K165" s="3"/>
      <c r="L165" s="3"/>
      <c r="M165" s="3"/>
    </row>
    <row r="166" spans="4:13" ht="18" customHeight="1" x14ac:dyDescent="0.25">
      <c r="D166" s="3"/>
      <c r="F166" s="3"/>
      <c r="G166" s="32"/>
      <c r="H166" s="32"/>
      <c r="I166" s="32"/>
      <c r="J166" s="32"/>
      <c r="K166" s="3"/>
      <c r="L166" s="3"/>
      <c r="M166" s="3"/>
    </row>
    <row r="167" spans="4:13" ht="18" customHeight="1" x14ac:dyDescent="0.25">
      <c r="D167" s="3"/>
      <c r="F167" s="3"/>
      <c r="G167" s="32"/>
      <c r="H167" s="32"/>
      <c r="I167" s="32"/>
      <c r="J167" s="32"/>
      <c r="K167" s="3"/>
      <c r="L167" s="3"/>
      <c r="M167" s="3"/>
    </row>
    <row r="168" spans="4:13" ht="18" customHeight="1" x14ac:dyDescent="0.25">
      <c r="D168" s="3"/>
      <c r="F168" s="3"/>
      <c r="G168" s="32"/>
      <c r="H168" s="32"/>
      <c r="I168" s="32"/>
      <c r="J168" s="32"/>
      <c r="K168" s="3"/>
      <c r="L168" s="3"/>
      <c r="M168" s="3"/>
    </row>
    <row r="169" spans="4:13" ht="18" customHeight="1" x14ac:dyDescent="0.25">
      <c r="D169" s="3"/>
      <c r="F169" s="3"/>
      <c r="G169" s="32"/>
      <c r="H169" s="32"/>
      <c r="I169" s="32"/>
      <c r="J169" s="32"/>
      <c r="K169" s="3"/>
      <c r="L169" s="3"/>
      <c r="M169" s="3"/>
    </row>
    <row r="170" spans="4:13" ht="18" customHeight="1" x14ac:dyDescent="0.25">
      <c r="D170" s="3"/>
      <c r="F170" s="3"/>
      <c r="G170" s="32"/>
      <c r="H170" s="32"/>
      <c r="I170" s="32"/>
      <c r="J170" s="32"/>
      <c r="K170" s="3"/>
      <c r="L170" s="3"/>
      <c r="M170" s="3"/>
    </row>
    <row r="171" spans="4:13" ht="18" customHeight="1" x14ac:dyDescent="0.25">
      <c r="D171" s="3"/>
      <c r="F171" s="3"/>
      <c r="G171" s="32"/>
      <c r="H171" s="32"/>
      <c r="I171" s="32"/>
      <c r="J171" s="32"/>
      <c r="K171" s="3"/>
      <c r="L171" s="3"/>
      <c r="M171" s="3"/>
    </row>
    <row r="172" spans="4:13" ht="18" customHeight="1" x14ac:dyDescent="0.25">
      <c r="D172" s="3"/>
      <c r="F172" s="3"/>
      <c r="G172" s="32"/>
      <c r="H172" s="32"/>
      <c r="I172" s="32"/>
      <c r="J172" s="32"/>
      <c r="K172" s="3"/>
      <c r="L172" s="3"/>
      <c r="M172" s="3"/>
    </row>
    <row r="173" spans="4:13" ht="18" customHeight="1" x14ac:dyDescent="0.25">
      <c r="D173" s="3"/>
      <c r="F173" s="3"/>
      <c r="G173" s="32"/>
      <c r="H173" s="32"/>
      <c r="I173" s="32"/>
      <c r="J173" s="32"/>
      <c r="K173" s="3"/>
      <c r="L173" s="3"/>
      <c r="M173" s="3"/>
    </row>
    <row r="174" spans="4:13" ht="18" customHeight="1" x14ac:dyDescent="0.25">
      <c r="D174" s="3"/>
      <c r="F174" s="3"/>
      <c r="G174" s="32"/>
      <c r="H174" s="32"/>
      <c r="I174" s="32"/>
      <c r="J174" s="32"/>
      <c r="K174" s="3"/>
      <c r="L174" s="3"/>
      <c r="M174" s="3"/>
    </row>
    <row r="175" spans="4:13" ht="18" customHeight="1" x14ac:dyDescent="0.25">
      <c r="D175" s="3"/>
      <c r="F175" s="3"/>
      <c r="G175" s="32"/>
      <c r="H175" s="32"/>
      <c r="I175" s="32"/>
      <c r="J175" s="32"/>
      <c r="K175" s="3"/>
      <c r="L175" s="3"/>
      <c r="M175" s="3"/>
    </row>
    <row r="176" spans="4:13" ht="18" customHeight="1" x14ac:dyDescent="0.25">
      <c r="D176" s="3"/>
      <c r="F176" s="3"/>
      <c r="G176" s="32"/>
      <c r="H176" s="32"/>
      <c r="I176" s="32"/>
      <c r="J176" s="32"/>
      <c r="K176" s="3"/>
      <c r="L176" s="3"/>
      <c r="M176" s="3"/>
    </row>
    <row r="177" spans="4:13" ht="18" customHeight="1" x14ac:dyDescent="0.25">
      <c r="D177" s="3"/>
      <c r="F177" s="3"/>
      <c r="G177" s="32"/>
      <c r="H177" s="32"/>
      <c r="I177" s="32"/>
      <c r="J177" s="32"/>
      <c r="K177" s="3"/>
      <c r="L177" s="3"/>
      <c r="M177" s="3"/>
    </row>
    <row r="178" spans="4:13" ht="18" customHeight="1" x14ac:dyDescent="0.25">
      <c r="D178" s="3"/>
      <c r="F178" s="3"/>
      <c r="G178" s="32"/>
      <c r="H178" s="32"/>
      <c r="I178" s="32"/>
      <c r="J178" s="32"/>
      <c r="K178" s="3"/>
      <c r="L178" s="3"/>
      <c r="M178" s="3"/>
    </row>
    <row r="179" spans="4:13" ht="18" customHeight="1" x14ac:dyDescent="0.25">
      <c r="D179" s="3"/>
      <c r="F179" s="3"/>
      <c r="G179" s="32"/>
      <c r="H179" s="32"/>
      <c r="I179" s="32"/>
      <c r="J179" s="32"/>
      <c r="K179" s="3"/>
      <c r="L179" s="3"/>
      <c r="M179" s="3"/>
    </row>
    <row r="180" spans="4:13" ht="18" customHeight="1" x14ac:dyDescent="0.25">
      <c r="D180" s="3"/>
      <c r="F180" s="3"/>
      <c r="G180" s="32"/>
      <c r="H180" s="32"/>
      <c r="I180" s="32"/>
      <c r="J180" s="32"/>
      <c r="K180" s="3"/>
      <c r="L180" s="3"/>
      <c r="M180" s="3"/>
    </row>
    <row r="181" spans="4:13" ht="18" customHeight="1" x14ac:dyDescent="0.25">
      <c r="D181" s="3"/>
      <c r="F181" s="3"/>
      <c r="G181" s="32"/>
      <c r="H181" s="32"/>
      <c r="I181" s="32"/>
      <c r="J181" s="32"/>
      <c r="K181" s="3"/>
      <c r="L181" s="3"/>
      <c r="M181" s="3"/>
    </row>
    <row r="182" spans="4:13" ht="18" customHeight="1" x14ac:dyDescent="0.25">
      <c r="D182" s="3"/>
      <c r="F182" s="3"/>
      <c r="G182" s="32"/>
      <c r="H182" s="32"/>
      <c r="I182" s="32"/>
      <c r="J182" s="32"/>
      <c r="K182" s="3"/>
      <c r="L182" s="3"/>
      <c r="M182" s="3"/>
    </row>
    <row r="183" spans="4:13" ht="18" customHeight="1" x14ac:dyDescent="0.25">
      <c r="D183" s="3"/>
      <c r="F183" s="3"/>
      <c r="G183" s="32"/>
      <c r="H183" s="32"/>
      <c r="I183" s="32"/>
      <c r="J183" s="32"/>
      <c r="K183" s="3"/>
      <c r="L183" s="3"/>
      <c r="M183" s="3"/>
    </row>
    <row r="184" spans="4:13" ht="18" customHeight="1" x14ac:dyDescent="0.25">
      <c r="D184" s="3"/>
      <c r="F184" s="3"/>
      <c r="G184" s="32"/>
      <c r="H184" s="32"/>
      <c r="I184" s="32"/>
      <c r="J184" s="32"/>
      <c r="K184" s="3"/>
      <c r="L184" s="3"/>
      <c r="M184" s="3"/>
    </row>
    <row r="185" spans="4:13" ht="18" customHeight="1" x14ac:dyDescent="0.25">
      <c r="D185" s="3"/>
      <c r="F185" s="3"/>
      <c r="G185" s="32"/>
      <c r="H185" s="32"/>
      <c r="I185" s="32"/>
      <c r="J185" s="32"/>
      <c r="K185" s="3"/>
      <c r="L185" s="3"/>
      <c r="M185" s="3"/>
    </row>
    <row r="186" spans="4:13" ht="18" customHeight="1" x14ac:dyDescent="0.25">
      <c r="D186" s="3"/>
      <c r="F186" s="3"/>
      <c r="G186" s="32"/>
      <c r="H186" s="32"/>
      <c r="I186" s="32"/>
      <c r="J186" s="32"/>
      <c r="K186" s="3"/>
      <c r="L186" s="3"/>
      <c r="M186" s="3"/>
    </row>
    <row r="187" spans="4:13" ht="18" customHeight="1" x14ac:dyDescent="0.25">
      <c r="D187" s="3"/>
      <c r="F187" s="3"/>
      <c r="G187" s="32"/>
      <c r="H187" s="32"/>
      <c r="I187" s="32"/>
      <c r="J187" s="32"/>
      <c r="K187" s="3"/>
      <c r="L187" s="3"/>
      <c r="M187" s="3"/>
    </row>
    <row r="188" spans="4:13" ht="18" customHeight="1" x14ac:dyDescent="0.25">
      <c r="D188" s="3"/>
      <c r="F188" s="3"/>
      <c r="G188" s="32"/>
      <c r="H188" s="32"/>
      <c r="I188" s="32"/>
      <c r="J188" s="32"/>
      <c r="K188" s="3"/>
      <c r="L188" s="3"/>
      <c r="M188" s="3"/>
    </row>
    <row r="189" spans="4:13" ht="18" customHeight="1" x14ac:dyDescent="0.25">
      <c r="D189" s="3"/>
      <c r="F189" s="3"/>
      <c r="G189" s="32"/>
      <c r="H189" s="32"/>
      <c r="I189" s="32"/>
      <c r="J189" s="32"/>
      <c r="K189" s="3"/>
      <c r="L189" s="3"/>
      <c r="M189" s="3"/>
    </row>
    <row r="190" spans="4:13" ht="18" customHeight="1" x14ac:dyDescent="0.25">
      <c r="D190" s="3"/>
      <c r="F190" s="3"/>
      <c r="G190" s="32"/>
      <c r="H190" s="32"/>
      <c r="I190" s="32"/>
      <c r="J190" s="32"/>
      <c r="K190" s="3"/>
      <c r="L190" s="3"/>
      <c r="M190" s="3"/>
    </row>
    <row r="191" spans="4:13" ht="18" customHeight="1" x14ac:dyDescent="0.25">
      <c r="D191" s="3"/>
      <c r="F191" s="3"/>
      <c r="G191" s="32"/>
      <c r="H191" s="32"/>
      <c r="I191" s="32"/>
      <c r="J191" s="32"/>
      <c r="K191" s="3"/>
      <c r="L191" s="3"/>
      <c r="M191" s="3"/>
    </row>
    <row r="192" spans="4:13" ht="18" customHeight="1" x14ac:dyDescent="0.25">
      <c r="D192" s="3"/>
      <c r="F192" s="3"/>
      <c r="G192" s="32"/>
      <c r="H192" s="32"/>
      <c r="I192" s="32"/>
      <c r="J192" s="32"/>
      <c r="K192" s="3"/>
      <c r="L192" s="3"/>
      <c r="M192" s="3"/>
    </row>
    <row r="193" spans="4:13" ht="18" customHeight="1" x14ac:dyDescent="0.25">
      <c r="D193" s="3"/>
      <c r="F193" s="3"/>
      <c r="G193" s="32"/>
      <c r="H193" s="32"/>
      <c r="I193" s="32"/>
      <c r="J193" s="32"/>
      <c r="K193" s="3"/>
      <c r="L193" s="3"/>
      <c r="M193" s="3"/>
    </row>
    <row r="194" spans="4:13" ht="18" customHeight="1" x14ac:dyDescent="0.25">
      <c r="D194" s="3"/>
      <c r="F194" s="3"/>
      <c r="G194" s="32"/>
      <c r="H194" s="32"/>
      <c r="I194" s="32"/>
      <c r="J194" s="32"/>
      <c r="K194" s="3"/>
      <c r="L194" s="3"/>
      <c r="M194" s="3"/>
    </row>
    <row r="195" spans="4:13" ht="18" customHeight="1" x14ac:dyDescent="0.25">
      <c r="D195" s="3"/>
      <c r="F195" s="3"/>
      <c r="G195" s="32"/>
      <c r="H195" s="32"/>
      <c r="I195" s="32"/>
      <c r="J195" s="32"/>
      <c r="K195" s="3"/>
      <c r="L195" s="3"/>
      <c r="M195" s="3"/>
    </row>
    <row r="196" spans="4:13" ht="18" customHeight="1" x14ac:dyDescent="0.25">
      <c r="D196" s="3"/>
      <c r="F196" s="3"/>
      <c r="G196" s="32"/>
      <c r="H196" s="32"/>
      <c r="I196" s="32"/>
      <c r="J196" s="32"/>
      <c r="K196" s="3"/>
      <c r="L196" s="3"/>
      <c r="M196" s="3"/>
    </row>
    <row r="197" spans="4:13" ht="18" customHeight="1" x14ac:dyDescent="0.25">
      <c r="D197" s="3"/>
      <c r="F197" s="3"/>
      <c r="G197" s="32"/>
      <c r="H197" s="32"/>
      <c r="I197" s="32"/>
      <c r="J197" s="32"/>
      <c r="K197" s="3"/>
      <c r="L197" s="3"/>
      <c r="M197" s="3"/>
    </row>
    <row r="198" spans="4:13" ht="18" customHeight="1" x14ac:dyDescent="0.25">
      <c r="D198" s="3"/>
      <c r="F198" s="3"/>
      <c r="G198" s="32"/>
      <c r="H198" s="32"/>
      <c r="I198" s="32"/>
      <c r="J198" s="32"/>
      <c r="K198" s="3"/>
      <c r="L198" s="3"/>
      <c r="M198" s="3"/>
    </row>
    <row r="199" spans="4:13" ht="18" customHeight="1" x14ac:dyDescent="0.25">
      <c r="D199" s="3"/>
      <c r="F199" s="3"/>
      <c r="G199" s="32"/>
      <c r="H199" s="32"/>
      <c r="I199" s="32"/>
      <c r="J199" s="32"/>
      <c r="K199" s="3"/>
      <c r="L199" s="3"/>
      <c r="M199" s="3"/>
    </row>
    <row r="200" spans="4:13" ht="18" customHeight="1" x14ac:dyDescent="0.25">
      <c r="D200" s="3"/>
      <c r="F200" s="3"/>
      <c r="G200" s="32"/>
      <c r="H200" s="32"/>
      <c r="I200" s="32"/>
      <c r="J200" s="32"/>
      <c r="K200" s="3"/>
      <c r="L200" s="3"/>
      <c r="M200" s="3"/>
    </row>
    <row r="201" spans="4:13" ht="18" customHeight="1" x14ac:dyDescent="0.25">
      <c r="D201" s="3"/>
      <c r="F201" s="3"/>
      <c r="G201" s="32"/>
      <c r="H201" s="32"/>
      <c r="I201" s="32"/>
      <c r="J201" s="32"/>
      <c r="K201" s="3"/>
      <c r="L201" s="3"/>
      <c r="M201" s="3"/>
    </row>
    <row r="202" spans="4:13" ht="18" customHeight="1" x14ac:dyDescent="0.25">
      <c r="D202" s="3"/>
      <c r="F202" s="3"/>
      <c r="G202" s="32"/>
      <c r="H202" s="32"/>
      <c r="I202" s="32"/>
      <c r="J202" s="32"/>
      <c r="K202" s="3"/>
      <c r="L202" s="3"/>
      <c r="M202" s="3"/>
    </row>
    <row r="203" spans="4:13" ht="18" customHeight="1" x14ac:dyDescent="0.25">
      <c r="D203" s="3"/>
      <c r="F203" s="3"/>
      <c r="G203" s="32"/>
      <c r="H203" s="32"/>
      <c r="I203" s="32"/>
      <c r="J203" s="32"/>
      <c r="K203" s="3"/>
      <c r="L203" s="3"/>
      <c r="M203" s="3"/>
    </row>
    <row r="204" spans="4:13" ht="18" customHeight="1" x14ac:dyDescent="0.25">
      <c r="D204" s="3"/>
      <c r="F204" s="3"/>
      <c r="G204" s="32"/>
      <c r="H204" s="32"/>
      <c r="I204" s="32"/>
      <c r="J204" s="32"/>
      <c r="K204" s="3"/>
      <c r="L204" s="3"/>
      <c r="M204" s="3"/>
    </row>
    <row r="205" spans="4:13" ht="18" customHeight="1" x14ac:dyDescent="0.25">
      <c r="D205" s="3"/>
      <c r="F205" s="3"/>
      <c r="G205" s="32"/>
      <c r="H205" s="32"/>
      <c r="I205" s="32"/>
      <c r="J205" s="32"/>
      <c r="K205" s="3"/>
      <c r="L205" s="3"/>
      <c r="M205" s="3"/>
    </row>
    <row r="206" spans="4:13" ht="18" customHeight="1" x14ac:dyDescent="0.25">
      <c r="D206" s="3"/>
      <c r="F206" s="3"/>
      <c r="G206" s="32"/>
      <c r="H206" s="32"/>
      <c r="I206" s="32"/>
      <c r="J206" s="32"/>
      <c r="K206" s="3"/>
      <c r="L206" s="3"/>
      <c r="M206" s="3"/>
    </row>
    <row r="207" spans="4:13" ht="18" customHeight="1" x14ac:dyDescent="0.25">
      <c r="D207" s="3"/>
      <c r="F207" s="3"/>
      <c r="G207" s="32"/>
      <c r="H207" s="32"/>
      <c r="I207" s="32"/>
      <c r="J207" s="32"/>
      <c r="K207" s="3"/>
      <c r="L207" s="3"/>
      <c r="M207" s="3"/>
    </row>
    <row r="208" spans="4:13" ht="18" customHeight="1" x14ac:dyDescent="0.25">
      <c r="D208" s="3"/>
      <c r="F208" s="3"/>
      <c r="G208" s="32"/>
      <c r="H208" s="32"/>
      <c r="I208" s="32"/>
      <c r="J208" s="32"/>
      <c r="K208" s="3"/>
      <c r="L208" s="3"/>
      <c r="M208" s="3"/>
    </row>
    <row r="209" spans="4:13" ht="18" customHeight="1" x14ac:dyDescent="0.25">
      <c r="D209" s="3"/>
      <c r="F209" s="3"/>
      <c r="G209" s="32"/>
      <c r="H209" s="32"/>
      <c r="I209" s="32"/>
      <c r="J209" s="32"/>
      <c r="K209" s="3"/>
      <c r="L209" s="3"/>
      <c r="M209" s="3"/>
    </row>
    <row r="210" spans="4:13" ht="18" customHeight="1" x14ac:dyDescent="0.25">
      <c r="D210" s="3"/>
      <c r="F210" s="3"/>
      <c r="G210" s="32"/>
      <c r="H210" s="32"/>
      <c r="I210" s="32"/>
      <c r="J210" s="32"/>
      <c r="K210" s="3"/>
      <c r="L210" s="3"/>
      <c r="M210" s="3"/>
    </row>
    <row r="211" spans="4:13" ht="18" customHeight="1" x14ac:dyDescent="0.25">
      <c r="D211" s="3"/>
      <c r="F211" s="3"/>
      <c r="G211" s="32"/>
      <c r="H211" s="32"/>
      <c r="I211" s="32"/>
      <c r="J211" s="32"/>
      <c r="K211" s="3"/>
      <c r="L211" s="3"/>
      <c r="M211" s="3"/>
    </row>
    <row r="212" spans="4:13" ht="18" customHeight="1" x14ac:dyDescent="0.25">
      <c r="D212" s="3"/>
      <c r="F212" s="3"/>
      <c r="G212" s="32"/>
      <c r="H212" s="32"/>
      <c r="I212" s="32"/>
      <c r="J212" s="32"/>
      <c r="K212" s="3"/>
      <c r="L212" s="3"/>
      <c r="M212" s="3"/>
    </row>
    <row r="213" spans="4:13" ht="18" customHeight="1" x14ac:dyDescent="0.25">
      <c r="D213" s="3"/>
      <c r="F213" s="3"/>
      <c r="G213" s="32"/>
      <c r="H213" s="32"/>
      <c r="I213" s="32"/>
      <c r="J213" s="32"/>
      <c r="K213" s="3"/>
      <c r="L213" s="3"/>
      <c r="M213" s="3"/>
    </row>
    <row r="214" spans="4:13" ht="18" customHeight="1" x14ac:dyDescent="0.25">
      <c r="D214" s="3"/>
      <c r="F214" s="3"/>
      <c r="G214" s="32"/>
      <c r="H214" s="32"/>
      <c r="I214" s="32"/>
      <c r="J214" s="32"/>
      <c r="K214" s="3"/>
      <c r="L214" s="3"/>
      <c r="M214" s="3"/>
    </row>
    <row r="215" spans="4:13" ht="18" customHeight="1" x14ac:dyDescent="0.25">
      <c r="D215" s="3"/>
      <c r="F215" s="3"/>
      <c r="G215" s="32"/>
      <c r="H215" s="32"/>
      <c r="I215" s="32"/>
      <c r="J215" s="32"/>
      <c r="K215" s="3"/>
      <c r="L215" s="3"/>
      <c r="M215" s="3"/>
    </row>
    <row r="216" spans="4:13" ht="18" customHeight="1" x14ac:dyDescent="0.25">
      <c r="D216" s="3"/>
      <c r="F216" s="3"/>
      <c r="G216" s="32"/>
      <c r="H216" s="32"/>
      <c r="I216" s="32"/>
      <c r="J216" s="32"/>
      <c r="K216" s="3"/>
      <c r="L216" s="3"/>
      <c r="M216" s="3"/>
    </row>
    <row r="217" spans="4:13" ht="18" customHeight="1" x14ac:dyDescent="0.25">
      <c r="D217" s="3"/>
      <c r="F217" s="3"/>
      <c r="G217" s="32"/>
      <c r="H217" s="32"/>
      <c r="I217" s="32"/>
      <c r="J217" s="32"/>
      <c r="K217" s="3"/>
      <c r="L217" s="3"/>
      <c r="M217" s="3"/>
    </row>
    <row r="218" spans="4:13" ht="18" customHeight="1" x14ac:dyDescent="0.25">
      <c r="D218" s="3"/>
      <c r="F218" s="3"/>
      <c r="G218" s="32"/>
      <c r="H218" s="32"/>
      <c r="I218" s="32"/>
      <c r="J218" s="32"/>
      <c r="K218" s="3"/>
      <c r="L218" s="3"/>
      <c r="M218" s="3"/>
    </row>
    <row r="219" spans="4:13" ht="18" customHeight="1" x14ac:dyDescent="0.25">
      <c r="D219" s="3"/>
      <c r="F219" s="3"/>
      <c r="G219" s="32"/>
      <c r="H219" s="32"/>
      <c r="I219" s="32"/>
      <c r="J219" s="32"/>
      <c r="K219" s="3"/>
      <c r="L219" s="3"/>
      <c r="M219" s="3"/>
    </row>
    <row r="220" spans="4:13" ht="18" customHeight="1" x14ac:dyDescent="0.25">
      <c r="D220" s="3"/>
      <c r="F220" s="3"/>
      <c r="G220" s="32"/>
      <c r="H220" s="32"/>
      <c r="I220" s="32"/>
      <c r="J220" s="32"/>
      <c r="K220" s="3"/>
      <c r="L220" s="3"/>
      <c r="M220" s="3"/>
    </row>
    <row r="221" spans="4:13" ht="18" customHeight="1" x14ac:dyDescent="0.25">
      <c r="D221" s="3"/>
      <c r="F221" s="3"/>
      <c r="G221" s="32"/>
      <c r="H221" s="32"/>
      <c r="I221" s="32"/>
      <c r="J221" s="32"/>
      <c r="K221" s="3"/>
      <c r="L221" s="3"/>
      <c r="M221" s="3"/>
    </row>
    <row r="222" spans="4:13" ht="18" customHeight="1" x14ac:dyDescent="0.25">
      <c r="D222" s="3"/>
      <c r="F222" s="3"/>
      <c r="G222" s="32"/>
      <c r="H222" s="32"/>
      <c r="I222" s="32"/>
      <c r="J222" s="32"/>
      <c r="K222" s="3"/>
      <c r="L222" s="3"/>
      <c r="M222" s="3"/>
    </row>
    <row r="223" spans="4:13" ht="18" customHeight="1" x14ac:dyDescent="0.25">
      <c r="D223" s="3"/>
      <c r="F223" s="3"/>
      <c r="G223" s="32"/>
      <c r="H223" s="32"/>
      <c r="I223" s="32"/>
      <c r="J223" s="32"/>
      <c r="K223" s="3"/>
      <c r="L223" s="3"/>
      <c r="M223" s="3"/>
    </row>
    <row r="224" spans="4:13" ht="18" customHeight="1" x14ac:dyDescent="0.25">
      <c r="D224" s="3"/>
      <c r="F224" s="3"/>
      <c r="G224" s="32"/>
      <c r="H224" s="32"/>
      <c r="I224" s="32"/>
      <c r="J224" s="32"/>
      <c r="K224" s="3"/>
      <c r="L224" s="3"/>
      <c r="M224" s="3"/>
    </row>
    <row r="225" spans="4:13" ht="18" customHeight="1" x14ac:dyDescent="0.25">
      <c r="D225" s="3"/>
      <c r="F225" s="3"/>
      <c r="G225" s="32"/>
      <c r="H225" s="32"/>
      <c r="I225" s="32"/>
      <c r="J225" s="32"/>
      <c r="K225" s="3"/>
      <c r="L225" s="3"/>
      <c r="M225" s="3"/>
    </row>
    <row r="226" spans="4:13" ht="18" customHeight="1" x14ac:dyDescent="0.25">
      <c r="D226" s="3"/>
      <c r="F226" s="3"/>
      <c r="G226" s="32"/>
      <c r="H226" s="32"/>
      <c r="I226" s="32"/>
      <c r="J226" s="32"/>
      <c r="K226" s="3"/>
      <c r="L226" s="3"/>
      <c r="M226" s="3"/>
    </row>
    <row r="227" spans="4:13" ht="18" customHeight="1" x14ac:dyDescent="0.25">
      <c r="D227" s="3"/>
      <c r="F227" s="3"/>
      <c r="G227" s="32"/>
      <c r="H227" s="32"/>
      <c r="I227" s="32"/>
      <c r="J227" s="32"/>
      <c r="K227" s="3"/>
      <c r="L227" s="3"/>
      <c r="M227" s="3"/>
    </row>
    <row r="228" spans="4:13" ht="18" customHeight="1" x14ac:dyDescent="0.25">
      <c r="D228" s="3"/>
      <c r="F228" s="3"/>
      <c r="G228" s="32"/>
      <c r="H228" s="32"/>
      <c r="I228" s="32"/>
      <c r="J228" s="32"/>
      <c r="K228" s="3"/>
      <c r="L228" s="3"/>
      <c r="M228" s="3"/>
    </row>
    <row r="229" spans="4:13" ht="18" customHeight="1" x14ac:dyDescent="0.25">
      <c r="D229" s="3"/>
      <c r="F229" s="3"/>
      <c r="G229" s="32"/>
      <c r="H229" s="32"/>
      <c r="I229" s="32"/>
      <c r="J229" s="32"/>
      <c r="K229" s="3"/>
      <c r="L229" s="3"/>
      <c r="M229" s="3"/>
    </row>
    <row r="230" spans="4:13" ht="18" customHeight="1" x14ac:dyDescent="0.25">
      <c r="D230" s="3"/>
      <c r="F230" s="3"/>
      <c r="G230" s="32"/>
      <c r="H230" s="32"/>
      <c r="I230" s="32"/>
      <c r="J230" s="32"/>
      <c r="K230" s="3"/>
      <c r="L230" s="3"/>
      <c r="M230" s="3"/>
    </row>
    <row r="231" spans="4:13" ht="18" customHeight="1" x14ac:dyDescent="0.25">
      <c r="D231" s="3"/>
      <c r="F231" s="3"/>
      <c r="G231" s="32"/>
      <c r="H231" s="32"/>
      <c r="I231" s="32"/>
      <c r="J231" s="32"/>
      <c r="K231" s="3"/>
      <c r="L231" s="3"/>
      <c r="M231" s="3"/>
    </row>
    <row r="232" spans="4:13" ht="18" customHeight="1" x14ac:dyDescent="0.25">
      <c r="D232" s="3"/>
      <c r="F232" s="3"/>
      <c r="G232" s="32"/>
      <c r="H232" s="32"/>
      <c r="I232" s="32"/>
      <c r="J232" s="32"/>
      <c r="K232" s="3"/>
      <c r="L232" s="3"/>
      <c r="M232" s="3"/>
    </row>
    <row r="233" spans="4:13" ht="18" customHeight="1" x14ac:dyDescent="0.25">
      <c r="D233" s="3"/>
      <c r="F233" s="3"/>
      <c r="G233" s="32"/>
      <c r="H233" s="32"/>
      <c r="I233" s="32"/>
      <c r="J233" s="32"/>
      <c r="K233" s="3"/>
      <c r="L233" s="3"/>
      <c r="M233" s="3"/>
    </row>
    <row r="234" spans="4:13" ht="18" customHeight="1" x14ac:dyDescent="0.25">
      <c r="D234" s="3"/>
      <c r="F234" s="3"/>
      <c r="G234" s="32"/>
      <c r="H234" s="32"/>
      <c r="I234" s="32"/>
      <c r="J234" s="32"/>
      <c r="K234" s="3"/>
      <c r="L234" s="3"/>
      <c r="M234" s="3"/>
    </row>
    <row r="235" spans="4:13" ht="18" customHeight="1" x14ac:dyDescent="0.25">
      <c r="D235" s="3"/>
      <c r="F235" s="3"/>
      <c r="G235" s="32"/>
      <c r="H235" s="32"/>
      <c r="I235" s="32"/>
      <c r="J235" s="32"/>
      <c r="K235" s="3"/>
      <c r="L235" s="3"/>
      <c r="M235" s="3"/>
    </row>
    <row r="236" spans="4:13" ht="18" customHeight="1" x14ac:dyDescent="0.25">
      <c r="D236" s="3"/>
      <c r="F236" s="3"/>
      <c r="G236" s="32"/>
      <c r="H236" s="32"/>
      <c r="I236" s="32"/>
      <c r="J236" s="32"/>
      <c r="K236" s="3"/>
      <c r="L236" s="3"/>
      <c r="M236" s="3"/>
    </row>
    <row r="237" spans="4:13" ht="18" customHeight="1" x14ac:dyDescent="0.25">
      <c r="D237" s="3"/>
      <c r="F237" s="3"/>
      <c r="G237" s="32"/>
      <c r="H237" s="32"/>
      <c r="I237" s="32"/>
      <c r="J237" s="32"/>
      <c r="K237" s="3"/>
      <c r="L237" s="3"/>
      <c r="M237" s="3"/>
    </row>
    <row r="238" spans="4:13" ht="18" customHeight="1" x14ac:dyDescent="0.25">
      <c r="D238" s="3"/>
      <c r="F238" s="3"/>
      <c r="G238" s="32"/>
      <c r="H238" s="32"/>
      <c r="I238" s="32"/>
      <c r="J238" s="32"/>
      <c r="K238" s="3"/>
      <c r="L238" s="3"/>
      <c r="M238" s="3"/>
    </row>
    <row r="239" spans="4:13" ht="18" customHeight="1" x14ac:dyDescent="0.25">
      <c r="D239" s="3"/>
      <c r="F239" s="3"/>
      <c r="G239" s="32"/>
      <c r="H239" s="32"/>
      <c r="I239" s="32"/>
      <c r="J239" s="32"/>
      <c r="K239" s="3"/>
      <c r="L239" s="3"/>
      <c r="M239" s="3"/>
    </row>
    <row r="240" spans="4:13" ht="18" customHeight="1" x14ac:dyDescent="0.25">
      <c r="D240" s="3"/>
      <c r="F240" s="3"/>
      <c r="G240" s="32"/>
      <c r="H240" s="32"/>
      <c r="I240" s="32"/>
      <c r="J240" s="32"/>
      <c r="K240" s="3"/>
      <c r="L240" s="3"/>
      <c r="M240" s="3"/>
    </row>
    <row r="241" spans="4:13" ht="18" customHeight="1" x14ac:dyDescent="0.25">
      <c r="D241" s="3"/>
      <c r="F241" s="3"/>
      <c r="G241" s="32"/>
      <c r="H241" s="32"/>
      <c r="I241" s="32"/>
      <c r="J241" s="32"/>
      <c r="K241" s="3"/>
      <c r="L241" s="3"/>
      <c r="M241" s="3"/>
    </row>
    <row r="242" spans="4:13" ht="18" customHeight="1" x14ac:dyDescent="0.25">
      <c r="D242" s="3"/>
      <c r="F242" s="3"/>
      <c r="G242" s="32"/>
      <c r="H242" s="32"/>
      <c r="I242" s="32"/>
      <c r="J242" s="32"/>
      <c r="K242" s="3"/>
      <c r="L242" s="3"/>
      <c r="M242" s="3"/>
    </row>
    <row r="243" spans="4:13" ht="18" customHeight="1" x14ac:dyDescent="0.25">
      <c r="D243" s="3"/>
      <c r="F243" s="3"/>
      <c r="G243" s="32"/>
      <c r="H243" s="32"/>
      <c r="I243" s="32"/>
      <c r="J243" s="32"/>
      <c r="K243" s="3"/>
      <c r="L243" s="3"/>
      <c r="M243" s="3"/>
    </row>
    <row r="244" spans="4:13" ht="18" customHeight="1" x14ac:dyDescent="0.25">
      <c r="D244" s="3"/>
      <c r="F244" s="3"/>
      <c r="G244" s="32"/>
      <c r="H244" s="32"/>
      <c r="I244" s="32"/>
      <c r="J244" s="32"/>
      <c r="K244" s="3"/>
      <c r="L244" s="3"/>
      <c r="M244" s="3"/>
    </row>
    <row r="245" spans="4:13" ht="18" customHeight="1" x14ac:dyDescent="0.25">
      <c r="D245" s="3"/>
      <c r="F245" s="3"/>
      <c r="G245" s="32"/>
      <c r="H245" s="32"/>
      <c r="I245" s="32"/>
      <c r="J245" s="32"/>
      <c r="K245" s="3"/>
      <c r="L245" s="3"/>
      <c r="M245" s="3"/>
    </row>
    <row r="246" spans="4:13" ht="18" customHeight="1" x14ac:dyDescent="0.25">
      <c r="D246" s="3"/>
      <c r="F246" s="3"/>
      <c r="G246" s="32"/>
      <c r="H246" s="32"/>
      <c r="I246" s="32"/>
      <c r="J246" s="32"/>
      <c r="K246" s="3"/>
      <c r="L246" s="3"/>
      <c r="M246" s="3"/>
    </row>
    <row r="247" spans="4:13" ht="18" customHeight="1" x14ac:dyDescent="0.25">
      <c r="D247" s="3"/>
      <c r="F247" s="3"/>
      <c r="G247" s="32"/>
      <c r="H247" s="32"/>
      <c r="I247" s="32"/>
      <c r="J247" s="32"/>
      <c r="K247" s="3"/>
      <c r="L247" s="3"/>
      <c r="M247" s="3"/>
    </row>
    <row r="248" spans="4:13" ht="18" customHeight="1" x14ac:dyDescent="0.25">
      <c r="D248" s="3"/>
      <c r="F248" s="3"/>
      <c r="G248" s="32"/>
      <c r="H248" s="32"/>
      <c r="I248" s="32"/>
      <c r="J248" s="32"/>
      <c r="K248" s="3"/>
      <c r="L248" s="3"/>
      <c r="M248" s="3"/>
    </row>
    <row r="249" spans="4:13" ht="18" customHeight="1" x14ac:dyDescent="0.25">
      <c r="D249" s="3"/>
      <c r="F249" s="3"/>
      <c r="G249" s="32"/>
      <c r="H249" s="32"/>
      <c r="I249" s="32"/>
      <c r="J249" s="32"/>
      <c r="K249" s="3"/>
      <c r="L249" s="3"/>
      <c r="M249" s="3"/>
    </row>
    <row r="250" spans="4:13" ht="18" customHeight="1" x14ac:dyDescent="0.25">
      <c r="D250" s="3"/>
      <c r="F250" s="3"/>
      <c r="G250" s="32"/>
      <c r="H250" s="32"/>
      <c r="I250" s="32"/>
      <c r="J250" s="32"/>
      <c r="K250" s="3"/>
      <c r="L250" s="3"/>
      <c r="M250" s="3"/>
    </row>
    <row r="251" spans="4:13" ht="18" customHeight="1" x14ac:dyDescent="0.25">
      <c r="D251" s="3"/>
      <c r="F251" s="3"/>
      <c r="G251" s="32"/>
      <c r="H251" s="32"/>
      <c r="I251" s="32"/>
      <c r="J251" s="32"/>
      <c r="K251" s="3"/>
      <c r="L251" s="3"/>
      <c r="M251" s="3"/>
    </row>
    <row r="252" spans="4:13" ht="18" customHeight="1" x14ac:dyDescent="0.25">
      <c r="D252" s="3"/>
      <c r="F252" s="3"/>
      <c r="G252" s="32"/>
      <c r="H252" s="32"/>
      <c r="I252" s="32"/>
      <c r="J252" s="32"/>
      <c r="K252" s="3"/>
      <c r="L252" s="3"/>
      <c r="M252" s="3"/>
    </row>
    <row r="253" spans="4:13" ht="18" customHeight="1" x14ac:dyDescent="0.25">
      <c r="D253" s="3"/>
      <c r="F253" s="3"/>
      <c r="G253" s="32"/>
      <c r="H253" s="32"/>
      <c r="I253" s="32"/>
      <c r="J253" s="32"/>
      <c r="K253" s="3"/>
      <c r="L253" s="3"/>
      <c r="M253" s="3"/>
    </row>
    <row r="254" spans="4:13" ht="18" customHeight="1" x14ac:dyDescent="0.25">
      <c r="D254" s="3"/>
      <c r="F254" s="3"/>
      <c r="G254" s="32"/>
      <c r="H254" s="32"/>
      <c r="I254" s="32"/>
      <c r="J254" s="32"/>
      <c r="K254" s="3"/>
      <c r="L254" s="3"/>
      <c r="M254" s="3"/>
    </row>
    <row r="255" spans="4:13" ht="18" customHeight="1" x14ac:dyDescent="0.25">
      <c r="D255" s="3"/>
      <c r="F255" s="3"/>
      <c r="G255" s="32"/>
      <c r="H255" s="32"/>
      <c r="I255" s="32"/>
      <c r="J255" s="32"/>
      <c r="K255" s="3"/>
      <c r="L255" s="3"/>
      <c r="M255" s="3"/>
    </row>
    <row r="256" spans="4:13" ht="18" customHeight="1" x14ac:dyDescent="0.25">
      <c r="D256" s="3"/>
      <c r="F256" s="3"/>
      <c r="G256" s="32"/>
      <c r="H256" s="32"/>
      <c r="I256" s="32"/>
      <c r="J256" s="32"/>
      <c r="K256" s="3"/>
      <c r="L256" s="3"/>
      <c r="M256" s="3"/>
    </row>
    <row r="257" spans="4:13" ht="18" customHeight="1" x14ac:dyDescent="0.25">
      <c r="D257" s="3"/>
      <c r="F257" s="3"/>
      <c r="G257" s="32"/>
      <c r="H257" s="32"/>
      <c r="I257" s="32"/>
      <c r="J257" s="32"/>
      <c r="K257" s="3"/>
      <c r="L257" s="3"/>
      <c r="M257" s="3"/>
    </row>
    <row r="258" spans="4:13" ht="18" customHeight="1" x14ac:dyDescent="0.25">
      <c r="D258" s="3"/>
      <c r="F258" s="3"/>
      <c r="G258" s="32"/>
      <c r="H258" s="32"/>
      <c r="I258" s="32"/>
      <c r="J258" s="32"/>
      <c r="K258" s="3"/>
      <c r="L258" s="3"/>
      <c r="M258" s="3"/>
    </row>
    <row r="259" spans="4:13" ht="18" customHeight="1" x14ac:dyDescent="0.25">
      <c r="D259" s="3"/>
      <c r="F259" s="3"/>
      <c r="G259" s="32"/>
      <c r="H259" s="32"/>
      <c r="I259" s="32"/>
      <c r="J259" s="32"/>
      <c r="K259" s="3"/>
      <c r="L259" s="3"/>
      <c r="M259" s="3"/>
    </row>
    <row r="260" spans="4:13" ht="18" customHeight="1" x14ac:dyDescent="0.25">
      <c r="D260" s="3"/>
      <c r="F260" s="3"/>
      <c r="G260" s="32"/>
      <c r="H260" s="32"/>
      <c r="I260" s="32"/>
      <c r="J260" s="32"/>
      <c r="K260" s="3"/>
      <c r="L260" s="3"/>
      <c r="M260" s="3"/>
    </row>
    <row r="261" spans="4:13" ht="18" customHeight="1" x14ac:dyDescent="0.25">
      <c r="D261" s="3"/>
      <c r="F261" s="3"/>
      <c r="G261" s="32"/>
      <c r="H261" s="32"/>
      <c r="I261" s="32"/>
      <c r="J261" s="32"/>
      <c r="K261" s="3"/>
      <c r="L261" s="3"/>
      <c r="M261" s="3"/>
    </row>
    <row r="262" spans="4:13" ht="18" customHeight="1" x14ac:dyDescent="0.25">
      <c r="D262" s="3"/>
      <c r="F262" s="3"/>
      <c r="G262" s="32"/>
      <c r="H262" s="32"/>
      <c r="I262" s="32"/>
      <c r="J262" s="32"/>
      <c r="K262" s="3"/>
      <c r="L262" s="3"/>
      <c r="M262" s="3"/>
    </row>
    <row r="263" spans="4:13" ht="18" customHeight="1" x14ac:dyDescent="0.25">
      <c r="D263" s="3"/>
      <c r="F263" s="3"/>
      <c r="G263" s="32"/>
      <c r="H263" s="32"/>
      <c r="I263" s="32"/>
      <c r="J263" s="32"/>
      <c r="K263" s="3"/>
      <c r="L263" s="3"/>
      <c r="M263" s="3"/>
    </row>
    <row r="264" spans="4:13" ht="18" customHeight="1" x14ac:dyDescent="0.25">
      <c r="D264" s="3"/>
      <c r="F264" s="3"/>
      <c r="G264" s="32"/>
      <c r="H264" s="32"/>
      <c r="I264" s="32"/>
      <c r="J264" s="32"/>
      <c r="K264" s="3"/>
      <c r="L264" s="3"/>
      <c r="M264" s="3"/>
    </row>
    <row r="265" spans="4:13" ht="18" customHeight="1" x14ac:dyDescent="0.25">
      <c r="D265" s="3"/>
      <c r="F265" s="3"/>
      <c r="G265" s="32"/>
      <c r="H265" s="32"/>
      <c r="I265" s="32"/>
      <c r="J265" s="32"/>
      <c r="K265" s="3"/>
      <c r="L265" s="3"/>
      <c r="M265" s="3"/>
    </row>
    <row r="266" spans="4:13" ht="18" customHeight="1" x14ac:dyDescent="0.25">
      <c r="D266" s="3"/>
      <c r="F266" s="3"/>
      <c r="G266" s="32"/>
      <c r="H266" s="32"/>
      <c r="I266" s="32"/>
      <c r="J266" s="32"/>
      <c r="K266" s="3"/>
      <c r="L266" s="3"/>
      <c r="M266" s="3"/>
    </row>
    <row r="267" spans="4:13" ht="18" customHeight="1" x14ac:dyDescent="0.25">
      <c r="D267" s="3"/>
      <c r="F267" s="3"/>
      <c r="G267" s="32"/>
      <c r="H267" s="32"/>
      <c r="I267" s="32"/>
      <c r="J267" s="32"/>
      <c r="K267" s="3"/>
      <c r="L267" s="3"/>
      <c r="M267" s="3"/>
    </row>
    <row r="268" spans="4:13" ht="18" customHeight="1" x14ac:dyDescent="0.25">
      <c r="D268" s="3"/>
      <c r="F268" s="3"/>
      <c r="G268" s="32"/>
      <c r="H268" s="32"/>
      <c r="I268" s="32"/>
      <c r="J268" s="32"/>
      <c r="K268" s="3"/>
      <c r="L268" s="3"/>
      <c r="M268" s="3"/>
    </row>
    <row r="269" spans="4:13" ht="18" customHeight="1" x14ac:dyDescent="0.25">
      <c r="D269" s="3"/>
      <c r="F269" s="3"/>
      <c r="G269" s="32"/>
      <c r="H269" s="32"/>
      <c r="I269" s="32"/>
      <c r="J269" s="32"/>
      <c r="K269" s="3"/>
      <c r="L269" s="3"/>
      <c r="M269" s="3"/>
    </row>
    <row r="270" spans="4:13" ht="18" customHeight="1" x14ac:dyDescent="0.25">
      <c r="D270" s="3"/>
      <c r="F270" s="3"/>
      <c r="G270" s="32"/>
      <c r="H270" s="32"/>
      <c r="I270" s="32"/>
      <c r="J270" s="32"/>
      <c r="K270" s="3"/>
      <c r="L270" s="3"/>
      <c r="M270" s="3"/>
    </row>
    <row r="271" spans="4:13" ht="18" customHeight="1" x14ac:dyDescent="0.25">
      <c r="D271" s="3"/>
      <c r="F271" s="3"/>
      <c r="G271" s="32"/>
      <c r="H271" s="32"/>
      <c r="I271" s="32"/>
      <c r="J271" s="32"/>
      <c r="K271" s="3"/>
      <c r="L271" s="3"/>
      <c r="M271" s="3"/>
    </row>
    <row r="272" spans="4:13" ht="18" customHeight="1" x14ac:dyDescent="0.25">
      <c r="D272" s="3"/>
      <c r="F272" s="3"/>
      <c r="G272" s="32"/>
      <c r="H272" s="32"/>
      <c r="I272" s="32"/>
      <c r="J272" s="32"/>
      <c r="K272" s="3"/>
      <c r="L272" s="3"/>
      <c r="M272" s="3"/>
    </row>
    <row r="273" spans="4:13" ht="18" customHeight="1" x14ac:dyDescent="0.25">
      <c r="D273" s="3"/>
      <c r="F273" s="3"/>
      <c r="G273" s="32"/>
      <c r="H273" s="32"/>
      <c r="I273" s="32"/>
      <c r="J273" s="32"/>
      <c r="K273" s="3"/>
      <c r="L273" s="3"/>
      <c r="M273" s="3"/>
    </row>
    <row r="274" spans="4:13" ht="18" customHeight="1" x14ac:dyDescent="0.25">
      <c r="D274" s="3"/>
      <c r="F274" s="3"/>
      <c r="G274" s="32"/>
      <c r="H274" s="32"/>
      <c r="I274" s="32"/>
      <c r="J274" s="32"/>
      <c r="K274" s="3"/>
      <c r="L274" s="3"/>
      <c r="M274" s="3"/>
    </row>
    <row r="275" spans="4:13" ht="18" customHeight="1" x14ac:dyDescent="0.25">
      <c r="D275" s="3"/>
      <c r="F275" s="3"/>
      <c r="G275" s="32"/>
      <c r="H275" s="32"/>
      <c r="I275" s="32"/>
      <c r="J275" s="32"/>
      <c r="K275" s="3"/>
      <c r="L275" s="3"/>
      <c r="M275" s="3"/>
    </row>
    <row r="276" spans="4:13" ht="18" customHeight="1" x14ac:dyDescent="0.25">
      <c r="D276" s="3"/>
      <c r="F276" s="3"/>
      <c r="G276" s="32"/>
      <c r="H276" s="32"/>
      <c r="I276" s="32"/>
      <c r="J276" s="32"/>
      <c r="K276" s="3"/>
      <c r="L276" s="3"/>
      <c r="M276" s="3"/>
    </row>
    <row r="277" spans="4:13" ht="18" customHeight="1" x14ac:dyDescent="0.25">
      <c r="D277" s="3"/>
      <c r="F277" s="3"/>
      <c r="G277" s="32"/>
      <c r="H277" s="32"/>
      <c r="I277" s="32"/>
      <c r="J277" s="32"/>
      <c r="K277" s="3"/>
      <c r="L277" s="3"/>
      <c r="M277" s="3"/>
    </row>
    <row r="278" spans="4:13" ht="18" customHeight="1" x14ac:dyDescent="0.25">
      <c r="D278" s="3"/>
      <c r="F278" s="3"/>
      <c r="G278" s="32"/>
      <c r="H278" s="32"/>
      <c r="I278" s="32"/>
      <c r="J278" s="32"/>
      <c r="K278" s="3"/>
      <c r="L278" s="3"/>
      <c r="M278" s="3"/>
    </row>
    <row r="279" spans="4:13" ht="18" customHeight="1" x14ac:dyDescent="0.25">
      <c r="D279" s="3"/>
      <c r="F279" s="3"/>
      <c r="G279" s="32"/>
      <c r="H279" s="32"/>
      <c r="I279" s="32"/>
      <c r="J279" s="32"/>
      <c r="K279" s="3"/>
      <c r="L279" s="3"/>
      <c r="M279" s="3"/>
    </row>
    <row r="280" spans="4:13" ht="18" customHeight="1" x14ac:dyDescent="0.25">
      <c r="D280" s="3"/>
      <c r="F280" s="3"/>
      <c r="G280" s="32"/>
      <c r="H280" s="32"/>
      <c r="I280" s="32"/>
      <c r="J280" s="32"/>
      <c r="K280" s="3"/>
      <c r="L280" s="3"/>
      <c r="M280" s="3"/>
    </row>
    <row r="281" spans="4:13" ht="18" customHeight="1" x14ac:dyDescent="0.25">
      <c r="D281" s="3"/>
      <c r="F281" s="3"/>
      <c r="G281" s="32"/>
      <c r="H281" s="32"/>
      <c r="I281" s="32"/>
      <c r="J281" s="32"/>
      <c r="K281" s="3"/>
      <c r="L281" s="3"/>
      <c r="M281" s="3"/>
    </row>
    <row r="282" spans="4:13" ht="18" customHeight="1" x14ac:dyDescent="0.25">
      <c r="D282" s="3"/>
      <c r="F282" s="3"/>
      <c r="G282" s="32"/>
      <c r="H282" s="32"/>
      <c r="I282" s="32"/>
      <c r="J282" s="32"/>
      <c r="K282" s="3"/>
      <c r="L282" s="3"/>
      <c r="M282" s="3"/>
    </row>
    <row r="283" spans="4:13" ht="18" customHeight="1" x14ac:dyDescent="0.25">
      <c r="D283" s="3"/>
      <c r="F283" s="3"/>
      <c r="G283" s="32"/>
      <c r="H283" s="32"/>
      <c r="I283" s="32"/>
      <c r="J283" s="32"/>
      <c r="K283" s="3"/>
      <c r="L283" s="3"/>
      <c r="M283" s="3"/>
    </row>
    <row r="284" spans="4:13" ht="18" customHeight="1" x14ac:dyDescent="0.25">
      <c r="D284" s="3"/>
      <c r="F284" s="3"/>
      <c r="G284" s="32"/>
      <c r="H284" s="32"/>
      <c r="I284" s="32"/>
      <c r="J284" s="32"/>
      <c r="K284" s="3"/>
      <c r="L284" s="3"/>
      <c r="M284" s="3"/>
    </row>
    <row r="285" spans="4:13" ht="18" customHeight="1" x14ac:dyDescent="0.25">
      <c r="D285" s="3"/>
      <c r="F285" s="3"/>
      <c r="G285" s="32"/>
      <c r="H285" s="32"/>
      <c r="I285" s="32"/>
      <c r="J285" s="32"/>
      <c r="K285" s="3"/>
      <c r="L285" s="3"/>
      <c r="M285" s="3"/>
    </row>
    <row r="286" spans="4:13" ht="18" customHeight="1" x14ac:dyDescent="0.25">
      <c r="D286" s="3"/>
      <c r="F286" s="3"/>
      <c r="G286" s="32"/>
      <c r="H286" s="32"/>
      <c r="I286" s="32"/>
      <c r="J286" s="32"/>
      <c r="K286" s="3"/>
      <c r="L286" s="3"/>
      <c r="M286" s="3"/>
    </row>
    <row r="287" spans="4:13" ht="18" customHeight="1" x14ac:dyDescent="0.25">
      <c r="D287" s="3"/>
      <c r="F287" s="3"/>
      <c r="G287" s="32"/>
      <c r="H287" s="32"/>
      <c r="I287" s="32"/>
      <c r="J287" s="32"/>
      <c r="K287" s="3"/>
      <c r="L287" s="3"/>
      <c r="M287" s="3"/>
    </row>
    <row r="288" spans="4:13" ht="18" customHeight="1" x14ac:dyDescent="0.25">
      <c r="D288" s="3"/>
      <c r="F288" s="3"/>
      <c r="G288" s="32"/>
      <c r="H288" s="32"/>
      <c r="I288" s="32"/>
      <c r="J288" s="32"/>
      <c r="K288" s="3"/>
      <c r="L288" s="3"/>
      <c r="M288" s="3"/>
    </row>
    <row r="289" spans="4:13" ht="18" customHeight="1" x14ac:dyDescent="0.25">
      <c r="D289" s="3"/>
      <c r="F289" s="3"/>
      <c r="G289" s="32"/>
      <c r="H289" s="32"/>
      <c r="I289" s="32"/>
      <c r="J289" s="32"/>
      <c r="K289" s="3"/>
      <c r="L289" s="3"/>
      <c r="M289" s="3"/>
    </row>
    <row r="290" spans="4:13" ht="18" customHeight="1" x14ac:dyDescent="0.25">
      <c r="D290" s="3"/>
      <c r="F290" s="3"/>
      <c r="G290" s="32"/>
      <c r="H290" s="32"/>
      <c r="I290" s="32"/>
      <c r="J290" s="32"/>
      <c r="K290" s="3"/>
      <c r="L290" s="3"/>
      <c r="M290" s="3"/>
    </row>
    <row r="291" spans="4:13" ht="18" customHeight="1" x14ac:dyDescent="0.25">
      <c r="D291" s="3"/>
      <c r="F291" s="3"/>
      <c r="G291" s="32"/>
      <c r="H291" s="32"/>
      <c r="I291" s="32"/>
      <c r="J291" s="32"/>
      <c r="K291" s="3"/>
      <c r="L291" s="3"/>
      <c r="M291" s="3"/>
    </row>
    <row r="292" spans="4:13" ht="18" customHeight="1" x14ac:dyDescent="0.25">
      <c r="D292" s="3"/>
      <c r="F292" s="3"/>
      <c r="G292" s="32"/>
      <c r="H292" s="32"/>
      <c r="I292" s="32"/>
      <c r="J292" s="32"/>
      <c r="K292" s="3"/>
      <c r="L292" s="3"/>
      <c r="M292" s="3"/>
    </row>
    <row r="293" spans="4:13" ht="18" customHeight="1" x14ac:dyDescent="0.25">
      <c r="D293" s="3"/>
      <c r="F293" s="3"/>
      <c r="G293" s="32"/>
      <c r="H293" s="32"/>
      <c r="I293" s="32"/>
      <c r="J293" s="32"/>
      <c r="K293" s="3"/>
      <c r="L293" s="3"/>
      <c r="M293" s="3"/>
    </row>
    <row r="294" spans="4:13" ht="18" customHeight="1" x14ac:dyDescent="0.25">
      <c r="D294" s="3"/>
      <c r="F294" s="3"/>
      <c r="G294" s="32"/>
      <c r="H294" s="32"/>
      <c r="I294" s="32"/>
      <c r="J294" s="32"/>
      <c r="K294" s="3"/>
      <c r="L294" s="3"/>
      <c r="M294" s="3"/>
    </row>
    <row r="295" spans="4:13" ht="18" customHeight="1" x14ac:dyDescent="0.25">
      <c r="D295" s="3"/>
      <c r="F295" s="3"/>
      <c r="G295" s="32"/>
      <c r="H295" s="32"/>
      <c r="I295" s="32"/>
      <c r="J295" s="32"/>
      <c r="K295" s="3"/>
      <c r="L295" s="3"/>
      <c r="M295" s="3"/>
    </row>
    <row r="296" spans="4:13" ht="18" customHeight="1" x14ac:dyDescent="0.25">
      <c r="D296" s="3"/>
      <c r="F296" s="3"/>
      <c r="G296" s="32"/>
      <c r="H296" s="32"/>
      <c r="I296" s="32"/>
      <c r="J296" s="32"/>
      <c r="K296" s="3"/>
      <c r="L296" s="3"/>
      <c r="M296" s="3"/>
    </row>
    <row r="297" spans="4:13" ht="18" customHeight="1" x14ac:dyDescent="0.25">
      <c r="D297" s="3"/>
      <c r="F297" s="3"/>
      <c r="G297" s="32"/>
      <c r="H297" s="32"/>
      <c r="I297" s="32"/>
      <c r="J297" s="32"/>
      <c r="K297" s="3"/>
      <c r="L297" s="3"/>
      <c r="M297" s="3"/>
    </row>
    <row r="298" spans="4:13" ht="18" customHeight="1" x14ac:dyDescent="0.25">
      <c r="D298" s="3"/>
      <c r="F298" s="3"/>
      <c r="G298" s="32"/>
      <c r="H298" s="32"/>
      <c r="I298" s="32"/>
      <c r="J298" s="32"/>
      <c r="K298" s="3"/>
      <c r="L298" s="3"/>
      <c r="M298" s="3"/>
    </row>
    <row r="299" spans="4:13" ht="18" customHeight="1" x14ac:dyDescent="0.25">
      <c r="D299" s="3"/>
      <c r="F299" s="3"/>
      <c r="G299" s="32"/>
      <c r="H299" s="32"/>
      <c r="I299" s="32"/>
      <c r="J299" s="32"/>
      <c r="K299" s="3"/>
      <c r="L299" s="3"/>
      <c r="M299" s="3"/>
    </row>
    <row r="300" spans="4:13" ht="18" customHeight="1" x14ac:dyDescent="0.25">
      <c r="D300" s="3"/>
      <c r="F300" s="3"/>
      <c r="G300" s="32"/>
      <c r="H300" s="32"/>
      <c r="I300" s="32"/>
      <c r="J300" s="32"/>
      <c r="K300" s="3"/>
      <c r="L300" s="3"/>
      <c r="M300" s="3"/>
    </row>
    <row r="301" spans="4:13" ht="18" customHeight="1" x14ac:dyDescent="0.25">
      <c r="D301" s="3"/>
      <c r="F301" s="3"/>
      <c r="G301" s="32"/>
      <c r="H301" s="32"/>
      <c r="I301" s="32"/>
      <c r="J301" s="32"/>
      <c r="K301" s="3"/>
      <c r="L301" s="3"/>
      <c r="M301" s="3"/>
    </row>
    <row r="302" spans="4:13" ht="18" customHeight="1" x14ac:dyDescent="0.25">
      <c r="D302" s="3"/>
      <c r="F302" s="3"/>
      <c r="G302" s="32"/>
      <c r="H302" s="32"/>
      <c r="I302" s="32"/>
      <c r="J302" s="32"/>
      <c r="K302" s="3"/>
      <c r="L302" s="3"/>
      <c r="M302" s="3"/>
    </row>
    <row r="303" spans="4:13" ht="18" customHeight="1" x14ac:dyDescent="0.25">
      <c r="D303" s="3"/>
      <c r="F303" s="3"/>
      <c r="G303" s="32"/>
      <c r="H303" s="32"/>
      <c r="I303" s="32"/>
      <c r="J303" s="32"/>
      <c r="K303" s="3"/>
      <c r="L303" s="3"/>
      <c r="M303" s="3"/>
    </row>
    <row r="304" spans="4:13" ht="18" customHeight="1" x14ac:dyDescent="0.25">
      <c r="D304" s="3"/>
      <c r="F304" s="3"/>
      <c r="G304" s="32"/>
      <c r="H304" s="32"/>
      <c r="I304" s="32"/>
      <c r="J304" s="32"/>
      <c r="K304" s="3"/>
      <c r="L304" s="3"/>
      <c r="M304" s="3"/>
    </row>
    <row r="305" spans="4:13" ht="18" customHeight="1" x14ac:dyDescent="0.25">
      <c r="D305" s="3"/>
      <c r="F305" s="3"/>
      <c r="G305" s="32"/>
      <c r="H305" s="32"/>
      <c r="I305" s="32"/>
      <c r="J305" s="32"/>
      <c r="K305" s="3"/>
      <c r="L305" s="3"/>
      <c r="M305" s="3"/>
    </row>
    <row r="306" spans="4:13" ht="18" customHeight="1" x14ac:dyDescent="0.25">
      <c r="D306" s="3"/>
      <c r="F306" s="3"/>
      <c r="G306" s="32"/>
      <c r="H306" s="32"/>
      <c r="I306" s="32"/>
      <c r="J306" s="32"/>
      <c r="K306" s="3"/>
      <c r="L306" s="3"/>
      <c r="M306" s="3"/>
    </row>
    <row r="307" spans="4:13" ht="18" customHeight="1" x14ac:dyDescent="0.25">
      <c r="D307" s="3"/>
      <c r="F307" s="3"/>
      <c r="G307" s="32"/>
      <c r="H307" s="32"/>
      <c r="I307" s="32"/>
      <c r="J307" s="32"/>
      <c r="K307" s="3"/>
      <c r="L307" s="3"/>
      <c r="M307" s="3"/>
    </row>
    <row r="308" spans="4:13" ht="18" customHeight="1" x14ac:dyDescent="0.25">
      <c r="D308" s="3"/>
      <c r="F308" s="3"/>
      <c r="G308" s="32"/>
      <c r="H308" s="32"/>
      <c r="I308" s="32"/>
      <c r="J308" s="32"/>
      <c r="K308" s="3"/>
      <c r="L308" s="3"/>
      <c r="M308" s="3"/>
    </row>
    <row r="309" spans="4:13" ht="18" customHeight="1" x14ac:dyDescent="0.25">
      <c r="D309" s="3"/>
      <c r="F309" s="3"/>
      <c r="G309" s="32"/>
      <c r="H309" s="32"/>
      <c r="I309" s="32"/>
      <c r="J309" s="32"/>
      <c r="K309" s="3"/>
      <c r="L309" s="3"/>
      <c r="M309" s="3"/>
    </row>
    <row r="310" spans="4:13" ht="18" customHeight="1" x14ac:dyDescent="0.25">
      <c r="D310" s="3"/>
      <c r="F310" s="3"/>
      <c r="G310" s="32"/>
      <c r="H310" s="32"/>
      <c r="I310" s="32"/>
      <c r="J310" s="32"/>
      <c r="K310" s="3"/>
      <c r="L310" s="3"/>
      <c r="M310" s="3"/>
    </row>
    <row r="311" spans="4:13" ht="18" customHeight="1" x14ac:dyDescent="0.25">
      <c r="D311" s="3"/>
      <c r="F311" s="3"/>
      <c r="G311" s="32"/>
      <c r="H311" s="32"/>
      <c r="I311" s="32"/>
      <c r="J311" s="32"/>
      <c r="K311" s="3"/>
      <c r="L311" s="3"/>
      <c r="M311" s="3"/>
    </row>
    <row r="312" spans="4:13" ht="18" customHeight="1" x14ac:dyDescent="0.25">
      <c r="D312" s="3"/>
      <c r="F312" s="3"/>
      <c r="G312" s="32"/>
      <c r="H312" s="32"/>
      <c r="I312" s="32"/>
      <c r="J312" s="32"/>
      <c r="K312" s="3"/>
      <c r="L312" s="3"/>
      <c r="M312" s="3"/>
    </row>
    <row r="313" spans="4:13" ht="18" customHeight="1" x14ac:dyDescent="0.25">
      <c r="D313" s="3"/>
      <c r="F313" s="3"/>
      <c r="G313" s="32"/>
      <c r="H313" s="32"/>
      <c r="I313" s="32"/>
      <c r="J313" s="32"/>
      <c r="K313" s="3"/>
      <c r="L313" s="3"/>
      <c r="M313" s="3"/>
    </row>
    <row r="314" spans="4:13" ht="18" customHeight="1" x14ac:dyDescent="0.25">
      <c r="D314" s="3"/>
      <c r="F314" s="3"/>
      <c r="G314" s="32"/>
      <c r="H314" s="32"/>
      <c r="I314" s="32"/>
      <c r="J314" s="32"/>
      <c r="K314" s="3"/>
      <c r="L314" s="3"/>
      <c r="M314" s="3"/>
    </row>
    <row r="315" spans="4:13" ht="18" customHeight="1" x14ac:dyDescent="0.25">
      <c r="D315" s="3"/>
      <c r="F315" s="3"/>
      <c r="G315" s="32"/>
      <c r="H315" s="32"/>
      <c r="I315" s="32"/>
      <c r="J315" s="32"/>
      <c r="K315" s="3"/>
      <c r="L315" s="3"/>
      <c r="M315" s="3"/>
    </row>
    <row r="316" spans="4:13" ht="18" customHeight="1" x14ac:dyDescent="0.25">
      <c r="D316" s="3"/>
      <c r="F316" s="3"/>
      <c r="G316" s="32"/>
      <c r="H316" s="32"/>
      <c r="I316" s="32"/>
      <c r="J316" s="32"/>
      <c r="K316" s="3"/>
      <c r="L316" s="3"/>
      <c r="M316" s="3"/>
    </row>
    <row r="317" spans="4:13" ht="18" customHeight="1" x14ac:dyDescent="0.25">
      <c r="D317" s="3"/>
      <c r="F317" s="3"/>
      <c r="G317" s="32"/>
      <c r="H317" s="32"/>
      <c r="I317" s="32"/>
      <c r="J317" s="32"/>
      <c r="K317" s="3"/>
      <c r="L317" s="3"/>
      <c r="M317" s="3"/>
    </row>
    <row r="318" spans="4:13" ht="18" customHeight="1" x14ac:dyDescent="0.25">
      <c r="D318" s="3"/>
      <c r="F318" s="3"/>
      <c r="G318" s="32"/>
      <c r="H318" s="32"/>
      <c r="I318" s="32"/>
      <c r="J318" s="32"/>
      <c r="K318" s="3"/>
      <c r="L318" s="3"/>
      <c r="M318" s="3"/>
    </row>
    <row r="319" spans="4:13" ht="18" customHeight="1" x14ac:dyDescent="0.25">
      <c r="D319" s="3"/>
      <c r="F319" s="3"/>
      <c r="G319" s="32"/>
      <c r="H319" s="32"/>
      <c r="I319" s="32"/>
      <c r="J319" s="32"/>
      <c r="K319" s="3"/>
      <c r="L319" s="3"/>
      <c r="M319" s="3"/>
    </row>
    <row r="320" spans="4:13" ht="18" customHeight="1" x14ac:dyDescent="0.25">
      <c r="D320" s="3"/>
      <c r="F320" s="3"/>
      <c r="G320" s="32"/>
      <c r="H320" s="32"/>
      <c r="I320" s="32"/>
      <c r="J320" s="32"/>
      <c r="K320" s="3"/>
      <c r="L320" s="3"/>
      <c r="M320" s="3"/>
    </row>
    <row r="321" spans="4:13" ht="18" customHeight="1" x14ac:dyDescent="0.25">
      <c r="D321" s="3"/>
      <c r="F321" s="3"/>
      <c r="G321" s="32"/>
      <c r="H321" s="32"/>
      <c r="I321" s="32"/>
      <c r="J321" s="32"/>
      <c r="K321" s="3"/>
      <c r="L321" s="3"/>
      <c r="M321" s="3"/>
    </row>
    <row r="322" spans="4:13" ht="18" customHeight="1" x14ac:dyDescent="0.25">
      <c r="D322" s="3"/>
      <c r="F322" s="3"/>
      <c r="G322" s="32"/>
      <c r="H322" s="32"/>
      <c r="I322" s="32"/>
      <c r="J322" s="32"/>
      <c r="K322" s="3"/>
      <c r="L322" s="3"/>
      <c r="M322" s="3"/>
    </row>
    <row r="323" spans="4:13" ht="18" customHeight="1" x14ac:dyDescent="0.25">
      <c r="D323" s="3"/>
      <c r="F323" s="3"/>
      <c r="G323" s="32"/>
      <c r="H323" s="32"/>
      <c r="I323" s="32"/>
      <c r="J323" s="32"/>
      <c r="K323" s="3"/>
      <c r="L323" s="3"/>
      <c r="M323" s="3"/>
    </row>
    <row r="324" spans="4:13" ht="18" customHeight="1" x14ac:dyDescent="0.25">
      <c r="D324" s="3"/>
      <c r="F324" s="3"/>
      <c r="G324" s="32"/>
      <c r="H324" s="32"/>
      <c r="I324" s="32"/>
      <c r="J324" s="32"/>
      <c r="K324" s="3"/>
      <c r="L324" s="3"/>
      <c r="M324" s="3"/>
    </row>
    <row r="325" spans="4:13" ht="18" customHeight="1" x14ac:dyDescent="0.25">
      <c r="D325" s="3"/>
      <c r="F325" s="3"/>
      <c r="G325" s="32"/>
      <c r="H325" s="32"/>
      <c r="I325" s="32"/>
      <c r="J325" s="32"/>
      <c r="K325" s="3"/>
      <c r="L325" s="3"/>
      <c r="M325" s="3"/>
    </row>
    <row r="326" spans="4:13" ht="18" customHeight="1" x14ac:dyDescent="0.25">
      <c r="D326" s="3"/>
      <c r="F326" s="3"/>
      <c r="G326" s="32"/>
      <c r="H326" s="32"/>
      <c r="I326" s="32"/>
      <c r="J326" s="32"/>
      <c r="K326" s="3"/>
      <c r="L326" s="3"/>
      <c r="M326" s="3"/>
    </row>
    <row r="327" spans="4:13" ht="18" customHeight="1" x14ac:dyDescent="0.25">
      <c r="D327" s="3"/>
      <c r="F327" s="3"/>
      <c r="G327" s="32"/>
      <c r="H327" s="32"/>
      <c r="I327" s="32"/>
      <c r="J327" s="32"/>
      <c r="K327" s="3"/>
      <c r="L327" s="3"/>
      <c r="M327" s="3"/>
    </row>
    <row r="328" spans="4:13" ht="18" customHeight="1" x14ac:dyDescent="0.25">
      <c r="D328" s="3"/>
      <c r="F328" s="3"/>
      <c r="G328" s="32"/>
      <c r="H328" s="32"/>
      <c r="I328" s="32"/>
      <c r="J328" s="32"/>
      <c r="K328" s="3"/>
      <c r="L328" s="3"/>
      <c r="M328" s="3"/>
    </row>
    <row r="329" spans="4:13" ht="18" customHeight="1" x14ac:dyDescent="0.25">
      <c r="D329" s="3"/>
      <c r="F329" s="3"/>
      <c r="G329" s="32"/>
      <c r="H329" s="32"/>
      <c r="I329" s="32"/>
      <c r="J329" s="32"/>
      <c r="K329" s="3"/>
      <c r="L329" s="3"/>
      <c r="M329" s="3"/>
    </row>
    <row r="330" spans="4:13" ht="18" customHeight="1" x14ac:dyDescent="0.25">
      <c r="D330" s="3"/>
      <c r="F330" s="3"/>
      <c r="G330" s="32"/>
      <c r="H330" s="32"/>
      <c r="I330" s="32"/>
      <c r="J330" s="32"/>
      <c r="K330" s="3"/>
      <c r="L330" s="3"/>
      <c r="M330" s="3"/>
    </row>
    <row r="331" spans="4:13" ht="18" customHeight="1" x14ac:dyDescent="0.25">
      <c r="D331" s="3"/>
      <c r="F331" s="3"/>
      <c r="G331" s="32"/>
      <c r="H331" s="32"/>
      <c r="I331" s="32"/>
      <c r="J331" s="32"/>
      <c r="K331" s="3"/>
      <c r="L331" s="3"/>
      <c r="M331" s="3"/>
    </row>
    <row r="332" spans="4:13" ht="18" customHeight="1" x14ac:dyDescent="0.25">
      <c r="D332" s="3"/>
      <c r="F332" s="3"/>
      <c r="G332" s="32"/>
      <c r="H332" s="32"/>
      <c r="I332" s="32"/>
      <c r="J332" s="32"/>
      <c r="K332" s="3"/>
      <c r="L332" s="3"/>
      <c r="M332" s="3"/>
    </row>
    <row r="333" spans="4:13" ht="18" customHeight="1" x14ac:dyDescent="0.25">
      <c r="D333" s="3"/>
      <c r="F333" s="3"/>
      <c r="G333" s="32"/>
      <c r="H333" s="32"/>
      <c r="I333" s="32"/>
      <c r="J333" s="32"/>
      <c r="K333" s="3"/>
      <c r="L333" s="3"/>
      <c r="M333" s="3"/>
    </row>
    <row r="334" spans="4:13" ht="18" customHeight="1" x14ac:dyDescent="0.25">
      <c r="D334" s="3"/>
      <c r="F334" s="3"/>
      <c r="G334" s="32"/>
      <c r="H334" s="32"/>
      <c r="I334" s="32"/>
      <c r="J334" s="32"/>
      <c r="K334" s="3"/>
      <c r="L334" s="3"/>
      <c r="M334" s="3"/>
    </row>
    <row r="335" spans="4:13" ht="18" customHeight="1" x14ac:dyDescent="0.25">
      <c r="D335" s="3"/>
      <c r="F335" s="3"/>
      <c r="G335" s="32"/>
      <c r="H335" s="32"/>
      <c r="I335" s="32"/>
      <c r="J335" s="32"/>
      <c r="K335" s="3"/>
      <c r="L335" s="3"/>
      <c r="M335" s="3"/>
    </row>
    <row r="336" spans="4:13" ht="18" customHeight="1" x14ac:dyDescent="0.25">
      <c r="D336" s="3"/>
      <c r="F336" s="3"/>
      <c r="G336" s="32"/>
      <c r="H336" s="32"/>
      <c r="I336" s="32"/>
      <c r="J336" s="32"/>
      <c r="K336" s="3"/>
      <c r="L336" s="3"/>
      <c r="M336" s="3"/>
    </row>
    <row r="337" spans="4:13" ht="18" customHeight="1" x14ac:dyDescent="0.25">
      <c r="D337" s="3"/>
      <c r="F337" s="3"/>
      <c r="G337" s="32"/>
      <c r="H337" s="32"/>
      <c r="I337" s="32"/>
      <c r="J337" s="32"/>
      <c r="K337" s="3"/>
      <c r="L337" s="3"/>
      <c r="M337" s="3"/>
    </row>
    <row r="338" spans="4:13" ht="18" customHeight="1" x14ac:dyDescent="0.25">
      <c r="D338" s="3"/>
      <c r="F338" s="3"/>
      <c r="G338" s="32"/>
      <c r="H338" s="32"/>
      <c r="I338" s="32"/>
      <c r="J338" s="32"/>
      <c r="K338" s="3"/>
      <c r="L338" s="3"/>
      <c r="M338" s="3"/>
    </row>
    <row r="339" spans="4:13" ht="18" customHeight="1" x14ac:dyDescent="0.25">
      <c r="D339" s="3"/>
      <c r="F339" s="3"/>
      <c r="G339" s="32"/>
      <c r="H339" s="32"/>
      <c r="I339" s="32"/>
      <c r="J339" s="32"/>
      <c r="K339" s="3"/>
      <c r="L339" s="3"/>
      <c r="M339" s="3"/>
    </row>
    <row r="340" spans="4:13" ht="18" customHeight="1" x14ac:dyDescent="0.25">
      <c r="D340" s="3"/>
      <c r="F340" s="3"/>
      <c r="G340" s="32"/>
      <c r="H340" s="32"/>
      <c r="I340" s="32"/>
      <c r="J340" s="32"/>
      <c r="K340" s="3"/>
      <c r="L340" s="3"/>
      <c r="M340" s="3"/>
    </row>
    <row r="341" spans="4:13" ht="18" customHeight="1" x14ac:dyDescent="0.25">
      <c r="D341" s="3"/>
      <c r="F341" s="3"/>
      <c r="G341" s="32"/>
      <c r="H341" s="32"/>
      <c r="I341" s="32"/>
      <c r="J341" s="32"/>
      <c r="K341" s="3"/>
      <c r="L341" s="3"/>
      <c r="M341" s="3"/>
    </row>
    <row r="342" spans="4:13" ht="18" customHeight="1" x14ac:dyDescent="0.25">
      <c r="D342" s="3"/>
      <c r="F342" s="3"/>
      <c r="G342" s="32"/>
      <c r="H342" s="32"/>
      <c r="I342" s="32"/>
      <c r="J342" s="32"/>
      <c r="K342" s="3"/>
      <c r="L342" s="3"/>
      <c r="M342" s="3"/>
    </row>
    <row r="343" spans="4:13" ht="18" customHeight="1" x14ac:dyDescent="0.25">
      <c r="D343" s="3"/>
      <c r="F343" s="3"/>
      <c r="G343" s="32"/>
      <c r="H343" s="32"/>
      <c r="I343" s="32"/>
      <c r="J343" s="32"/>
      <c r="K343" s="3"/>
      <c r="L343" s="3"/>
      <c r="M343" s="3"/>
    </row>
    <row r="344" spans="4:13" ht="18" customHeight="1" x14ac:dyDescent="0.25">
      <c r="D344" s="3"/>
      <c r="F344" s="3"/>
      <c r="G344" s="32"/>
      <c r="H344" s="32"/>
      <c r="I344" s="32"/>
      <c r="J344" s="32"/>
      <c r="K344" s="3"/>
      <c r="L344" s="3"/>
      <c r="M344" s="3"/>
    </row>
    <row r="345" spans="4:13" ht="18" customHeight="1" x14ac:dyDescent="0.25">
      <c r="D345" s="3"/>
      <c r="F345" s="3"/>
      <c r="G345" s="32"/>
      <c r="H345" s="32"/>
      <c r="I345" s="32"/>
      <c r="J345" s="32"/>
      <c r="K345" s="3"/>
      <c r="L345" s="3"/>
      <c r="M345" s="3"/>
    </row>
    <row r="346" spans="4:13" ht="18" customHeight="1" x14ac:dyDescent="0.25">
      <c r="D346" s="3"/>
      <c r="F346" s="3"/>
      <c r="G346" s="32"/>
      <c r="H346" s="32"/>
      <c r="I346" s="32"/>
      <c r="J346" s="32"/>
      <c r="K346" s="3"/>
      <c r="L346" s="3"/>
      <c r="M346" s="3"/>
    </row>
    <row r="347" spans="4:13" ht="18" customHeight="1" x14ac:dyDescent="0.25">
      <c r="D347" s="3"/>
      <c r="F347" s="3"/>
      <c r="G347" s="32"/>
      <c r="H347" s="32"/>
      <c r="I347" s="32"/>
      <c r="J347" s="32"/>
      <c r="K347" s="3"/>
      <c r="L347" s="3"/>
      <c r="M347" s="3"/>
    </row>
    <row r="348" spans="4:13" ht="18" customHeight="1" x14ac:dyDescent="0.25">
      <c r="D348" s="3"/>
      <c r="F348" s="3"/>
      <c r="G348" s="32"/>
      <c r="H348" s="32"/>
      <c r="I348" s="32"/>
      <c r="J348" s="32"/>
      <c r="K348" s="3"/>
      <c r="L348" s="3"/>
      <c r="M348" s="3"/>
    </row>
    <row r="349" spans="4:13" ht="18" customHeight="1" x14ac:dyDescent="0.25">
      <c r="D349" s="3"/>
      <c r="F349" s="3"/>
      <c r="G349" s="32"/>
      <c r="H349" s="32"/>
      <c r="I349" s="32"/>
      <c r="J349" s="32"/>
      <c r="K349" s="3"/>
      <c r="L349" s="3"/>
      <c r="M349" s="3"/>
    </row>
    <row r="350" spans="4:13" ht="18" customHeight="1" x14ac:dyDescent="0.25">
      <c r="D350" s="3"/>
      <c r="F350" s="3"/>
      <c r="G350" s="32"/>
      <c r="H350" s="32"/>
      <c r="I350" s="32"/>
      <c r="J350" s="32"/>
      <c r="K350" s="3"/>
      <c r="L350" s="3"/>
      <c r="M350" s="3"/>
    </row>
    <row r="351" spans="4:13" ht="18" customHeight="1" x14ac:dyDescent="0.25">
      <c r="D351" s="3"/>
      <c r="F351" s="3"/>
      <c r="G351" s="32"/>
      <c r="H351" s="32"/>
      <c r="I351" s="32"/>
      <c r="J351" s="32"/>
      <c r="K351" s="3"/>
      <c r="L351" s="3"/>
      <c r="M351" s="3"/>
    </row>
    <row r="352" spans="4:13" ht="18" customHeight="1" x14ac:dyDescent="0.25">
      <c r="D352" s="3"/>
      <c r="F352" s="3"/>
      <c r="G352" s="32"/>
      <c r="H352" s="32"/>
      <c r="I352" s="32"/>
      <c r="J352" s="32"/>
      <c r="K352" s="3"/>
      <c r="L352" s="3"/>
      <c r="M352" s="3"/>
    </row>
    <row r="353" spans="4:13" ht="18" customHeight="1" x14ac:dyDescent="0.25">
      <c r="D353" s="3"/>
      <c r="F353" s="3"/>
      <c r="G353" s="32"/>
      <c r="H353" s="32"/>
      <c r="I353" s="32"/>
      <c r="J353" s="32"/>
      <c r="K353" s="3"/>
      <c r="L353" s="3"/>
      <c r="M353" s="3"/>
    </row>
    <row r="354" spans="4:13" ht="18" customHeight="1" x14ac:dyDescent="0.25">
      <c r="D354" s="3"/>
      <c r="F354" s="3"/>
      <c r="G354" s="32"/>
      <c r="H354" s="32"/>
      <c r="I354" s="32"/>
      <c r="J354" s="32"/>
      <c r="K354" s="3"/>
      <c r="L354" s="3"/>
      <c r="M354" s="3"/>
    </row>
    <row r="355" spans="4:13" ht="18" customHeight="1" x14ac:dyDescent="0.25">
      <c r="D355" s="3"/>
      <c r="F355" s="3"/>
      <c r="G355" s="32"/>
      <c r="H355" s="32"/>
      <c r="I355" s="32"/>
      <c r="J355" s="32"/>
      <c r="K355" s="3"/>
      <c r="L355" s="3"/>
      <c r="M355" s="3"/>
    </row>
    <row r="356" spans="4:13" ht="18" customHeight="1" x14ac:dyDescent="0.25">
      <c r="D356" s="3"/>
      <c r="F356" s="3"/>
      <c r="G356" s="32"/>
      <c r="H356" s="32"/>
      <c r="I356" s="32"/>
      <c r="J356" s="32"/>
      <c r="K356" s="3"/>
      <c r="L356" s="3"/>
      <c r="M356" s="3"/>
    </row>
    <row r="357" spans="4:13" ht="18" customHeight="1" x14ac:dyDescent="0.25">
      <c r="D357" s="3"/>
      <c r="F357" s="3"/>
      <c r="G357" s="32"/>
      <c r="H357" s="32"/>
      <c r="I357" s="32"/>
      <c r="J357" s="32"/>
      <c r="K357" s="3"/>
      <c r="L357" s="3"/>
      <c r="M357" s="3"/>
    </row>
    <row r="358" spans="4:13" ht="18" customHeight="1" x14ac:dyDescent="0.25">
      <c r="D358" s="3"/>
      <c r="F358" s="3"/>
      <c r="G358" s="32"/>
      <c r="H358" s="32"/>
      <c r="I358" s="32"/>
      <c r="J358" s="32"/>
      <c r="K358" s="3"/>
      <c r="L358" s="3"/>
      <c r="M358" s="3"/>
    </row>
    <row r="359" spans="4:13" ht="18" customHeight="1" x14ac:dyDescent="0.25">
      <c r="D359" s="3"/>
      <c r="F359" s="3"/>
      <c r="G359" s="32"/>
      <c r="H359" s="32"/>
      <c r="I359" s="32"/>
      <c r="J359" s="32"/>
      <c r="K359" s="3"/>
      <c r="L359" s="3"/>
      <c r="M359" s="3"/>
    </row>
    <row r="360" spans="4:13" ht="18" customHeight="1" x14ac:dyDescent="0.25">
      <c r="D360" s="3"/>
      <c r="F360" s="3"/>
      <c r="G360" s="32"/>
      <c r="H360" s="32"/>
      <c r="I360" s="32"/>
      <c r="J360" s="32"/>
      <c r="K360" s="3"/>
      <c r="L360" s="3"/>
      <c r="M360" s="3"/>
    </row>
    <row r="361" spans="4:13" ht="18" customHeight="1" x14ac:dyDescent="0.25">
      <c r="D361" s="3"/>
      <c r="F361" s="3"/>
      <c r="G361" s="32"/>
      <c r="H361" s="32"/>
      <c r="I361" s="32"/>
      <c r="J361" s="32"/>
      <c r="K361" s="3"/>
      <c r="L361" s="3"/>
      <c r="M361" s="3"/>
    </row>
    <row r="362" spans="4:13" ht="18" customHeight="1" x14ac:dyDescent="0.25">
      <c r="D362" s="3"/>
      <c r="F362" s="3"/>
      <c r="G362" s="32"/>
      <c r="H362" s="32"/>
      <c r="I362" s="32"/>
      <c r="J362" s="32"/>
      <c r="K362" s="3"/>
      <c r="L362" s="3"/>
      <c r="M362" s="3"/>
    </row>
    <row r="363" spans="4:13" ht="18" customHeight="1" x14ac:dyDescent="0.25">
      <c r="D363" s="3"/>
      <c r="F363" s="3"/>
      <c r="G363" s="32"/>
      <c r="H363" s="32"/>
      <c r="I363" s="32"/>
      <c r="J363" s="32"/>
      <c r="K363" s="3"/>
      <c r="L363" s="3"/>
      <c r="M363" s="3"/>
    </row>
    <row r="364" spans="4:13" ht="18" customHeight="1" x14ac:dyDescent="0.25">
      <c r="D364" s="3"/>
      <c r="F364" s="3"/>
      <c r="G364" s="32"/>
      <c r="H364" s="32"/>
      <c r="I364" s="32"/>
      <c r="J364" s="32"/>
      <c r="K364" s="3"/>
      <c r="L364" s="3"/>
      <c r="M364" s="3"/>
    </row>
    <row r="365" spans="4:13" ht="18" customHeight="1" x14ac:dyDescent="0.25">
      <c r="D365" s="3"/>
      <c r="F365" s="3"/>
      <c r="G365" s="32"/>
      <c r="H365" s="32"/>
      <c r="I365" s="32"/>
      <c r="J365" s="32"/>
      <c r="K365" s="3"/>
      <c r="L365" s="3"/>
      <c r="M365" s="3"/>
    </row>
    <row r="366" spans="4:13" ht="18" customHeight="1" x14ac:dyDescent="0.25">
      <c r="D366" s="3"/>
      <c r="F366" s="3"/>
      <c r="G366" s="32"/>
      <c r="H366" s="32"/>
      <c r="I366" s="32"/>
      <c r="J366" s="32"/>
      <c r="K366" s="3"/>
      <c r="L366" s="3"/>
      <c r="M366" s="3"/>
    </row>
    <row r="367" spans="4:13" ht="18" customHeight="1" x14ac:dyDescent="0.25">
      <c r="D367" s="3"/>
      <c r="F367" s="3"/>
      <c r="G367" s="32"/>
      <c r="H367" s="32"/>
      <c r="I367" s="32"/>
      <c r="J367" s="32"/>
      <c r="K367" s="3"/>
      <c r="L367" s="3"/>
      <c r="M367" s="3"/>
    </row>
    <row r="368" spans="4:13" ht="18" customHeight="1" x14ac:dyDescent="0.25">
      <c r="D368" s="3"/>
      <c r="F368" s="3"/>
      <c r="G368" s="32"/>
      <c r="H368" s="32"/>
      <c r="I368" s="32"/>
      <c r="J368" s="32"/>
      <c r="K368" s="3"/>
      <c r="L368" s="3"/>
      <c r="M368" s="3"/>
    </row>
    <row r="369" spans="4:13" ht="18" customHeight="1" x14ac:dyDescent="0.25">
      <c r="D369" s="3"/>
      <c r="F369" s="3"/>
      <c r="G369" s="32"/>
      <c r="H369" s="32"/>
      <c r="I369" s="32"/>
      <c r="J369" s="32"/>
      <c r="K369" s="3"/>
      <c r="L369" s="3"/>
      <c r="M369" s="3"/>
    </row>
    <row r="370" spans="4:13" ht="18" customHeight="1" x14ac:dyDescent="0.25">
      <c r="D370" s="3"/>
      <c r="F370" s="3"/>
      <c r="G370" s="32"/>
      <c r="H370" s="32"/>
      <c r="I370" s="32"/>
      <c r="J370" s="32"/>
      <c r="K370" s="3"/>
      <c r="L370" s="3"/>
      <c r="M370" s="3"/>
    </row>
    <row r="371" spans="4:13" ht="18" customHeight="1" x14ac:dyDescent="0.25">
      <c r="D371" s="3"/>
      <c r="F371" s="3"/>
      <c r="G371" s="32"/>
      <c r="H371" s="32"/>
      <c r="I371" s="32"/>
      <c r="J371" s="32"/>
      <c r="K371" s="3"/>
      <c r="L371" s="3"/>
      <c r="M371" s="3"/>
    </row>
    <row r="372" spans="4:13" ht="18" customHeight="1" x14ac:dyDescent="0.25">
      <c r="D372" s="3"/>
      <c r="F372" s="3"/>
      <c r="G372" s="32"/>
      <c r="H372" s="32"/>
      <c r="I372" s="32"/>
      <c r="J372" s="32"/>
      <c r="K372" s="3"/>
      <c r="L372" s="3"/>
      <c r="M372" s="3"/>
    </row>
    <row r="373" spans="4:13" ht="18" customHeight="1" x14ac:dyDescent="0.25">
      <c r="D373" s="3"/>
      <c r="F373" s="3"/>
      <c r="G373" s="32"/>
      <c r="H373" s="32"/>
      <c r="I373" s="32"/>
      <c r="J373" s="32"/>
      <c r="K373" s="3"/>
      <c r="L373" s="3"/>
      <c r="M373" s="3"/>
    </row>
    <row r="374" spans="4:13" ht="18" customHeight="1" x14ac:dyDescent="0.25">
      <c r="D374" s="3"/>
      <c r="F374" s="3"/>
      <c r="G374" s="32"/>
      <c r="H374" s="32"/>
      <c r="I374" s="32"/>
      <c r="J374" s="32"/>
      <c r="K374" s="3"/>
      <c r="L374" s="3"/>
      <c r="M374" s="3"/>
    </row>
    <row r="375" spans="4:13" ht="18" customHeight="1" x14ac:dyDescent="0.25">
      <c r="D375" s="3"/>
      <c r="F375" s="3"/>
      <c r="G375" s="32"/>
      <c r="H375" s="32"/>
      <c r="I375" s="32"/>
      <c r="J375" s="32"/>
      <c r="K375" s="3"/>
      <c r="L375" s="3"/>
      <c r="M375" s="3"/>
    </row>
    <row r="376" spans="4:13" ht="18" customHeight="1" x14ac:dyDescent="0.25">
      <c r="D376" s="3"/>
      <c r="F376" s="3"/>
      <c r="G376" s="32"/>
      <c r="H376" s="32"/>
      <c r="I376" s="32"/>
      <c r="J376" s="32"/>
      <c r="K376" s="3"/>
      <c r="L376" s="3"/>
      <c r="M376" s="3"/>
    </row>
    <row r="377" spans="4:13" ht="18" customHeight="1" x14ac:dyDescent="0.25">
      <c r="D377" s="3"/>
      <c r="F377" s="3"/>
      <c r="G377" s="32"/>
      <c r="H377" s="32"/>
      <c r="I377" s="32"/>
      <c r="J377" s="32"/>
      <c r="K377" s="3"/>
      <c r="L377" s="3"/>
      <c r="M377" s="3"/>
    </row>
    <row r="378" spans="4:13" ht="18" customHeight="1" x14ac:dyDescent="0.25">
      <c r="D378" s="3"/>
      <c r="F378" s="3"/>
      <c r="G378" s="32"/>
      <c r="H378" s="32"/>
      <c r="I378" s="32"/>
      <c r="J378" s="32"/>
      <c r="K378" s="3"/>
      <c r="L378" s="3"/>
      <c r="M378" s="3"/>
    </row>
    <row r="379" spans="4:13" ht="18" customHeight="1" x14ac:dyDescent="0.25">
      <c r="D379" s="3"/>
      <c r="F379" s="3"/>
      <c r="G379" s="32"/>
      <c r="H379" s="32"/>
      <c r="I379" s="32"/>
      <c r="J379" s="32"/>
      <c r="K379" s="3"/>
      <c r="L379" s="3"/>
      <c r="M379" s="3"/>
    </row>
    <row r="380" spans="4:13" ht="18" customHeight="1" x14ac:dyDescent="0.25">
      <c r="D380" s="3"/>
      <c r="F380" s="3"/>
      <c r="G380" s="32"/>
      <c r="H380" s="32"/>
      <c r="I380" s="32"/>
      <c r="J380" s="32"/>
      <c r="K380" s="3"/>
      <c r="L380" s="3"/>
      <c r="M380" s="3"/>
    </row>
    <row r="381" spans="4:13" ht="18" customHeight="1" x14ac:dyDescent="0.25">
      <c r="D381" s="3"/>
      <c r="F381" s="3"/>
      <c r="G381" s="32"/>
      <c r="H381" s="32"/>
      <c r="I381" s="32"/>
      <c r="J381" s="32"/>
      <c r="K381" s="3"/>
      <c r="L381" s="3"/>
      <c r="M381" s="3"/>
    </row>
    <row r="382" spans="4:13" ht="18" customHeight="1" x14ac:dyDescent="0.25">
      <c r="D382" s="3"/>
      <c r="F382" s="3"/>
      <c r="G382" s="32"/>
      <c r="H382" s="32"/>
      <c r="I382" s="32"/>
      <c r="J382" s="32"/>
      <c r="K382" s="3"/>
      <c r="L382" s="3"/>
      <c r="M382" s="3"/>
    </row>
    <row r="383" spans="4:13" ht="18" customHeight="1" x14ac:dyDescent="0.25">
      <c r="D383" s="3"/>
      <c r="F383" s="3"/>
      <c r="G383" s="32"/>
      <c r="H383" s="32"/>
      <c r="I383" s="32"/>
      <c r="J383" s="32"/>
      <c r="K383" s="3"/>
      <c r="L383" s="3"/>
      <c r="M383" s="3"/>
    </row>
    <row r="384" spans="4:13" ht="18" customHeight="1" x14ac:dyDescent="0.25">
      <c r="D384" s="3"/>
      <c r="F384" s="3"/>
      <c r="G384" s="32"/>
      <c r="H384" s="32"/>
      <c r="I384" s="32"/>
      <c r="J384" s="32"/>
      <c r="K384" s="3"/>
      <c r="L384" s="3"/>
      <c r="M384" s="3"/>
    </row>
    <row r="385" spans="4:13" ht="18" customHeight="1" x14ac:dyDescent="0.25">
      <c r="D385" s="3"/>
      <c r="F385" s="3"/>
      <c r="G385" s="32"/>
      <c r="H385" s="32"/>
      <c r="I385" s="32"/>
      <c r="J385" s="32"/>
      <c r="K385" s="3"/>
      <c r="L385" s="3"/>
      <c r="M385" s="3"/>
    </row>
    <row r="386" spans="4:13" ht="18" customHeight="1" x14ac:dyDescent="0.25">
      <c r="D386" s="3"/>
      <c r="F386" s="3"/>
      <c r="G386" s="32"/>
      <c r="H386" s="32"/>
      <c r="I386" s="32"/>
      <c r="J386" s="32"/>
      <c r="K386" s="3"/>
      <c r="L386" s="3"/>
      <c r="M386" s="3"/>
    </row>
    <row r="387" spans="4:13" ht="18" customHeight="1" x14ac:dyDescent="0.25">
      <c r="D387" s="3"/>
      <c r="F387" s="3"/>
      <c r="G387" s="32"/>
      <c r="H387" s="32"/>
      <c r="I387" s="32"/>
      <c r="J387" s="32"/>
      <c r="K387" s="3"/>
      <c r="L387" s="3"/>
      <c r="M387" s="3"/>
    </row>
    <row r="388" spans="4:13" ht="18" customHeight="1" x14ac:dyDescent="0.25">
      <c r="D388" s="3"/>
      <c r="F388" s="3"/>
      <c r="G388" s="32"/>
      <c r="H388" s="32"/>
      <c r="I388" s="32"/>
      <c r="J388" s="32"/>
      <c r="K388" s="3"/>
      <c r="L388" s="3"/>
      <c r="M388" s="3"/>
    </row>
    <row r="389" spans="4:13" ht="18" customHeight="1" x14ac:dyDescent="0.25">
      <c r="D389" s="3"/>
      <c r="F389" s="3"/>
      <c r="G389" s="32"/>
      <c r="H389" s="32"/>
      <c r="I389" s="32"/>
      <c r="J389" s="32"/>
      <c r="K389" s="3"/>
      <c r="L389" s="3"/>
      <c r="M389" s="3"/>
    </row>
    <row r="390" spans="4:13" ht="18" customHeight="1" x14ac:dyDescent="0.25">
      <c r="D390" s="3"/>
      <c r="F390" s="3"/>
      <c r="G390" s="32"/>
      <c r="H390" s="32"/>
      <c r="I390" s="32"/>
      <c r="J390" s="32"/>
      <c r="K390" s="3"/>
      <c r="L390" s="3"/>
      <c r="M390" s="3"/>
    </row>
    <row r="391" spans="4:13" ht="18" customHeight="1" x14ac:dyDescent="0.25">
      <c r="D391" s="3"/>
      <c r="F391" s="3"/>
      <c r="G391" s="32"/>
      <c r="H391" s="32"/>
      <c r="I391" s="32"/>
      <c r="J391" s="32"/>
      <c r="K391" s="3"/>
      <c r="L391" s="3"/>
      <c r="M391" s="3"/>
    </row>
    <row r="392" spans="4:13" ht="18" customHeight="1" x14ac:dyDescent="0.25">
      <c r="D392" s="3"/>
      <c r="F392" s="3"/>
      <c r="G392" s="32"/>
      <c r="H392" s="32"/>
      <c r="I392" s="32"/>
      <c r="J392" s="32"/>
      <c r="K392" s="3"/>
      <c r="L392" s="3"/>
      <c r="M392" s="3"/>
    </row>
    <row r="393" spans="4:13" ht="18" customHeight="1" x14ac:dyDescent="0.25">
      <c r="D393" s="3"/>
      <c r="F393" s="3"/>
      <c r="G393" s="32"/>
      <c r="H393" s="32"/>
      <c r="I393" s="32"/>
      <c r="J393" s="32"/>
      <c r="K393" s="3"/>
      <c r="L393" s="3"/>
      <c r="M393" s="3"/>
    </row>
    <row r="394" spans="4:13" ht="18" customHeight="1" x14ac:dyDescent="0.25">
      <c r="D394" s="3"/>
      <c r="F394" s="3"/>
      <c r="G394" s="32"/>
      <c r="H394" s="32"/>
      <c r="I394" s="32"/>
      <c r="J394" s="32"/>
      <c r="K394" s="3"/>
      <c r="L394" s="3"/>
      <c r="M394" s="3"/>
    </row>
    <row r="395" spans="4:13" ht="18" customHeight="1" x14ac:dyDescent="0.25">
      <c r="D395" s="3"/>
      <c r="F395" s="3"/>
      <c r="G395" s="32"/>
      <c r="H395" s="32"/>
      <c r="I395" s="32"/>
      <c r="J395" s="32"/>
      <c r="K395" s="3"/>
      <c r="L395" s="3"/>
      <c r="M395" s="3"/>
    </row>
    <row r="396" spans="4:13" ht="18" customHeight="1" x14ac:dyDescent="0.25">
      <c r="D396" s="3"/>
      <c r="F396" s="3"/>
      <c r="G396" s="32"/>
      <c r="H396" s="32"/>
      <c r="I396" s="32"/>
      <c r="J396" s="32"/>
      <c r="K396" s="3"/>
      <c r="L396" s="3"/>
      <c r="M396" s="3"/>
    </row>
    <row r="397" spans="4:13" ht="18" customHeight="1" x14ac:dyDescent="0.25">
      <c r="D397" s="3"/>
      <c r="F397" s="3"/>
      <c r="G397" s="32"/>
      <c r="H397" s="32"/>
      <c r="I397" s="32"/>
      <c r="J397" s="32"/>
      <c r="K397" s="3"/>
      <c r="L397" s="3"/>
      <c r="M397" s="3"/>
    </row>
    <row r="398" spans="4:13" ht="18" customHeight="1" x14ac:dyDescent="0.25">
      <c r="D398" s="3"/>
      <c r="F398" s="3"/>
      <c r="G398" s="32"/>
      <c r="H398" s="32"/>
      <c r="I398" s="32"/>
      <c r="J398" s="32"/>
      <c r="K398" s="3"/>
      <c r="L398" s="3"/>
      <c r="M398" s="3"/>
    </row>
    <row r="399" spans="4:13" ht="18" customHeight="1" x14ac:dyDescent="0.25">
      <c r="D399" s="3"/>
      <c r="F399" s="3"/>
      <c r="G399" s="32"/>
      <c r="H399" s="32"/>
      <c r="I399" s="32"/>
      <c r="J399" s="32"/>
      <c r="K399" s="3"/>
      <c r="L399" s="3"/>
      <c r="M399" s="3"/>
    </row>
    <row r="400" spans="4:13" ht="18" customHeight="1" x14ac:dyDescent="0.25">
      <c r="D400" s="3"/>
      <c r="F400" s="3"/>
      <c r="G400" s="32"/>
      <c r="H400" s="32"/>
      <c r="I400" s="32"/>
      <c r="J400" s="32"/>
      <c r="K400" s="3"/>
      <c r="L400" s="3"/>
      <c r="M400" s="3"/>
    </row>
    <row r="401" spans="4:13" ht="18" customHeight="1" x14ac:dyDescent="0.25">
      <c r="D401" s="3"/>
      <c r="F401" s="3"/>
      <c r="G401" s="32"/>
      <c r="H401" s="32"/>
      <c r="I401" s="32"/>
      <c r="J401" s="32"/>
      <c r="K401" s="3"/>
      <c r="L401" s="3"/>
      <c r="M401" s="3"/>
    </row>
    <row r="402" spans="4:13" ht="18" customHeight="1" x14ac:dyDescent="0.25">
      <c r="D402" s="3"/>
      <c r="F402" s="3"/>
      <c r="G402" s="32"/>
      <c r="H402" s="32"/>
      <c r="I402" s="32"/>
      <c r="J402" s="32"/>
      <c r="K402" s="3"/>
      <c r="L402" s="3"/>
      <c r="M402" s="3"/>
    </row>
    <row r="403" spans="4:13" ht="18" customHeight="1" x14ac:dyDescent="0.25">
      <c r="D403" s="3"/>
      <c r="F403" s="3"/>
      <c r="G403" s="32"/>
      <c r="H403" s="32"/>
      <c r="I403" s="32"/>
      <c r="J403" s="32"/>
      <c r="K403" s="3"/>
      <c r="L403" s="3"/>
      <c r="M403" s="3"/>
    </row>
    <row r="404" spans="4:13" ht="18" customHeight="1" x14ac:dyDescent="0.25">
      <c r="D404" s="3"/>
      <c r="F404" s="3"/>
      <c r="G404" s="32"/>
      <c r="H404" s="32"/>
      <c r="I404" s="32"/>
      <c r="J404" s="32"/>
      <c r="K404" s="3"/>
      <c r="L404" s="3"/>
      <c r="M404" s="3"/>
    </row>
    <row r="405" spans="4:13" ht="18" customHeight="1" x14ac:dyDescent="0.25">
      <c r="D405" s="3"/>
      <c r="F405" s="3"/>
      <c r="G405" s="32"/>
      <c r="H405" s="32"/>
      <c r="I405" s="32"/>
      <c r="J405" s="32"/>
      <c r="K405" s="3"/>
      <c r="L405" s="3"/>
      <c r="M405" s="3"/>
    </row>
    <row r="406" spans="4:13" ht="18" customHeight="1" x14ac:dyDescent="0.25">
      <c r="D406" s="3"/>
      <c r="F406" s="3"/>
      <c r="G406" s="32"/>
      <c r="H406" s="32"/>
      <c r="I406" s="32"/>
      <c r="J406" s="32"/>
      <c r="K406" s="3"/>
      <c r="L406" s="3"/>
      <c r="M406" s="3"/>
    </row>
    <row r="407" spans="4:13" ht="18" customHeight="1" x14ac:dyDescent="0.25">
      <c r="D407" s="3"/>
      <c r="F407" s="3"/>
      <c r="G407" s="32"/>
      <c r="H407" s="32"/>
      <c r="I407" s="32"/>
      <c r="J407" s="32"/>
      <c r="K407" s="3"/>
      <c r="L407" s="3"/>
      <c r="M407" s="3"/>
    </row>
    <row r="408" spans="4:13" ht="18" customHeight="1" x14ac:dyDescent="0.25">
      <c r="D408" s="3"/>
      <c r="F408" s="3"/>
      <c r="G408" s="32"/>
      <c r="H408" s="32"/>
      <c r="I408" s="32"/>
      <c r="J408" s="32"/>
      <c r="K408" s="3"/>
      <c r="L408" s="3"/>
      <c r="M408" s="3"/>
    </row>
    <row r="409" spans="4:13" ht="18" customHeight="1" x14ac:dyDescent="0.25">
      <c r="D409" s="3"/>
      <c r="F409" s="3"/>
      <c r="G409" s="32"/>
      <c r="H409" s="32"/>
      <c r="I409" s="32"/>
      <c r="J409" s="32"/>
      <c r="K409" s="3"/>
      <c r="L409" s="3"/>
      <c r="M409" s="3"/>
    </row>
    <row r="410" spans="4:13" ht="18" customHeight="1" x14ac:dyDescent="0.25">
      <c r="D410" s="3"/>
      <c r="F410" s="3"/>
      <c r="G410" s="32"/>
      <c r="H410" s="32"/>
      <c r="I410" s="32"/>
      <c r="J410" s="32"/>
      <c r="K410" s="3"/>
      <c r="L410" s="3"/>
      <c r="M410" s="3"/>
    </row>
    <row r="411" spans="4:13" ht="18" customHeight="1" x14ac:dyDescent="0.25">
      <c r="D411" s="3"/>
      <c r="F411" s="3"/>
      <c r="G411" s="32"/>
      <c r="H411" s="32"/>
      <c r="I411" s="32"/>
      <c r="J411" s="32"/>
      <c r="K411" s="3"/>
      <c r="L411" s="3"/>
      <c r="M411" s="3"/>
    </row>
    <row r="412" spans="4:13" ht="18" customHeight="1" x14ac:dyDescent="0.25">
      <c r="D412" s="3"/>
      <c r="F412" s="3"/>
      <c r="G412" s="32"/>
      <c r="H412" s="32"/>
      <c r="I412" s="32"/>
      <c r="J412" s="32"/>
      <c r="K412" s="3"/>
      <c r="L412" s="3"/>
      <c r="M412" s="3"/>
    </row>
    <row r="413" spans="4:13" ht="18" customHeight="1" x14ac:dyDescent="0.25">
      <c r="D413" s="3"/>
      <c r="F413" s="3"/>
      <c r="G413" s="32"/>
      <c r="H413" s="32"/>
      <c r="I413" s="32"/>
      <c r="J413" s="32"/>
      <c r="K413" s="3"/>
      <c r="L413" s="3"/>
      <c r="M413" s="3"/>
    </row>
    <row r="414" spans="4:13" ht="18" customHeight="1" x14ac:dyDescent="0.25">
      <c r="D414" s="3"/>
      <c r="F414" s="3"/>
      <c r="G414" s="32"/>
      <c r="H414" s="32"/>
      <c r="I414" s="32"/>
      <c r="J414" s="32"/>
      <c r="K414" s="3"/>
      <c r="L414" s="3"/>
      <c r="M414" s="3"/>
    </row>
    <row r="415" spans="4:13" ht="18" customHeight="1" x14ac:dyDescent="0.25">
      <c r="D415" s="3"/>
      <c r="F415" s="3"/>
      <c r="G415" s="32"/>
      <c r="H415" s="32"/>
      <c r="I415" s="32"/>
      <c r="J415" s="32"/>
      <c r="K415" s="3"/>
      <c r="L415" s="3"/>
      <c r="M415" s="3"/>
    </row>
    <row r="416" spans="4:13" ht="18" customHeight="1" x14ac:dyDescent="0.25">
      <c r="D416" s="3"/>
      <c r="F416" s="3"/>
      <c r="G416" s="32"/>
      <c r="H416" s="32"/>
      <c r="I416" s="32"/>
      <c r="J416" s="32"/>
      <c r="K416" s="3"/>
      <c r="L416" s="3"/>
      <c r="M416" s="3"/>
    </row>
    <row r="417" spans="4:13" ht="18" customHeight="1" x14ac:dyDescent="0.25">
      <c r="D417" s="3"/>
      <c r="F417" s="3"/>
      <c r="G417" s="32"/>
      <c r="H417" s="32"/>
      <c r="I417" s="32"/>
      <c r="J417" s="32"/>
      <c r="K417" s="3"/>
      <c r="L417" s="3"/>
      <c r="M417" s="3"/>
    </row>
    <row r="418" spans="4:13" ht="18" customHeight="1" x14ac:dyDescent="0.25">
      <c r="D418" s="3"/>
      <c r="F418" s="3"/>
      <c r="G418" s="32"/>
      <c r="H418" s="32"/>
      <c r="I418" s="32"/>
      <c r="J418" s="32"/>
      <c r="K418" s="3"/>
      <c r="L418" s="3"/>
      <c r="M418" s="3"/>
    </row>
    <row r="419" spans="4:13" ht="18" customHeight="1" x14ac:dyDescent="0.25">
      <c r="D419" s="3"/>
      <c r="F419" s="3"/>
      <c r="G419" s="32"/>
      <c r="H419" s="32"/>
      <c r="I419" s="32"/>
      <c r="J419" s="32"/>
      <c r="K419" s="3"/>
      <c r="L419" s="3"/>
      <c r="M419" s="3"/>
    </row>
    <row r="420" spans="4:13" ht="18" customHeight="1" x14ac:dyDescent="0.25">
      <c r="D420" s="3"/>
      <c r="F420" s="3"/>
      <c r="G420" s="32"/>
      <c r="H420" s="32"/>
      <c r="I420" s="32"/>
      <c r="J420" s="32"/>
      <c r="K420" s="3"/>
      <c r="L420" s="3"/>
      <c r="M420" s="3"/>
    </row>
    <row r="421" spans="4:13" ht="18" customHeight="1" x14ac:dyDescent="0.25">
      <c r="D421" s="3"/>
      <c r="F421" s="3"/>
      <c r="G421" s="32"/>
      <c r="H421" s="32"/>
      <c r="I421" s="32"/>
      <c r="J421" s="32"/>
      <c r="K421" s="3"/>
      <c r="L421" s="3"/>
      <c r="M421" s="3"/>
    </row>
    <row r="422" spans="4:13" ht="18" customHeight="1" x14ac:dyDescent="0.25">
      <c r="D422" s="3"/>
      <c r="F422" s="3"/>
      <c r="G422" s="32"/>
      <c r="H422" s="32"/>
      <c r="I422" s="32"/>
      <c r="J422" s="32"/>
      <c r="K422" s="3"/>
      <c r="L422" s="3"/>
      <c r="M422" s="3"/>
    </row>
    <row r="423" spans="4:13" ht="18" customHeight="1" x14ac:dyDescent="0.25">
      <c r="D423" s="3"/>
      <c r="F423" s="3"/>
      <c r="G423" s="32"/>
      <c r="H423" s="32"/>
      <c r="I423" s="32"/>
      <c r="J423" s="32"/>
      <c r="K423" s="3"/>
      <c r="L423" s="3"/>
      <c r="M423" s="3"/>
    </row>
    <row r="424" spans="4:13" ht="18" customHeight="1" x14ac:dyDescent="0.25">
      <c r="D424" s="3"/>
      <c r="F424" s="3"/>
      <c r="G424" s="32"/>
      <c r="H424" s="32"/>
      <c r="I424" s="32"/>
      <c r="J424" s="32"/>
      <c r="K424" s="3"/>
      <c r="L424" s="3"/>
      <c r="M424" s="3"/>
    </row>
    <row r="425" spans="4:13" ht="18" customHeight="1" x14ac:dyDescent="0.25">
      <c r="D425" s="3"/>
      <c r="F425" s="3"/>
      <c r="G425" s="32"/>
      <c r="H425" s="32"/>
      <c r="I425" s="32"/>
      <c r="J425" s="32"/>
      <c r="K425" s="3"/>
      <c r="L425" s="3"/>
      <c r="M425" s="3"/>
    </row>
    <row r="426" spans="4:13" ht="18" customHeight="1" x14ac:dyDescent="0.25">
      <c r="D426" s="3"/>
      <c r="F426" s="3"/>
      <c r="G426" s="32"/>
      <c r="H426" s="32"/>
      <c r="I426" s="32"/>
      <c r="J426" s="32"/>
      <c r="K426" s="3"/>
      <c r="L426" s="3"/>
      <c r="M426" s="3"/>
    </row>
    <row r="427" spans="4:13" ht="18" customHeight="1" x14ac:dyDescent="0.25">
      <c r="D427" s="3"/>
      <c r="F427" s="3"/>
      <c r="G427" s="32"/>
      <c r="H427" s="32"/>
      <c r="I427" s="32"/>
      <c r="J427" s="32"/>
      <c r="K427" s="3"/>
      <c r="L427" s="3"/>
      <c r="M427" s="3"/>
    </row>
    <row r="428" spans="4:13" ht="18" customHeight="1" x14ac:dyDescent="0.25">
      <c r="D428" s="3"/>
      <c r="F428" s="3"/>
      <c r="G428" s="32"/>
      <c r="H428" s="32"/>
      <c r="I428" s="32"/>
      <c r="J428" s="32"/>
      <c r="K428" s="3"/>
      <c r="L428" s="3"/>
      <c r="M428" s="3"/>
    </row>
    <row r="429" spans="4:13" ht="18" customHeight="1" x14ac:dyDescent="0.25">
      <c r="D429" s="3"/>
      <c r="F429" s="3"/>
      <c r="G429" s="32"/>
      <c r="H429" s="32"/>
      <c r="I429" s="32"/>
      <c r="J429" s="32"/>
      <c r="K429" s="3"/>
      <c r="L429" s="3"/>
      <c r="M429" s="3"/>
    </row>
    <row r="430" spans="4:13" ht="18" customHeight="1" x14ac:dyDescent="0.25">
      <c r="D430" s="3"/>
      <c r="F430" s="3"/>
      <c r="G430" s="32"/>
      <c r="H430" s="32"/>
      <c r="I430" s="32"/>
      <c r="J430" s="32"/>
      <c r="K430" s="3"/>
      <c r="L430" s="3"/>
      <c r="M430" s="3"/>
    </row>
    <row r="431" spans="4:13" ht="18" customHeight="1" x14ac:dyDescent="0.25">
      <c r="D431" s="3"/>
      <c r="F431" s="3"/>
      <c r="G431" s="32"/>
      <c r="H431" s="32"/>
      <c r="I431" s="32"/>
      <c r="J431" s="32"/>
      <c r="K431" s="3"/>
      <c r="L431" s="3"/>
      <c r="M431" s="3"/>
    </row>
    <row r="432" spans="4:13" ht="18" customHeight="1" x14ac:dyDescent="0.25">
      <c r="D432" s="3"/>
      <c r="F432" s="3"/>
      <c r="G432" s="32"/>
      <c r="H432" s="32"/>
      <c r="I432" s="32"/>
      <c r="J432" s="32"/>
      <c r="K432" s="3"/>
      <c r="L432" s="3"/>
      <c r="M432" s="3"/>
    </row>
    <row r="433" spans="4:13" ht="18" customHeight="1" x14ac:dyDescent="0.25">
      <c r="D433" s="3"/>
      <c r="F433" s="3"/>
      <c r="G433" s="32"/>
      <c r="H433" s="32"/>
      <c r="I433" s="32"/>
      <c r="J433" s="32"/>
      <c r="K433" s="3"/>
      <c r="L433" s="3"/>
      <c r="M433" s="3"/>
    </row>
    <row r="434" spans="4:13" ht="18" customHeight="1" x14ac:dyDescent="0.25">
      <c r="D434" s="3"/>
      <c r="F434" s="3"/>
      <c r="G434" s="32"/>
      <c r="H434" s="32"/>
      <c r="I434" s="32"/>
      <c r="J434" s="32"/>
      <c r="K434" s="3"/>
      <c r="L434" s="3"/>
      <c r="M434" s="3"/>
    </row>
    <row r="435" spans="4:13" ht="18" customHeight="1" x14ac:dyDescent="0.25">
      <c r="D435" s="3"/>
      <c r="F435" s="3"/>
      <c r="G435" s="32"/>
      <c r="H435" s="32"/>
      <c r="I435" s="32"/>
      <c r="J435" s="32"/>
      <c r="K435" s="3"/>
      <c r="L435" s="3"/>
      <c r="M435" s="3"/>
    </row>
    <row r="436" spans="4:13" ht="18" customHeight="1" x14ac:dyDescent="0.25">
      <c r="D436" s="3"/>
      <c r="F436" s="3"/>
      <c r="G436" s="32"/>
      <c r="H436" s="32"/>
      <c r="I436" s="32"/>
      <c r="J436" s="32"/>
      <c r="K436" s="3"/>
      <c r="L436" s="3"/>
      <c r="M436" s="3"/>
    </row>
    <row r="437" spans="4:13" ht="18" customHeight="1" x14ac:dyDescent="0.25">
      <c r="D437" s="3"/>
      <c r="F437" s="3"/>
      <c r="G437" s="32"/>
      <c r="H437" s="32"/>
      <c r="I437" s="32"/>
      <c r="J437" s="32"/>
      <c r="K437" s="3"/>
      <c r="L437" s="3"/>
      <c r="M437" s="3"/>
    </row>
    <row r="438" spans="4:13" ht="18" customHeight="1" x14ac:dyDescent="0.25">
      <c r="D438" s="3"/>
      <c r="F438" s="3"/>
      <c r="G438" s="32"/>
      <c r="H438" s="32"/>
      <c r="I438" s="32"/>
      <c r="J438" s="32"/>
      <c r="K438" s="3"/>
      <c r="L438" s="3"/>
      <c r="M438" s="3"/>
    </row>
    <row r="439" spans="4:13" ht="18" customHeight="1" x14ac:dyDescent="0.25">
      <c r="D439" s="3"/>
      <c r="F439" s="3"/>
      <c r="G439" s="32"/>
      <c r="H439" s="32"/>
      <c r="I439" s="32"/>
      <c r="J439" s="32"/>
      <c r="K439" s="3"/>
      <c r="L439" s="3"/>
      <c r="M439" s="3"/>
    </row>
    <row r="440" spans="4:13" ht="18" customHeight="1" x14ac:dyDescent="0.25">
      <c r="D440" s="3"/>
      <c r="F440" s="3"/>
      <c r="G440" s="32"/>
      <c r="H440" s="32"/>
      <c r="I440" s="32"/>
      <c r="J440" s="32"/>
      <c r="K440" s="3"/>
      <c r="L440" s="3"/>
      <c r="M440" s="3"/>
    </row>
    <row r="441" spans="4:13" ht="18" customHeight="1" x14ac:dyDescent="0.25">
      <c r="D441" s="3"/>
      <c r="F441" s="3"/>
      <c r="G441" s="32"/>
      <c r="H441" s="32"/>
      <c r="I441" s="32"/>
      <c r="J441" s="32"/>
      <c r="K441" s="3"/>
      <c r="L441" s="3"/>
      <c r="M441" s="3"/>
    </row>
    <row r="442" spans="4:13" ht="18" customHeight="1" x14ac:dyDescent="0.25">
      <c r="D442" s="3"/>
      <c r="F442" s="3"/>
      <c r="G442" s="32"/>
      <c r="H442" s="32"/>
      <c r="I442" s="32"/>
      <c r="J442" s="32"/>
      <c r="K442" s="3"/>
      <c r="L442" s="3"/>
      <c r="M442" s="3"/>
    </row>
    <row r="443" spans="4:13" ht="18" customHeight="1" x14ac:dyDescent="0.25">
      <c r="D443" s="3"/>
      <c r="F443" s="3"/>
      <c r="G443" s="32"/>
      <c r="H443" s="32"/>
      <c r="I443" s="32"/>
      <c r="J443" s="32"/>
      <c r="K443" s="3"/>
      <c r="L443" s="3"/>
      <c r="M443" s="3"/>
    </row>
    <row r="444" spans="4:13" ht="18" customHeight="1" x14ac:dyDescent="0.25">
      <c r="D444" s="3"/>
      <c r="F444" s="3"/>
      <c r="G444" s="32"/>
      <c r="H444" s="32"/>
      <c r="I444" s="32"/>
      <c r="J444" s="32"/>
      <c r="K444" s="3"/>
      <c r="L444" s="3"/>
      <c r="M444" s="3"/>
    </row>
    <row r="445" spans="4:13" ht="18" customHeight="1" x14ac:dyDescent="0.25">
      <c r="D445" s="3"/>
      <c r="F445" s="3"/>
      <c r="G445" s="32"/>
      <c r="H445" s="32"/>
      <c r="I445" s="32"/>
      <c r="J445" s="32"/>
      <c r="K445" s="3"/>
      <c r="L445" s="3"/>
      <c r="M445" s="3"/>
    </row>
    <row r="446" spans="4:13" ht="18" customHeight="1" x14ac:dyDescent="0.25">
      <c r="D446" s="3"/>
      <c r="F446" s="3"/>
      <c r="G446" s="32"/>
      <c r="H446" s="32"/>
      <c r="I446" s="32"/>
      <c r="J446" s="32"/>
      <c r="K446" s="3"/>
      <c r="L446" s="3"/>
      <c r="M446" s="3"/>
    </row>
    <row r="447" spans="4:13" ht="18" customHeight="1" x14ac:dyDescent="0.25">
      <c r="D447" s="3"/>
      <c r="F447" s="3"/>
      <c r="G447" s="32"/>
      <c r="H447" s="32"/>
      <c r="I447" s="32"/>
      <c r="J447" s="32"/>
      <c r="K447" s="3"/>
      <c r="L447" s="3"/>
      <c r="M447" s="3"/>
    </row>
    <row r="448" spans="4:13" ht="18" customHeight="1" x14ac:dyDescent="0.25">
      <c r="D448" s="3"/>
      <c r="F448" s="3"/>
      <c r="G448" s="32"/>
      <c r="H448" s="32"/>
      <c r="I448" s="32"/>
      <c r="J448" s="32"/>
      <c r="K448" s="3"/>
      <c r="L448" s="3"/>
      <c r="M448" s="3"/>
    </row>
    <row r="449" spans="4:13" ht="18" customHeight="1" x14ac:dyDescent="0.25">
      <c r="D449" s="3"/>
      <c r="F449" s="3"/>
      <c r="G449" s="32"/>
      <c r="H449" s="32"/>
      <c r="I449" s="32"/>
      <c r="J449" s="32"/>
      <c r="K449" s="3"/>
      <c r="L449" s="3"/>
      <c r="M449" s="3"/>
    </row>
    <row r="450" spans="4:13" ht="18" customHeight="1" x14ac:dyDescent="0.25">
      <c r="D450" s="3"/>
      <c r="F450" s="3"/>
      <c r="G450" s="32"/>
      <c r="H450" s="32"/>
      <c r="I450" s="32"/>
      <c r="J450" s="32"/>
      <c r="K450" s="3"/>
      <c r="L450" s="3"/>
      <c r="M450" s="3"/>
    </row>
    <row r="451" spans="4:13" ht="18" customHeight="1" x14ac:dyDescent="0.25">
      <c r="D451" s="3"/>
      <c r="F451" s="3"/>
      <c r="G451" s="32"/>
      <c r="H451" s="32"/>
      <c r="I451" s="32"/>
      <c r="J451" s="32"/>
      <c r="K451" s="3"/>
      <c r="L451" s="3"/>
      <c r="M451" s="3"/>
    </row>
    <row r="452" spans="4:13" ht="18" customHeight="1" x14ac:dyDescent="0.25">
      <c r="D452" s="3"/>
      <c r="F452" s="3"/>
      <c r="G452" s="32"/>
      <c r="H452" s="32"/>
      <c r="I452" s="32"/>
      <c r="J452" s="32"/>
      <c r="K452" s="3"/>
      <c r="L452" s="3"/>
      <c r="M452" s="3"/>
    </row>
    <row r="453" spans="4:13" ht="18" customHeight="1" x14ac:dyDescent="0.25">
      <c r="D453" s="3"/>
      <c r="F453" s="3"/>
      <c r="G453" s="32"/>
      <c r="H453" s="32"/>
      <c r="I453" s="32"/>
      <c r="J453" s="32"/>
      <c r="K453" s="3"/>
      <c r="L453" s="3"/>
      <c r="M453" s="3"/>
    </row>
    <row r="454" spans="4:13" ht="18" customHeight="1" x14ac:dyDescent="0.25">
      <c r="D454" s="3"/>
      <c r="F454" s="3"/>
      <c r="G454" s="32"/>
      <c r="H454" s="32"/>
      <c r="I454" s="32"/>
      <c r="J454" s="32"/>
      <c r="K454" s="3"/>
      <c r="L454" s="3"/>
      <c r="M454" s="3"/>
    </row>
    <row r="455" spans="4:13" ht="18" customHeight="1" x14ac:dyDescent="0.25">
      <c r="D455" s="3"/>
      <c r="F455" s="3"/>
      <c r="G455" s="32"/>
      <c r="H455" s="32"/>
      <c r="I455" s="32"/>
      <c r="J455" s="32"/>
      <c r="K455" s="3"/>
      <c r="L455" s="3"/>
      <c r="M455" s="3"/>
    </row>
    <row r="456" spans="4:13" ht="18" customHeight="1" x14ac:dyDescent="0.25">
      <c r="D456" s="3"/>
      <c r="F456" s="3"/>
      <c r="G456" s="32"/>
      <c r="H456" s="32"/>
      <c r="I456" s="32"/>
      <c r="J456" s="32"/>
      <c r="K456" s="3"/>
      <c r="L456" s="3"/>
      <c r="M456" s="3"/>
    </row>
    <row r="457" spans="4:13" ht="18" customHeight="1" x14ac:dyDescent="0.25">
      <c r="D457" s="3"/>
      <c r="F457" s="3"/>
      <c r="G457" s="32"/>
      <c r="H457" s="32"/>
      <c r="I457" s="32"/>
      <c r="J457" s="32"/>
      <c r="K457" s="3"/>
      <c r="L457" s="3"/>
      <c r="M457" s="3"/>
    </row>
    <row r="458" spans="4:13" ht="18" customHeight="1" x14ac:dyDescent="0.25">
      <c r="D458" s="3"/>
      <c r="F458" s="3"/>
      <c r="G458" s="32"/>
      <c r="H458" s="32"/>
      <c r="I458" s="32"/>
      <c r="J458" s="32"/>
      <c r="K458" s="3"/>
      <c r="L458" s="3"/>
      <c r="M458" s="3"/>
    </row>
    <row r="459" spans="4:13" ht="18" customHeight="1" x14ac:dyDescent="0.25">
      <c r="D459" s="3"/>
      <c r="F459" s="3"/>
      <c r="G459" s="32"/>
      <c r="H459" s="32"/>
      <c r="I459" s="32"/>
      <c r="J459" s="32"/>
      <c r="K459" s="3"/>
      <c r="L459" s="3"/>
      <c r="M459" s="3"/>
    </row>
    <row r="460" spans="4:13" ht="18" customHeight="1" x14ac:dyDescent="0.25">
      <c r="D460" s="3"/>
      <c r="F460" s="3"/>
      <c r="G460" s="32"/>
      <c r="H460" s="32"/>
      <c r="I460" s="32"/>
      <c r="J460" s="32"/>
      <c r="K460" s="3"/>
      <c r="L460" s="3"/>
      <c r="M460" s="3"/>
    </row>
    <row r="461" spans="4:13" ht="18" customHeight="1" x14ac:dyDescent="0.25">
      <c r="D461" s="3"/>
      <c r="F461" s="3"/>
      <c r="G461" s="32"/>
      <c r="H461" s="32"/>
      <c r="I461" s="32"/>
      <c r="J461" s="32"/>
      <c r="K461" s="3"/>
      <c r="L461" s="3"/>
      <c r="M461" s="3"/>
    </row>
    <row r="462" spans="4:13" ht="18" customHeight="1" x14ac:dyDescent="0.25">
      <c r="D462" s="3"/>
      <c r="F462" s="3"/>
      <c r="G462" s="32"/>
      <c r="H462" s="32"/>
      <c r="I462" s="32"/>
      <c r="J462" s="32"/>
      <c r="K462" s="3"/>
      <c r="L462" s="3"/>
      <c r="M462" s="3"/>
    </row>
    <row r="463" spans="4:13" ht="18" customHeight="1" x14ac:dyDescent="0.25">
      <c r="D463" s="3"/>
      <c r="F463" s="3"/>
      <c r="G463" s="32"/>
      <c r="H463" s="32"/>
      <c r="I463" s="32"/>
      <c r="J463" s="32"/>
      <c r="K463" s="3"/>
      <c r="L463" s="3"/>
      <c r="M463" s="3"/>
    </row>
    <row r="464" spans="4:13" ht="18" customHeight="1" x14ac:dyDescent="0.25">
      <c r="D464" s="3"/>
      <c r="F464" s="3"/>
      <c r="G464" s="32"/>
      <c r="H464" s="32"/>
      <c r="I464" s="32"/>
      <c r="J464" s="32"/>
      <c r="K464" s="3"/>
      <c r="L464" s="3"/>
      <c r="M464" s="3"/>
    </row>
    <row r="465" spans="4:13" ht="18" customHeight="1" x14ac:dyDescent="0.25">
      <c r="D465" s="3"/>
      <c r="F465" s="3"/>
      <c r="G465" s="32"/>
      <c r="H465" s="32"/>
      <c r="I465" s="32"/>
      <c r="J465" s="32"/>
      <c r="K465" s="3"/>
      <c r="L465" s="3"/>
      <c r="M465" s="3"/>
    </row>
    <row r="466" spans="4:13" ht="18" customHeight="1" x14ac:dyDescent="0.25">
      <c r="D466" s="3"/>
      <c r="F466" s="3"/>
      <c r="G466" s="32"/>
      <c r="H466" s="32"/>
      <c r="I466" s="32"/>
      <c r="J466" s="32"/>
      <c r="K466" s="3"/>
      <c r="L466" s="3"/>
      <c r="M466" s="3"/>
    </row>
    <row r="467" spans="4:13" ht="18" customHeight="1" x14ac:dyDescent="0.25">
      <c r="D467" s="3"/>
      <c r="F467" s="3"/>
      <c r="G467" s="32"/>
      <c r="H467" s="32"/>
      <c r="I467" s="32"/>
      <c r="J467" s="32"/>
      <c r="K467" s="3"/>
      <c r="L467" s="3"/>
      <c r="M467" s="3"/>
    </row>
    <row r="468" spans="4:13" ht="18" customHeight="1" x14ac:dyDescent="0.25">
      <c r="D468" s="3"/>
      <c r="F468" s="3"/>
      <c r="G468" s="32"/>
      <c r="H468" s="32"/>
      <c r="I468" s="32"/>
      <c r="J468" s="32"/>
      <c r="K468" s="3"/>
      <c r="L468" s="3"/>
      <c r="M468" s="3"/>
    </row>
    <row r="469" spans="4:13" ht="18" customHeight="1" x14ac:dyDescent="0.25">
      <c r="D469" s="3"/>
      <c r="F469" s="3"/>
      <c r="G469" s="32"/>
      <c r="H469" s="32"/>
      <c r="I469" s="32"/>
      <c r="J469" s="32"/>
      <c r="K469" s="3"/>
      <c r="L469" s="3"/>
      <c r="M469" s="3"/>
    </row>
    <row r="470" spans="4:13" ht="18" customHeight="1" x14ac:dyDescent="0.25">
      <c r="D470" s="3"/>
      <c r="F470" s="3"/>
      <c r="G470" s="32"/>
      <c r="H470" s="32"/>
      <c r="I470" s="32"/>
      <c r="J470" s="32"/>
      <c r="K470" s="3"/>
      <c r="L470" s="3"/>
      <c r="M470" s="3"/>
    </row>
    <row r="471" spans="4:13" ht="18" customHeight="1" x14ac:dyDescent="0.25">
      <c r="D471" s="3"/>
      <c r="F471" s="3"/>
      <c r="G471" s="32"/>
      <c r="H471" s="32"/>
      <c r="I471" s="32"/>
      <c r="J471" s="32"/>
      <c r="K471" s="3"/>
      <c r="L471" s="3"/>
      <c r="M471" s="3"/>
    </row>
    <row r="472" spans="4:13" ht="18" customHeight="1" x14ac:dyDescent="0.25">
      <c r="D472" s="3"/>
      <c r="F472" s="3"/>
      <c r="G472" s="32"/>
      <c r="H472" s="32"/>
      <c r="I472" s="32"/>
      <c r="J472" s="32"/>
      <c r="K472" s="3"/>
      <c r="L472" s="3"/>
      <c r="M472" s="3"/>
    </row>
    <row r="473" spans="4:13" ht="18" customHeight="1" x14ac:dyDescent="0.25">
      <c r="D473" s="3"/>
      <c r="F473" s="3"/>
      <c r="G473" s="32"/>
      <c r="H473" s="32"/>
      <c r="I473" s="32"/>
      <c r="J473" s="32"/>
      <c r="K473" s="3"/>
      <c r="L473" s="3"/>
      <c r="M473" s="3"/>
    </row>
    <row r="474" spans="4:13" ht="18" customHeight="1" x14ac:dyDescent="0.25">
      <c r="D474" s="3"/>
      <c r="F474" s="3"/>
      <c r="G474" s="32"/>
      <c r="H474" s="32"/>
      <c r="I474" s="32"/>
      <c r="J474" s="32"/>
      <c r="K474" s="3"/>
      <c r="L474" s="3"/>
      <c r="M474" s="3"/>
    </row>
    <row r="475" spans="4:13" ht="18" customHeight="1" x14ac:dyDescent="0.25">
      <c r="D475" s="3"/>
      <c r="F475" s="3"/>
      <c r="G475" s="32"/>
      <c r="H475" s="32"/>
      <c r="I475" s="32"/>
      <c r="J475" s="32"/>
      <c r="K475" s="3"/>
      <c r="L475" s="3"/>
      <c r="M475" s="3"/>
    </row>
    <row r="476" spans="4:13" ht="18" customHeight="1" x14ac:dyDescent="0.25">
      <c r="D476" s="3"/>
      <c r="F476" s="3"/>
      <c r="G476" s="32"/>
      <c r="H476" s="32"/>
      <c r="I476" s="32"/>
      <c r="J476" s="32"/>
      <c r="K476" s="3"/>
      <c r="L476" s="3"/>
      <c r="M476" s="3"/>
    </row>
    <row r="477" spans="4:13" ht="18" customHeight="1" x14ac:dyDescent="0.25">
      <c r="D477" s="3"/>
      <c r="F477" s="3"/>
      <c r="G477" s="32"/>
      <c r="H477" s="32"/>
      <c r="I477" s="32"/>
      <c r="J477" s="32"/>
      <c r="K477" s="3"/>
      <c r="L477" s="3"/>
      <c r="M477" s="3"/>
    </row>
    <row r="478" spans="4:13" ht="18" customHeight="1" x14ac:dyDescent="0.25">
      <c r="D478" s="3"/>
      <c r="F478" s="3"/>
      <c r="G478" s="32"/>
      <c r="H478" s="32"/>
      <c r="I478" s="32"/>
      <c r="J478" s="32"/>
      <c r="K478" s="3"/>
      <c r="L478" s="3"/>
      <c r="M478" s="3"/>
    </row>
    <row r="479" spans="4:13" ht="18" customHeight="1" x14ac:dyDescent="0.25">
      <c r="D479" s="3"/>
      <c r="F479" s="3"/>
      <c r="G479" s="32"/>
      <c r="H479" s="32"/>
      <c r="I479" s="32"/>
      <c r="J479" s="32"/>
      <c r="K479" s="3"/>
      <c r="L479" s="3"/>
      <c r="M479" s="3"/>
    </row>
    <row r="480" spans="4:13" ht="18" customHeight="1" x14ac:dyDescent="0.25">
      <c r="D480" s="3"/>
      <c r="F480" s="3"/>
      <c r="G480" s="32"/>
      <c r="H480" s="32"/>
      <c r="I480" s="32"/>
      <c r="J480" s="32"/>
      <c r="K480" s="3"/>
      <c r="L480" s="3"/>
      <c r="M480" s="3"/>
    </row>
    <row r="481" spans="4:13" ht="18" customHeight="1" x14ac:dyDescent="0.25">
      <c r="D481" s="3"/>
      <c r="F481" s="3"/>
      <c r="G481" s="32"/>
      <c r="H481" s="32"/>
      <c r="I481" s="32"/>
      <c r="J481" s="32"/>
      <c r="K481" s="3"/>
      <c r="L481" s="3"/>
      <c r="M481" s="3"/>
    </row>
    <row r="482" spans="4:13" ht="18" customHeight="1" x14ac:dyDescent="0.25">
      <c r="D482" s="3"/>
      <c r="F482" s="3"/>
      <c r="G482" s="32"/>
      <c r="H482" s="32"/>
      <c r="I482" s="32"/>
      <c r="J482" s="32"/>
      <c r="K482" s="3"/>
      <c r="L482" s="3"/>
      <c r="M482" s="3"/>
    </row>
    <row r="483" spans="4:13" ht="18" customHeight="1" x14ac:dyDescent="0.25">
      <c r="D483" s="3"/>
      <c r="F483" s="3"/>
      <c r="G483" s="32"/>
      <c r="H483" s="32"/>
      <c r="I483" s="32"/>
      <c r="J483" s="32"/>
      <c r="K483" s="3"/>
      <c r="L483" s="3"/>
      <c r="M483" s="3"/>
    </row>
    <row r="484" spans="4:13" ht="18" customHeight="1" x14ac:dyDescent="0.25">
      <c r="D484" s="3"/>
      <c r="F484" s="3"/>
      <c r="G484" s="32"/>
      <c r="H484" s="32"/>
      <c r="I484" s="32"/>
      <c r="J484" s="32"/>
      <c r="K484" s="3"/>
      <c r="L484" s="3"/>
      <c r="M484" s="3"/>
    </row>
    <row r="485" spans="4:13" ht="18" customHeight="1" x14ac:dyDescent="0.25">
      <c r="D485" s="3"/>
      <c r="F485" s="3"/>
      <c r="G485" s="32"/>
      <c r="H485" s="32"/>
      <c r="I485" s="32"/>
      <c r="J485" s="32"/>
      <c r="K485" s="3"/>
      <c r="L485" s="3"/>
      <c r="M485" s="3"/>
    </row>
    <row r="486" spans="4:13" ht="18" customHeight="1" x14ac:dyDescent="0.25">
      <c r="D486" s="3"/>
      <c r="F486" s="3"/>
      <c r="G486" s="32"/>
      <c r="H486" s="32"/>
      <c r="I486" s="32"/>
      <c r="J486" s="32"/>
      <c r="K486" s="3"/>
      <c r="L486" s="3"/>
      <c r="M486" s="3"/>
    </row>
    <row r="487" spans="4:13" ht="18" customHeight="1" x14ac:dyDescent="0.25">
      <c r="D487" s="3"/>
      <c r="F487" s="3"/>
      <c r="G487" s="32"/>
      <c r="H487" s="32"/>
      <c r="I487" s="32"/>
      <c r="J487" s="32"/>
      <c r="K487" s="3"/>
      <c r="L487" s="3"/>
      <c r="M487" s="3"/>
    </row>
    <row r="488" spans="4:13" ht="18" customHeight="1" x14ac:dyDescent="0.25">
      <c r="D488" s="3"/>
      <c r="F488" s="3"/>
      <c r="G488" s="32"/>
      <c r="H488" s="32"/>
      <c r="I488" s="32"/>
      <c r="J488" s="32"/>
      <c r="K488" s="3"/>
      <c r="L488" s="3"/>
      <c r="M488" s="3"/>
    </row>
    <row r="489" spans="4:13" ht="18" customHeight="1" x14ac:dyDescent="0.25">
      <c r="D489" s="3"/>
      <c r="F489" s="3"/>
      <c r="G489" s="32"/>
      <c r="H489" s="32"/>
      <c r="I489" s="32"/>
      <c r="J489" s="32"/>
      <c r="K489" s="3"/>
      <c r="L489" s="3"/>
      <c r="M489" s="3"/>
    </row>
    <row r="490" spans="4:13" ht="18" customHeight="1" x14ac:dyDescent="0.25">
      <c r="D490" s="3"/>
      <c r="F490" s="3"/>
      <c r="G490" s="32"/>
      <c r="H490" s="32"/>
      <c r="I490" s="32"/>
      <c r="J490" s="32"/>
      <c r="K490" s="3"/>
      <c r="L490" s="3"/>
      <c r="M490" s="3"/>
    </row>
    <row r="491" spans="4:13" ht="18" customHeight="1" x14ac:dyDescent="0.25">
      <c r="D491" s="3"/>
      <c r="F491" s="3"/>
      <c r="G491" s="32"/>
      <c r="H491" s="32"/>
      <c r="I491" s="32"/>
      <c r="J491" s="32"/>
      <c r="K491" s="3"/>
      <c r="L491" s="3"/>
      <c r="M491" s="3"/>
    </row>
    <row r="492" spans="4:13" ht="18" customHeight="1" x14ac:dyDescent="0.25">
      <c r="D492" s="3"/>
      <c r="F492" s="3"/>
      <c r="G492" s="32"/>
      <c r="H492" s="32"/>
      <c r="I492" s="32"/>
      <c r="J492" s="32"/>
      <c r="K492" s="3"/>
      <c r="L492" s="3"/>
      <c r="M492" s="3"/>
    </row>
    <row r="493" spans="4:13" ht="18" customHeight="1" x14ac:dyDescent="0.25">
      <c r="D493" s="3"/>
      <c r="F493" s="3"/>
      <c r="G493" s="32"/>
      <c r="H493" s="32"/>
      <c r="I493" s="32"/>
      <c r="J493" s="32"/>
      <c r="K493" s="3"/>
      <c r="L493" s="3"/>
      <c r="M493" s="3"/>
    </row>
    <row r="494" spans="4:13" ht="18" customHeight="1" x14ac:dyDescent="0.25">
      <c r="D494" s="3"/>
      <c r="F494" s="3"/>
      <c r="G494" s="32"/>
      <c r="H494" s="32"/>
      <c r="I494" s="32"/>
      <c r="J494" s="32"/>
      <c r="K494" s="3"/>
      <c r="L494" s="3"/>
      <c r="M494" s="3"/>
    </row>
    <row r="495" spans="4:13" ht="18" customHeight="1" x14ac:dyDescent="0.25">
      <c r="D495" s="3"/>
      <c r="F495" s="3"/>
      <c r="G495" s="32"/>
      <c r="H495" s="32"/>
      <c r="I495" s="32"/>
      <c r="J495" s="32"/>
      <c r="K495" s="3"/>
      <c r="L495" s="3"/>
      <c r="M495" s="3"/>
    </row>
    <row r="496" spans="4:13" ht="18" customHeight="1" x14ac:dyDescent="0.25">
      <c r="D496" s="3"/>
      <c r="F496" s="3"/>
      <c r="G496" s="32"/>
      <c r="H496" s="32"/>
      <c r="I496" s="32"/>
      <c r="J496" s="32"/>
      <c r="K496" s="3"/>
      <c r="L496" s="3"/>
      <c r="M496" s="3"/>
    </row>
    <row r="497" spans="4:13" ht="18" customHeight="1" x14ac:dyDescent="0.25">
      <c r="D497" s="3"/>
      <c r="F497" s="3"/>
      <c r="G497" s="32"/>
      <c r="H497" s="32"/>
      <c r="I497" s="32"/>
      <c r="J497" s="32"/>
      <c r="K497" s="3"/>
      <c r="L497" s="3"/>
      <c r="M497" s="3"/>
    </row>
    <row r="498" spans="4:13" ht="18" customHeight="1" x14ac:dyDescent="0.25">
      <c r="D498" s="3"/>
      <c r="F498" s="3"/>
      <c r="G498" s="32"/>
      <c r="H498" s="32"/>
      <c r="I498" s="32"/>
      <c r="J498" s="32"/>
      <c r="K498" s="3"/>
      <c r="L498" s="3"/>
      <c r="M498" s="3"/>
    </row>
    <row r="499" spans="4:13" ht="18" customHeight="1" x14ac:dyDescent="0.25">
      <c r="D499" s="3"/>
      <c r="F499" s="3"/>
      <c r="G499" s="32"/>
      <c r="H499" s="32"/>
      <c r="I499" s="32"/>
      <c r="J499" s="32"/>
      <c r="K499" s="3"/>
      <c r="L499" s="3"/>
      <c r="M499" s="3"/>
    </row>
    <row r="500" spans="4:13" ht="18" customHeight="1" x14ac:dyDescent="0.25">
      <c r="D500" s="3"/>
      <c r="F500" s="3"/>
      <c r="G500" s="32"/>
      <c r="H500" s="32"/>
      <c r="I500" s="32"/>
      <c r="J500" s="32"/>
      <c r="K500" s="3"/>
      <c r="L500" s="3"/>
      <c r="M500" s="3"/>
    </row>
    <row r="501" spans="4:13" ht="18" customHeight="1" x14ac:dyDescent="0.25">
      <c r="D501" s="3"/>
      <c r="F501" s="3"/>
      <c r="G501" s="32"/>
      <c r="H501" s="32"/>
      <c r="I501" s="32"/>
      <c r="J501" s="32"/>
      <c r="K501" s="3"/>
      <c r="L501" s="3"/>
      <c r="M501" s="3"/>
    </row>
    <row r="502" spans="4:13" ht="18" customHeight="1" x14ac:dyDescent="0.25">
      <c r="D502" s="3"/>
      <c r="F502" s="3"/>
      <c r="G502" s="32"/>
      <c r="H502" s="32"/>
      <c r="I502" s="32"/>
      <c r="J502" s="32"/>
      <c r="K502" s="3"/>
      <c r="L502" s="3"/>
      <c r="M502" s="3"/>
    </row>
    <row r="503" spans="4:13" ht="18" customHeight="1" x14ac:dyDescent="0.25">
      <c r="D503" s="3"/>
      <c r="F503" s="3"/>
      <c r="G503" s="32"/>
      <c r="H503" s="32"/>
      <c r="I503" s="32"/>
      <c r="J503" s="32"/>
      <c r="K503" s="3"/>
      <c r="L503" s="3"/>
      <c r="M503" s="3"/>
    </row>
    <row r="504" spans="4:13" ht="18" customHeight="1" x14ac:dyDescent="0.25">
      <c r="D504" s="3"/>
      <c r="F504" s="3"/>
      <c r="G504" s="32"/>
      <c r="H504" s="32"/>
      <c r="I504" s="32"/>
      <c r="J504" s="32"/>
      <c r="K504" s="3"/>
      <c r="L504" s="3"/>
      <c r="M504" s="3"/>
    </row>
    <row r="505" spans="4:13" ht="18" customHeight="1" x14ac:dyDescent="0.25">
      <c r="D505" s="3"/>
      <c r="F505" s="3"/>
      <c r="G505" s="32"/>
      <c r="H505" s="32"/>
      <c r="I505" s="32"/>
      <c r="J505" s="32"/>
      <c r="K505" s="3"/>
      <c r="L505" s="3"/>
      <c r="M505" s="3"/>
    </row>
    <row r="506" spans="4:13" ht="18" customHeight="1" x14ac:dyDescent="0.25">
      <c r="D506" s="3"/>
      <c r="F506" s="3"/>
      <c r="G506" s="32"/>
      <c r="H506" s="32"/>
      <c r="I506" s="32"/>
      <c r="J506" s="32"/>
      <c r="K506" s="3"/>
      <c r="L506" s="3"/>
      <c r="M506" s="3"/>
    </row>
    <row r="507" spans="4:13" ht="18" customHeight="1" x14ac:dyDescent="0.25">
      <c r="D507" s="3"/>
      <c r="F507" s="3"/>
      <c r="G507" s="32"/>
      <c r="H507" s="32"/>
      <c r="I507" s="32"/>
      <c r="J507" s="32"/>
      <c r="K507" s="3"/>
      <c r="L507" s="3"/>
      <c r="M507" s="3"/>
    </row>
    <row r="508" spans="4:13" ht="18" customHeight="1" x14ac:dyDescent="0.25">
      <c r="D508" s="3"/>
      <c r="F508" s="3"/>
      <c r="G508" s="32"/>
      <c r="H508" s="32"/>
      <c r="I508" s="32"/>
      <c r="J508" s="32"/>
      <c r="K508" s="3"/>
      <c r="L508" s="3"/>
      <c r="M508" s="3"/>
    </row>
    <row r="509" spans="4:13" ht="18" customHeight="1" x14ac:dyDescent="0.25">
      <c r="D509" s="3"/>
      <c r="F509" s="3"/>
      <c r="G509" s="32"/>
      <c r="H509" s="32"/>
      <c r="I509" s="32"/>
      <c r="J509" s="32"/>
      <c r="K509" s="3"/>
      <c r="L509" s="3"/>
      <c r="M509" s="3"/>
    </row>
    <row r="510" spans="4:13" ht="18" customHeight="1" x14ac:dyDescent="0.25">
      <c r="D510" s="3"/>
      <c r="F510" s="3"/>
      <c r="G510" s="32"/>
      <c r="H510" s="32"/>
      <c r="I510" s="32"/>
      <c r="J510" s="32"/>
      <c r="K510" s="3"/>
      <c r="L510" s="3"/>
      <c r="M510" s="3"/>
    </row>
    <row r="511" spans="4:13" ht="18" customHeight="1" x14ac:dyDescent="0.25">
      <c r="D511" s="3"/>
      <c r="F511" s="3"/>
      <c r="G511" s="32"/>
      <c r="H511" s="32"/>
      <c r="I511" s="32"/>
      <c r="J511" s="32"/>
      <c r="K511" s="3"/>
      <c r="L511" s="3"/>
      <c r="M511" s="3"/>
    </row>
    <row r="512" spans="4:13" ht="18" customHeight="1" x14ac:dyDescent="0.25">
      <c r="D512" s="3"/>
      <c r="F512" s="3"/>
      <c r="G512" s="32"/>
      <c r="H512" s="32"/>
      <c r="I512" s="32"/>
      <c r="J512" s="32"/>
      <c r="K512" s="3"/>
      <c r="L512" s="3"/>
      <c r="M512" s="3"/>
    </row>
    <row r="513" spans="4:13" ht="18" customHeight="1" x14ac:dyDescent="0.25">
      <c r="D513" s="3"/>
      <c r="F513" s="3"/>
      <c r="G513" s="32"/>
      <c r="H513" s="32"/>
      <c r="I513" s="32"/>
      <c r="J513" s="32"/>
      <c r="K513" s="3"/>
      <c r="L513" s="3"/>
      <c r="M513" s="3"/>
    </row>
    <row r="514" spans="4:13" ht="18" customHeight="1" x14ac:dyDescent="0.25">
      <c r="D514" s="3"/>
      <c r="F514" s="3"/>
      <c r="G514" s="32"/>
      <c r="H514" s="32"/>
      <c r="I514" s="32"/>
      <c r="J514" s="32"/>
      <c r="K514" s="3"/>
      <c r="L514" s="3"/>
      <c r="M514" s="3"/>
    </row>
    <row r="515" spans="4:13" ht="18" customHeight="1" x14ac:dyDescent="0.25">
      <c r="D515" s="3"/>
      <c r="F515" s="3"/>
      <c r="G515" s="32"/>
      <c r="H515" s="32"/>
      <c r="I515" s="32"/>
      <c r="J515" s="32"/>
      <c r="K515" s="3"/>
      <c r="L515" s="3"/>
      <c r="M515" s="3"/>
    </row>
    <row r="516" spans="4:13" ht="18" customHeight="1" x14ac:dyDescent="0.25">
      <c r="D516" s="3"/>
      <c r="F516" s="3"/>
      <c r="G516" s="32"/>
      <c r="H516" s="32"/>
      <c r="I516" s="32"/>
      <c r="J516" s="32"/>
      <c r="K516" s="3"/>
      <c r="L516" s="3"/>
      <c r="M516" s="3"/>
    </row>
    <row r="517" spans="4:13" ht="18" customHeight="1" x14ac:dyDescent="0.25">
      <c r="D517" s="3"/>
      <c r="F517" s="3"/>
      <c r="G517" s="32"/>
      <c r="H517" s="32"/>
      <c r="I517" s="32"/>
      <c r="J517" s="32"/>
      <c r="K517" s="3"/>
      <c r="L517" s="3"/>
      <c r="M517" s="3"/>
    </row>
    <row r="518" spans="4:13" ht="18" customHeight="1" x14ac:dyDescent="0.25">
      <c r="D518" s="3"/>
      <c r="F518" s="3"/>
      <c r="G518" s="32"/>
      <c r="H518" s="32"/>
      <c r="I518" s="32"/>
      <c r="J518" s="32"/>
      <c r="K518" s="3"/>
      <c r="L518" s="3"/>
      <c r="M518" s="3"/>
    </row>
    <row r="519" spans="4:13" ht="18" customHeight="1" x14ac:dyDescent="0.25">
      <c r="D519" s="3"/>
      <c r="F519" s="3"/>
      <c r="G519" s="32"/>
      <c r="H519" s="32"/>
      <c r="I519" s="32"/>
      <c r="J519" s="32"/>
      <c r="K519" s="3"/>
      <c r="L519" s="3"/>
      <c r="M519" s="3"/>
    </row>
    <row r="520" spans="4:13" ht="18" customHeight="1" x14ac:dyDescent="0.25">
      <c r="D520" s="3"/>
      <c r="F520" s="3"/>
      <c r="G520" s="32"/>
      <c r="H520" s="32"/>
      <c r="I520" s="32"/>
      <c r="J520" s="32"/>
      <c r="K520" s="3"/>
      <c r="L520" s="3"/>
      <c r="M520" s="3"/>
    </row>
    <row r="521" spans="4:13" ht="18" customHeight="1" x14ac:dyDescent="0.25">
      <c r="D521" s="3"/>
      <c r="F521" s="3"/>
      <c r="G521" s="32"/>
      <c r="H521" s="32"/>
      <c r="I521" s="32"/>
      <c r="J521" s="32"/>
      <c r="K521" s="3"/>
      <c r="L521" s="3"/>
      <c r="M521" s="3"/>
    </row>
    <row r="522" spans="4:13" ht="18" customHeight="1" x14ac:dyDescent="0.25">
      <c r="D522" s="3"/>
      <c r="F522" s="3"/>
      <c r="G522" s="32"/>
      <c r="H522" s="32"/>
      <c r="I522" s="32"/>
      <c r="J522" s="32"/>
      <c r="K522" s="3"/>
      <c r="L522" s="3"/>
      <c r="M522" s="3"/>
    </row>
    <row r="523" spans="4:13" ht="18" customHeight="1" x14ac:dyDescent="0.25">
      <c r="D523" s="3"/>
      <c r="F523" s="3"/>
      <c r="G523" s="32"/>
      <c r="H523" s="32"/>
      <c r="I523" s="32"/>
      <c r="J523" s="32"/>
      <c r="K523" s="3"/>
      <c r="L523" s="3"/>
      <c r="M523" s="3"/>
    </row>
    <row r="524" spans="4:13" ht="18" customHeight="1" x14ac:dyDescent="0.25">
      <c r="D524" s="3"/>
      <c r="F524" s="3"/>
      <c r="G524" s="32"/>
      <c r="H524" s="32"/>
      <c r="I524" s="32"/>
      <c r="J524" s="32"/>
      <c r="K524" s="3"/>
      <c r="L524" s="3"/>
      <c r="M524" s="3"/>
    </row>
    <row r="525" spans="4:13" ht="18" customHeight="1" x14ac:dyDescent="0.25">
      <c r="D525" s="3"/>
      <c r="F525" s="3"/>
      <c r="G525" s="32"/>
      <c r="H525" s="32"/>
      <c r="I525" s="32"/>
      <c r="J525" s="32"/>
      <c r="K525" s="3"/>
      <c r="L525" s="3"/>
      <c r="M525" s="3"/>
    </row>
    <row r="526" spans="4:13" ht="18" customHeight="1" x14ac:dyDescent="0.25">
      <c r="D526" s="3"/>
      <c r="F526" s="3"/>
      <c r="G526" s="32"/>
      <c r="H526" s="32"/>
      <c r="I526" s="32"/>
      <c r="J526" s="32"/>
      <c r="K526" s="3"/>
      <c r="L526" s="3"/>
      <c r="M526" s="3"/>
    </row>
    <row r="527" spans="4:13" ht="18" customHeight="1" x14ac:dyDescent="0.25">
      <c r="D527" s="3"/>
      <c r="F527" s="3"/>
      <c r="G527" s="32"/>
      <c r="H527" s="32"/>
      <c r="I527" s="32"/>
      <c r="J527" s="32"/>
      <c r="K527" s="3"/>
      <c r="L527" s="3"/>
      <c r="M527" s="3"/>
    </row>
    <row r="528" spans="4:13" ht="18" customHeight="1" x14ac:dyDescent="0.25">
      <c r="D528" s="3"/>
      <c r="F528" s="3"/>
      <c r="G528" s="32"/>
      <c r="H528" s="32"/>
      <c r="I528" s="32"/>
      <c r="J528" s="32"/>
      <c r="K528" s="3"/>
      <c r="L528" s="3"/>
      <c r="M528" s="3"/>
    </row>
    <row r="529" spans="4:13" ht="18" customHeight="1" x14ac:dyDescent="0.25">
      <c r="D529" s="3"/>
      <c r="F529" s="3"/>
      <c r="G529" s="32"/>
      <c r="H529" s="32"/>
      <c r="I529" s="32"/>
      <c r="J529" s="32"/>
      <c r="K529" s="3"/>
      <c r="L529" s="3"/>
      <c r="M529" s="3"/>
    </row>
    <row r="530" spans="4:13" ht="18" customHeight="1" x14ac:dyDescent="0.25">
      <c r="D530" s="3"/>
      <c r="F530" s="3"/>
      <c r="G530" s="32"/>
      <c r="H530" s="32"/>
      <c r="I530" s="32"/>
      <c r="J530" s="32"/>
      <c r="K530" s="3"/>
      <c r="L530" s="3"/>
      <c r="M530" s="3"/>
    </row>
    <row r="531" spans="4:13" ht="18" customHeight="1" x14ac:dyDescent="0.25">
      <c r="D531" s="3"/>
      <c r="F531" s="3"/>
      <c r="G531" s="32"/>
      <c r="H531" s="32"/>
      <c r="I531" s="32"/>
      <c r="J531" s="32"/>
      <c r="K531" s="3"/>
      <c r="L531" s="3"/>
      <c r="M531" s="3"/>
    </row>
    <row r="532" spans="4:13" ht="18" customHeight="1" x14ac:dyDescent="0.25">
      <c r="D532" s="3"/>
      <c r="F532" s="3"/>
      <c r="G532" s="32"/>
      <c r="H532" s="32"/>
      <c r="I532" s="32"/>
      <c r="J532" s="32"/>
      <c r="K532" s="3"/>
      <c r="L532" s="3"/>
      <c r="M532" s="3"/>
    </row>
    <row r="533" spans="4:13" ht="18" customHeight="1" x14ac:dyDescent="0.25">
      <c r="D533" s="3"/>
      <c r="F533" s="3"/>
      <c r="G533" s="32"/>
      <c r="H533" s="32"/>
      <c r="I533" s="32"/>
      <c r="J533" s="32"/>
      <c r="K533" s="3"/>
      <c r="L533" s="3"/>
      <c r="M533" s="3"/>
    </row>
    <row r="534" spans="4:13" ht="18" customHeight="1" x14ac:dyDescent="0.25">
      <c r="D534" s="3"/>
      <c r="F534" s="3"/>
      <c r="G534" s="32"/>
      <c r="H534" s="32"/>
      <c r="I534" s="32"/>
      <c r="J534" s="32"/>
      <c r="K534" s="3"/>
      <c r="L534" s="3"/>
      <c r="M534" s="3"/>
    </row>
    <row r="535" spans="4:13" ht="18" customHeight="1" x14ac:dyDescent="0.25">
      <c r="D535" s="3"/>
      <c r="F535" s="3"/>
      <c r="G535" s="32"/>
      <c r="H535" s="32"/>
      <c r="I535" s="32"/>
      <c r="J535" s="32"/>
      <c r="K535" s="3"/>
      <c r="L535" s="3"/>
      <c r="M535" s="3"/>
    </row>
    <row r="536" spans="4:13" ht="18" customHeight="1" x14ac:dyDescent="0.25">
      <c r="D536" s="3"/>
      <c r="F536" s="3"/>
      <c r="G536" s="32"/>
      <c r="H536" s="32"/>
      <c r="I536" s="32"/>
      <c r="J536" s="32"/>
      <c r="K536" s="3"/>
      <c r="L536" s="3"/>
      <c r="M536" s="3"/>
    </row>
    <row r="537" spans="4:13" ht="18" customHeight="1" x14ac:dyDescent="0.25">
      <c r="D537" s="3"/>
      <c r="F537" s="3"/>
      <c r="G537" s="32"/>
      <c r="H537" s="32"/>
      <c r="I537" s="32"/>
      <c r="J537" s="32"/>
      <c r="K537" s="3"/>
      <c r="L537" s="3"/>
      <c r="M537" s="3"/>
    </row>
    <row r="538" spans="4:13" ht="18" customHeight="1" x14ac:dyDescent="0.25">
      <c r="D538" s="3"/>
      <c r="F538" s="3"/>
      <c r="G538" s="32"/>
      <c r="H538" s="32"/>
      <c r="I538" s="32"/>
      <c r="J538" s="32"/>
      <c r="K538" s="3"/>
      <c r="L538" s="3"/>
      <c r="M538" s="3"/>
    </row>
    <row r="539" spans="4:13" ht="18" customHeight="1" x14ac:dyDescent="0.25">
      <c r="D539" s="3"/>
      <c r="F539" s="3"/>
      <c r="G539" s="32"/>
      <c r="H539" s="32"/>
      <c r="I539" s="32"/>
      <c r="J539" s="32"/>
      <c r="K539" s="3"/>
      <c r="L539" s="3"/>
      <c r="M539" s="3"/>
    </row>
    <row r="540" spans="4:13" ht="18" customHeight="1" x14ac:dyDescent="0.25">
      <c r="D540" s="3"/>
      <c r="F540" s="3"/>
      <c r="G540" s="32"/>
      <c r="H540" s="32"/>
      <c r="I540" s="32"/>
      <c r="J540" s="32"/>
      <c r="K540" s="3"/>
      <c r="L540" s="3"/>
      <c r="M540" s="3"/>
    </row>
    <row r="541" spans="4:13" ht="18" customHeight="1" x14ac:dyDescent="0.25">
      <c r="D541" s="3"/>
      <c r="F541" s="3"/>
      <c r="G541" s="32"/>
      <c r="H541" s="32"/>
      <c r="I541" s="32"/>
      <c r="J541" s="32"/>
      <c r="K541" s="3"/>
      <c r="L541" s="3"/>
      <c r="M541" s="3"/>
    </row>
    <row r="542" spans="4:13" ht="18" customHeight="1" x14ac:dyDescent="0.25">
      <c r="D542" s="3"/>
      <c r="F542" s="3"/>
      <c r="G542" s="32"/>
      <c r="H542" s="32"/>
      <c r="I542" s="32"/>
      <c r="J542" s="32"/>
      <c r="K542" s="3"/>
      <c r="L542" s="3"/>
      <c r="M542" s="3"/>
    </row>
    <row r="543" spans="4:13" ht="18" customHeight="1" x14ac:dyDescent="0.25">
      <c r="D543" s="3"/>
      <c r="F543" s="3"/>
      <c r="G543" s="32"/>
      <c r="H543" s="32"/>
      <c r="I543" s="32"/>
      <c r="J543" s="32"/>
      <c r="K543" s="3"/>
      <c r="L543" s="3"/>
      <c r="M543" s="3"/>
    </row>
    <row r="544" spans="4:13" ht="18" customHeight="1" x14ac:dyDescent="0.25">
      <c r="D544" s="3"/>
      <c r="F544" s="3"/>
      <c r="G544" s="32"/>
      <c r="H544" s="32"/>
      <c r="I544" s="32"/>
      <c r="J544" s="32"/>
      <c r="K544" s="3"/>
      <c r="L544" s="3"/>
      <c r="M544" s="3"/>
    </row>
    <row r="545" spans="4:13" ht="18" customHeight="1" x14ac:dyDescent="0.25">
      <c r="D545" s="3"/>
      <c r="F545" s="3"/>
      <c r="G545" s="32"/>
      <c r="H545" s="32"/>
      <c r="I545" s="32"/>
      <c r="J545" s="32"/>
      <c r="K545" s="3"/>
      <c r="L545" s="3"/>
      <c r="M545" s="3"/>
    </row>
    <row r="546" spans="4:13" ht="18" customHeight="1" x14ac:dyDescent="0.25">
      <c r="D546" s="3"/>
      <c r="F546" s="3"/>
      <c r="G546" s="32"/>
      <c r="H546" s="32"/>
      <c r="I546" s="32"/>
      <c r="J546" s="32"/>
      <c r="K546" s="3"/>
      <c r="L546" s="3"/>
      <c r="M546" s="3"/>
    </row>
    <row r="547" spans="4:13" ht="18" customHeight="1" x14ac:dyDescent="0.25">
      <c r="D547" s="3"/>
      <c r="F547" s="3"/>
      <c r="G547" s="32"/>
      <c r="H547" s="32"/>
      <c r="I547" s="32"/>
      <c r="J547" s="32"/>
      <c r="K547" s="3"/>
      <c r="L547" s="3"/>
      <c r="M547" s="3"/>
    </row>
    <row r="548" spans="4:13" ht="18" customHeight="1" x14ac:dyDescent="0.25">
      <c r="D548" s="3"/>
      <c r="F548" s="3"/>
      <c r="G548" s="32"/>
      <c r="H548" s="32"/>
      <c r="I548" s="32"/>
      <c r="J548" s="32"/>
      <c r="K548" s="3"/>
      <c r="L548" s="3"/>
      <c r="M548" s="3"/>
    </row>
    <row r="549" spans="4:13" ht="18" customHeight="1" x14ac:dyDescent="0.25">
      <c r="D549" s="3"/>
      <c r="F549" s="3"/>
      <c r="G549" s="32"/>
      <c r="H549" s="32"/>
      <c r="I549" s="32"/>
      <c r="J549" s="32"/>
      <c r="K549" s="3"/>
      <c r="L549" s="3"/>
      <c r="M549" s="3"/>
    </row>
    <row r="550" spans="4:13" ht="18" customHeight="1" x14ac:dyDescent="0.25">
      <c r="D550" s="3"/>
      <c r="F550" s="3"/>
      <c r="G550" s="32"/>
      <c r="H550" s="32"/>
      <c r="I550" s="32"/>
      <c r="J550" s="32"/>
      <c r="K550" s="3"/>
      <c r="L550" s="3"/>
      <c r="M550" s="3"/>
    </row>
    <row r="551" spans="4:13" ht="18" customHeight="1" x14ac:dyDescent="0.25">
      <c r="D551" s="3"/>
      <c r="F551" s="3"/>
      <c r="G551" s="32"/>
      <c r="H551" s="32"/>
      <c r="I551" s="32"/>
      <c r="J551" s="32"/>
      <c r="K551" s="3"/>
      <c r="L551" s="3"/>
      <c r="M551" s="3"/>
    </row>
    <row r="552" spans="4:13" ht="18" customHeight="1" x14ac:dyDescent="0.25">
      <c r="D552" s="3"/>
      <c r="F552" s="3"/>
      <c r="G552" s="32"/>
      <c r="H552" s="32"/>
      <c r="I552" s="32"/>
      <c r="J552" s="32"/>
      <c r="K552" s="3"/>
      <c r="L552" s="3"/>
      <c r="M552" s="3"/>
    </row>
    <row r="553" spans="4:13" ht="18" customHeight="1" x14ac:dyDescent="0.25">
      <c r="D553" s="3"/>
      <c r="F553" s="3"/>
      <c r="G553" s="32"/>
      <c r="H553" s="32"/>
      <c r="I553" s="32"/>
      <c r="J553" s="32"/>
      <c r="K553" s="3"/>
      <c r="L553" s="3"/>
      <c r="M553" s="3"/>
    </row>
    <row r="554" spans="4:13" ht="18" customHeight="1" x14ac:dyDescent="0.25">
      <c r="D554" s="3"/>
      <c r="F554" s="3"/>
      <c r="G554" s="32"/>
      <c r="H554" s="32"/>
      <c r="I554" s="32"/>
      <c r="J554" s="32"/>
      <c r="K554" s="3"/>
      <c r="L554" s="3"/>
      <c r="M554" s="3"/>
    </row>
    <row r="555" spans="4:13" ht="18" customHeight="1" x14ac:dyDescent="0.25">
      <c r="D555" s="3"/>
      <c r="F555" s="3"/>
      <c r="G555" s="32"/>
      <c r="H555" s="32"/>
      <c r="I555" s="32"/>
      <c r="J555" s="32"/>
      <c r="K555" s="3"/>
      <c r="L555" s="3"/>
      <c r="M555" s="3"/>
    </row>
    <row r="556" spans="4:13" ht="18" customHeight="1" x14ac:dyDescent="0.25">
      <c r="D556" s="3"/>
      <c r="F556" s="3"/>
      <c r="G556" s="32"/>
      <c r="H556" s="32"/>
      <c r="I556" s="32"/>
      <c r="J556" s="32"/>
      <c r="K556" s="3"/>
      <c r="L556" s="3"/>
      <c r="M556" s="3"/>
    </row>
    <row r="557" spans="4:13" ht="18" customHeight="1" x14ac:dyDescent="0.25">
      <c r="D557" s="3"/>
      <c r="F557" s="3"/>
      <c r="G557" s="32"/>
      <c r="H557" s="32"/>
      <c r="I557" s="32"/>
      <c r="J557" s="32"/>
      <c r="K557" s="3"/>
      <c r="L557" s="3"/>
      <c r="M557" s="3"/>
    </row>
    <row r="558" spans="4:13" ht="18" customHeight="1" x14ac:dyDescent="0.25">
      <c r="D558" s="3"/>
      <c r="F558" s="3"/>
      <c r="G558" s="32"/>
      <c r="H558" s="32"/>
      <c r="I558" s="32"/>
      <c r="J558" s="32"/>
      <c r="K558" s="3"/>
      <c r="L558" s="3"/>
      <c r="M558" s="3"/>
    </row>
    <row r="559" spans="4:13" ht="18" customHeight="1" x14ac:dyDescent="0.25">
      <c r="D559" s="3"/>
      <c r="F559" s="3"/>
      <c r="G559" s="32"/>
      <c r="H559" s="32"/>
      <c r="I559" s="32"/>
      <c r="J559" s="32"/>
      <c r="K559" s="3"/>
      <c r="L559" s="3"/>
      <c r="M559" s="3"/>
    </row>
    <row r="560" spans="4:13" ht="18" customHeight="1" x14ac:dyDescent="0.25">
      <c r="D560" s="3"/>
      <c r="F560" s="3"/>
      <c r="G560" s="32"/>
      <c r="H560" s="32"/>
      <c r="I560" s="32"/>
      <c r="J560" s="32"/>
      <c r="K560" s="3"/>
      <c r="L560" s="3"/>
      <c r="M560" s="3"/>
    </row>
    <row r="561" spans="4:13" ht="18" customHeight="1" x14ac:dyDescent="0.25">
      <c r="D561" s="3"/>
      <c r="F561" s="3"/>
      <c r="G561" s="32"/>
      <c r="H561" s="32"/>
      <c r="I561" s="32"/>
      <c r="J561" s="32"/>
      <c r="K561" s="3"/>
      <c r="L561" s="3"/>
      <c r="M561" s="3"/>
    </row>
    <row r="562" spans="4:13" ht="18" customHeight="1" x14ac:dyDescent="0.25">
      <c r="D562" s="3"/>
      <c r="F562" s="3"/>
      <c r="G562" s="32"/>
      <c r="H562" s="32"/>
      <c r="I562" s="32"/>
      <c r="J562" s="32"/>
      <c r="K562" s="3"/>
      <c r="L562" s="3"/>
      <c r="M562" s="3"/>
    </row>
    <row r="563" spans="4:13" ht="18" customHeight="1" x14ac:dyDescent="0.25">
      <c r="D563" s="3"/>
      <c r="F563" s="3"/>
      <c r="G563" s="32"/>
      <c r="H563" s="32"/>
      <c r="I563" s="32"/>
      <c r="J563" s="32"/>
      <c r="K563" s="3"/>
      <c r="L563" s="3"/>
      <c r="M563" s="3"/>
    </row>
    <row r="564" spans="4:13" ht="18" customHeight="1" x14ac:dyDescent="0.25">
      <c r="D564" s="3"/>
      <c r="F564" s="3"/>
      <c r="G564" s="32"/>
      <c r="H564" s="32"/>
      <c r="I564" s="32"/>
      <c r="J564" s="32"/>
      <c r="K564" s="3"/>
      <c r="L564" s="3"/>
      <c r="M564" s="3"/>
    </row>
    <row r="565" spans="4:13" ht="18" customHeight="1" x14ac:dyDescent="0.25">
      <c r="D565" s="3"/>
      <c r="F565" s="3"/>
      <c r="G565" s="32"/>
      <c r="H565" s="32"/>
      <c r="I565" s="32"/>
      <c r="J565" s="32"/>
      <c r="K565" s="3"/>
      <c r="L565" s="3"/>
      <c r="M565" s="3"/>
    </row>
    <row r="566" spans="4:13" ht="18" customHeight="1" x14ac:dyDescent="0.25">
      <c r="D566" s="3"/>
      <c r="F566" s="3"/>
      <c r="G566" s="32"/>
      <c r="H566" s="32"/>
      <c r="I566" s="32"/>
      <c r="J566" s="32"/>
      <c r="K566" s="3"/>
      <c r="L566" s="3"/>
      <c r="M566" s="3"/>
    </row>
    <row r="567" spans="4:13" ht="18" customHeight="1" x14ac:dyDescent="0.25">
      <c r="D567" s="3"/>
      <c r="F567" s="3"/>
      <c r="G567" s="32"/>
      <c r="H567" s="32"/>
      <c r="I567" s="32"/>
      <c r="J567" s="32"/>
      <c r="K567" s="3"/>
      <c r="L567" s="3"/>
      <c r="M567" s="3"/>
    </row>
    <row r="568" spans="4:13" ht="18" customHeight="1" x14ac:dyDescent="0.25">
      <c r="D568" s="3"/>
      <c r="F568" s="3"/>
      <c r="G568" s="32"/>
      <c r="H568" s="32"/>
      <c r="I568" s="32"/>
      <c r="J568" s="32"/>
      <c r="K568" s="3"/>
      <c r="L568" s="3"/>
      <c r="M568" s="3"/>
    </row>
    <row r="569" spans="4:13" ht="18" customHeight="1" x14ac:dyDescent="0.25">
      <c r="D569" s="3"/>
      <c r="F569" s="3"/>
      <c r="G569" s="32"/>
      <c r="H569" s="32"/>
      <c r="I569" s="32"/>
      <c r="J569" s="32"/>
      <c r="K569" s="3"/>
      <c r="L569" s="3"/>
      <c r="M569" s="3"/>
    </row>
    <row r="570" spans="4:13" ht="18" customHeight="1" x14ac:dyDescent="0.25">
      <c r="D570" s="3"/>
      <c r="F570" s="3"/>
      <c r="G570" s="32"/>
      <c r="H570" s="32"/>
      <c r="I570" s="32"/>
      <c r="J570" s="32"/>
      <c r="K570" s="3"/>
      <c r="L570" s="3"/>
      <c r="M570" s="3"/>
    </row>
    <row r="571" spans="4:13" ht="18" customHeight="1" x14ac:dyDescent="0.25">
      <c r="D571" s="3"/>
      <c r="F571" s="3"/>
      <c r="G571" s="32"/>
      <c r="H571" s="32"/>
      <c r="I571" s="32"/>
      <c r="J571" s="32"/>
      <c r="K571" s="3"/>
      <c r="L571" s="3"/>
      <c r="M571" s="3"/>
    </row>
    <row r="572" spans="4:13" ht="18" customHeight="1" x14ac:dyDescent="0.25">
      <c r="D572" s="3"/>
      <c r="F572" s="3"/>
      <c r="G572" s="32"/>
      <c r="H572" s="32"/>
      <c r="I572" s="32"/>
      <c r="J572" s="32"/>
      <c r="K572" s="3"/>
      <c r="L572" s="3"/>
      <c r="M572" s="3"/>
    </row>
    <row r="573" spans="4:13" ht="18" customHeight="1" x14ac:dyDescent="0.25">
      <c r="D573" s="3"/>
      <c r="F573" s="3"/>
      <c r="G573" s="32"/>
      <c r="H573" s="32"/>
      <c r="I573" s="32"/>
      <c r="J573" s="32"/>
      <c r="K573" s="3"/>
      <c r="L573" s="3"/>
      <c r="M573" s="3"/>
    </row>
    <row r="574" spans="4:13" ht="18" customHeight="1" x14ac:dyDescent="0.25">
      <c r="D574" s="3"/>
      <c r="F574" s="3"/>
      <c r="G574" s="32"/>
      <c r="H574" s="32"/>
      <c r="I574" s="32"/>
      <c r="J574" s="32"/>
      <c r="K574" s="3"/>
      <c r="L574" s="3"/>
      <c r="M574" s="3"/>
    </row>
    <row r="575" spans="4:13" ht="18" customHeight="1" x14ac:dyDescent="0.25">
      <c r="D575" s="3"/>
      <c r="F575" s="3"/>
      <c r="G575" s="32"/>
      <c r="H575" s="32"/>
      <c r="I575" s="32"/>
      <c r="J575" s="32"/>
      <c r="K575" s="3"/>
      <c r="L575" s="3"/>
      <c r="M575" s="3"/>
    </row>
    <row r="576" spans="4:13" ht="18" customHeight="1" x14ac:dyDescent="0.25">
      <c r="D576" s="3"/>
      <c r="F576" s="3"/>
      <c r="G576" s="32"/>
      <c r="H576" s="32"/>
      <c r="I576" s="32"/>
      <c r="J576" s="32"/>
      <c r="K576" s="3"/>
      <c r="L576" s="3"/>
      <c r="M576" s="3"/>
    </row>
    <row r="577" spans="4:13" ht="18" customHeight="1" x14ac:dyDescent="0.25">
      <c r="D577" s="3"/>
      <c r="F577" s="3"/>
      <c r="G577" s="32"/>
      <c r="H577" s="32"/>
      <c r="I577" s="32"/>
      <c r="J577" s="32"/>
      <c r="K577" s="3"/>
      <c r="L577" s="3"/>
      <c r="M577" s="3"/>
    </row>
    <row r="578" spans="4:13" ht="18" customHeight="1" x14ac:dyDescent="0.25">
      <c r="D578" s="3"/>
      <c r="F578" s="3"/>
      <c r="G578" s="32"/>
      <c r="H578" s="32"/>
      <c r="I578" s="32"/>
      <c r="J578" s="32"/>
      <c r="K578" s="3"/>
      <c r="L578" s="3"/>
      <c r="M578" s="3"/>
    </row>
    <row r="579" spans="4:13" ht="18" customHeight="1" x14ac:dyDescent="0.25">
      <c r="D579" s="3"/>
      <c r="F579" s="3"/>
      <c r="G579" s="32"/>
      <c r="H579" s="32"/>
      <c r="I579" s="32"/>
      <c r="J579" s="32"/>
      <c r="K579" s="3"/>
      <c r="L579" s="3"/>
      <c r="M579" s="3"/>
    </row>
    <row r="580" spans="4:13" ht="18" customHeight="1" x14ac:dyDescent="0.25">
      <c r="D580" s="3"/>
      <c r="F580" s="3"/>
      <c r="G580" s="32"/>
      <c r="H580" s="32"/>
      <c r="I580" s="32"/>
      <c r="J580" s="32"/>
      <c r="K580" s="3"/>
      <c r="L580" s="3"/>
      <c r="M580" s="3"/>
    </row>
    <row r="581" spans="4:13" ht="18" customHeight="1" x14ac:dyDescent="0.25">
      <c r="D581" s="3"/>
      <c r="F581" s="3"/>
      <c r="G581" s="32"/>
      <c r="H581" s="32"/>
      <c r="I581" s="32"/>
      <c r="J581" s="32"/>
      <c r="K581" s="3"/>
      <c r="L581" s="3"/>
      <c r="M581" s="3"/>
    </row>
    <row r="582" spans="4:13" ht="18" customHeight="1" x14ac:dyDescent="0.25">
      <c r="D582" s="3"/>
      <c r="F582" s="3"/>
      <c r="G582" s="32"/>
      <c r="H582" s="32"/>
      <c r="I582" s="32"/>
      <c r="J582" s="32"/>
      <c r="K582" s="3"/>
      <c r="L582" s="3"/>
      <c r="M582" s="3"/>
    </row>
    <row r="583" spans="4:13" ht="18" customHeight="1" x14ac:dyDescent="0.25">
      <c r="D583" s="3"/>
      <c r="F583" s="3"/>
      <c r="G583" s="32"/>
      <c r="H583" s="32"/>
      <c r="I583" s="32"/>
      <c r="J583" s="32"/>
      <c r="K583" s="3"/>
      <c r="L583" s="3"/>
      <c r="M583" s="3"/>
    </row>
    <row r="584" spans="4:13" ht="18" customHeight="1" x14ac:dyDescent="0.25">
      <c r="D584" s="3"/>
      <c r="F584" s="3"/>
      <c r="G584" s="32"/>
      <c r="H584" s="32"/>
      <c r="I584" s="32"/>
      <c r="J584" s="32"/>
      <c r="K584" s="3"/>
      <c r="L584" s="3"/>
      <c r="M584" s="3"/>
    </row>
    <row r="585" spans="4:13" ht="18" customHeight="1" x14ac:dyDescent="0.25">
      <c r="D585" s="3"/>
      <c r="F585" s="3"/>
      <c r="G585" s="32"/>
      <c r="H585" s="32"/>
      <c r="I585" s="32"/>
      <c r="J585" s="32"/>
      <c r="K585" s="3"/>
      <c r="L585" s="3"/>
      <c r="M585" s="3"/>
    </row>
    <row r="586" spans="4:13" ht="18" customHeight="1" x14ac:dyDescent="0.25">
      <c r="D586" s="3"/>
      <c r="F586" s="3"/>
      <c r="G586" s="32"/>
      <c r="H586" s="32"/>
      <c r="I586" s="32"/>
      <c r="J586" s="32"/>
      <c r="K586" s="3"/>
      <c r="L586" s="3"/>
      <c r="M586" s="3"/>
    </row>
    <row r="587" spans="4:13" ht="18" customHeight="1" x14ac:dyDescent="0.25">
      <c r="D587" s="3"/>
      <c r="F587" s="3"/>
      <c r="G587" s="32"/>
      <c r="H587" s="32"/>
      <c r="I587" s="32"/>
      <c r="J587" s="32"/>
      <c r="K587" s="3"/>
      <c r="L587" s="3"/>
      <c r="M587" s="3"/>
    </row>
    <row r="588" spans="4:13" ht="18" customHeight="1" x14ac:dyDescent="0.25">
      <c r="D588" s="3"/>
      <c r="F588" s="3"/>
      <c r="G588" s="32"/>
      <c r="H588" s="32"/>
      <c r="I588" s="32"/>
      <c r="J588" s="32"/>
      <c r="K588" s="3"/>
      <c r="L588" s="3"/>
      <c r="M588" s="3"/>
    </row>
    <row r="589" spans="4:13" ht="18" customHeight="1" x14ac:dyDescent="0.25">
      <c r="D589" s="3"/>
      <c r="F589" s="3"/>
      <c r="G589" s="32"/>
      <c r="H589" s="32"/>
      <c r="I589" s="32"/>
      <c r="J589" s="32"/>
      <c r="K589" s="3"/>
      <c r="L589" s="3"/>
      <c r="M589" s="3"/>
    </row>
    <row r="590" spans="4:13" ht="18" customHeight="1" x14ac:dyDescent="0.25">
      <c r="D590" s="3"/>
      <c r="F590" s="3"/>
      <c r="G590" s="32"/>
      <c r="H590" s="32"/>
      <c r="I590" s="32"/>
      <c r="J590" s="32"/>
      <c r="K590" s="3"/>
      <c r="L590" s="3"/>
      <c r="M590" s="3"/>
    </row>
    <row r="591" spans="4:13" ht="18" customHeight="1" x14ac:dyDescent="0.25">
      <c r="D591" s="3"/>
      <c r="F591" s="3"/>
      <c r="G591" s="32"/>
      <c r="H591" s="32"/>
      <c r="I591" s="32"/>
      <c r="J591" s="32"/>
      <c r="K591" s="3"/>
      <c r="L591" s="3"/>
      <c r="M591" s="3"/>
    </row>
    <row r="592" spans="4:13" ht="18" customHeight="1" x14ac:dyDescent="0.25">
      <c r="D592" s="3"/>
      <c r="F592" s="3"/>
      <c r="G592" s="32"/>
      <c r="H592" s="32"/>
      <c r="I592" s="32"/>
      <c r="J592" s="32"/>
      <c r="K592" s="3"/>
      <c r="L592" s="3"/>
      <c r="M592" s="3"/>
    </row>
    <row r="593" spans="4:13" ht="18" customHeight="1" x14ac:dyDescent="0.25">
      <c r="D593" s="3"/>
      <c r="F593" s="3"/>
      <c r="G593" s="32"/>
      <c r="H593" s="32"/>
      <c r="I593" s="32"/>
      <c r="J593" s="32"/>
      <c r="K593" s="3"/>
      <c r="L593" s="3"/>
      <c r="M593" s="3"/>
    </row>
    <row r="594" spans="4:13" ht="18" customHeight="1" x14ac:dyDescent="0.25">
      <c r="D594" s="3"/>
      <c r="F594" s="3"/>
      <c r="G594" s="32"/>
      <c r="H594" s="32"/>
      <c r="I594" s="32"/>
      <c r="J594" s="32"/>
      <c r="K594" s="3"/>
      <c r="L594" s="3"/>
      <c r="M594" s="3"/>
    </row>
    <row r="595" spans="4:13" ht="18" customHeight="1" x14ac:dyDescent="0.25">
      <c r="D595" s="3"/>
      <c r="F595" s="3"/>
      <c r="G595" s="32"/>
      <c r="H595" s="32"/>
      <c r="I595" s="32"/>
      <c r="J595" s="32"/>
      <c r="K595" s="3"/>
      <c r="L595" s="3"/>
      <c r="M595" s="3"/>
    </row>
    <row r="596" spans="4:13" ht="18" customHeight="1" x14ac:dyDescent="0.25">
      <c r="D596" s="3"/>
      <c r="F596" s="3"/>
      <c r="G596" s="32"/>
      <c r="H596" s="32"/>
      <c r="I596" s="32"/>
      <c r="J596" s="32"/>
      <c r="K596" s="3"/>
      <c r="L596" s="3"/>
      <c r="M596" s="3"/>
    </row>
    <row r="597" spans="4:13" ht="18" customHeight="1" x14ac:dyDescent="0.25">
      <c r="D597" s="3"/>
      <c r="F597" s="3"/>
      <c r="G597" s="32"/>
      <c r="H597" s="32"/>
      <c r="I597" s="32"/>
      <c r="J597" s="32"/>
      <c r="K597" s="3"/>
      <c r="L597" s="3"/>
      <c r="M597" s="3"/>
    </row>
    <row r="598" spans="4:13" ht="18" customHeight="1" x14ac:dyDescent="0.25">
      <c r="D598" s="3"/>
      <c r="F598" s="3"/>
      <c r="G598" s="32"/>
      <c r="H598" s="32"/>
      <c r="I598" s="32"/>
      <c r="J598" s="32"/>
      <c r="K598" s="3"/>
      <c r="L598" s="3"/>
      <c r="M598" s="3"/>
    </row>
    <row r="599" spans="4:13" ht="18" customHeight="1" x14ac:dyDescent="0.25">
      <c r="D599" s="3"/>
      <c r="F599" s="3"/>
      <c r="G599" s="32"/>
      <c r="H599" s="32"/>
      <c r="I599" s="32"/>
      <c r="J599" s="32"/>
      <c r="K599" s="3"/>
      <c r="L599" s="3"/>
      <c r="M599" s="3"/>
    </row>
    <row r="600" spans="4:13" ht="18" customHeight="1" x14ac:dyDescent="0.25">
      <c r="D600" s="3"/>
      <c r="F600" s="3"/>
      <c r="G600" s="32"/>
      <c r="H600" s="32"/>
      <c r="I600" s="32"/>
      <c r="J600" s="32"/>
      <c r="K600" s="3"/>
      <c r="L600" s="3"/>
      <c r="M600" s="3"/>
    </row>
    <row r="601" spans="4:13" ht="18" customHeight="1" x14ac:dyDescent="0.25">
      <c r="D601" s="3"/>
      <c r="F601" s="3"/>
      <c r="G601" s="32"/>
      <c r="H601" s="32"/>
      <c r="I601" s="32"/>
      <c r="J601" s="32"/>
      <c r="K601" s="3"/>
      <c r="L601" s="3"/>
      <c r="M601" s="3"/>
    </row>
    <row r="602" spans="4:13" ht="18" customHeight="1" x14ac:dyDescent="0.25">
      <c r="D602" s="3"/>
      <c r="F602" s="3"/>
      <c r="G602" s="32"/>
      <c r="H602" s="32"/>
      <c r="I602" s="32"/>
      <c r="J602" s="32"/>
      <c r="K602" s="3"/>
      <c r="L602" s="3"/>
      <c r="M602" s="3"/>
    </row>
    <row r="603" spans="4:13" ht="18" customHeight="1" x14ac:dyDescent="0.25">
      <c r="D603" s="3"/>
      <c r="F603" s="3"/>
      <c r="G603" s="32"/>
      <c r="H603" s="32"/>
      <c r="I603" s="32"/>
      <c r="J603" s="32"/>
      <c r="K603" s="3"/>
      <c r="L603" s="3"/>
      <c r="M603" s="3"/>
    </row>
    <row r="604" spans="4:13" ht="18" customHeight="1" x14ac:dyDescent="0.25">
      <c r="D604" s="3"/>
      <c r="F604" s="3"/>
      <c r="G604" s="32"/>
      <c r="H604" s="32"/>
      <c r="I604" s="32"/>
      <c r="J604" s="32"/>
      <c r="K604" s="3"/>
      <c r="L604" s="3"/>
      <c r="M604" s="3"/>
    </row>
    <row r="605" spans="4:13" ht="18" customHeight="1" x14ac:dyDescent="0.25">
      <c r="D605" s="3"/>
      <c r="F605" s="3"/>
      <c r="G605" s="32"/>
      <c r="H605" s="32"/>
      <c r="I605" s="32"/>
      <c r="J605" s="32"/>
      <c r="K605" s="3"/>
      <c r="L605" s="3"/>
      <c r="M605" s="3"/>
    </row>
    <row r="606" spans="4:13" ht="18" customHeight="1" x14ac:dyDescent="0.25">
      <c r="D606" s="3"/>
      <c r="F606" s="3"/>
      <c r="G606" s="32"/>
      <c r="H606" s="32"/>
      <c r="I606" s="32"/>
      <c r="J606" s="32"/>
      <c r="K606" s="3"/>
      <c r="L606" s="3"/>
      <c r="M606" s="3"/>
    </row>
    <row r="607" spans="4:13" ht="18" customHeight="1" x14ac:dyDescent="0.25">
      <c r="D607" s="3"/>
      <c r="F607" s="3"/>
      <c r="G607" s="32"/>
      <c r="H607" s="32"/>
      <c r="I607" s="32"/>
      <c r="J607" s="32"/>
      <c r="K607" s="3"/>
      <c r="L607" s="3"/>
      <c r="M607" s="3"/>
    </row>
    <row r="608" spans="4:13" ht="18" customHeight="1" x14ac:dyDescent="0.25">
      <c r="D608" s="3"/>
      <c r="F608" s="3"/>
      <c r="G608" s="32"/>
      <c r="H608" s="32"/>
      <c r="I608" s="32"/>
      <c r="J608" s="32"/>
      <c r="K608" s="3"/>
      <c r="L608" s="3"/>
      <c r="M608" s="3"/>
    </row>
    <row r="609" spans="4:13" ht="18" customHeight="1" x14ac:dyDescent="0.25">
      <c r="D609" s="3"/>
      <c r="F609" s="3"/>
      <c r="G609" s="32"/>
      <c r="H609" s="32"/>
      <c r="I609" s="32"/>
      <c r="J609" s="32"/>
      <c r="K609" s="3"/>
      <c r="L609" s="3"/>
      <c r="M609" s="3"/>
    </row>
    <row r="610" spans="4:13" ht="18" customHeight="1" x14ac:dyDescent="0.25">
      <c r="D610" s="3"/>
      <c r="F610" s="3"/>
      <c r="G610" s="32"/>
      <c r="H610" s="32"/>
      <c r="I610" s="32"/>
      <c r="J610" s="32"/>
      <c r="K610" s="3"/>
      <c r="L610" s="3"/>
      <c r="M610" s="3"/>
    </row>
    <row r="611" spans="4:13" ht="18" customHeight="1" x14ac:dyDescent="0.25">
      <c r="D611" s="3"/>
      <c r="F611" s="3"/>
      <c r="G611" s="32"/>
      <c r="H611" s="32"/>
      <c r="I611" s="32"/>
      <c r="J611" s="32"/>
      <c r="K611" s="3"/>
      <c r="L611" s="3"/>
      <c r="M611" s="3"/>
    </row>
    <row r="612" spans="4:13" ht="18" customHeight="1" x14ac:dyDescent="0.25">
      <c r="D612" s="3"/>
      <c r="F612" s="3"/>
      <c r="G612" s="32"/>
      <c r="H612" s="32"/>
      <c r="I612" s="32"/>
      <c r="J612" s="32"/>
      <c r="K612" s="3"/>
      <c r="L612" s="3"/>
      <c r="M612" s="3"/>
    </row>
    <row r="613" spans="4:13" ht="18" customHeight="1" x14ac:dyDescent="0.25">
      <c r="D613" s="3"/>
      <c r="F613" s="3"/>
      <c r="G613" s="32"/>
      <c r="H613" s="32"/>
      <c r="I613" s="32"/>
      <c r="J613" s="32"/>
      <c r="K613" s="3"/>
      <c r="L613" s="3"/>
      <c r="M613" s="3"/>
    </row>
    <row r="614" spans="4:13" ht="18" customHeight="1" x14ac:dyDescent="0.25">
      <c r="D614" s="3"/>
      <c r="F614" s="3"/>
      <c r="G614" s="32"/>
      <c r="H614" s="32"/>
      <c r="I614" s="32"/>
      <c r="J614" s="32"/>
      <c r="K614" s="3"/>
      <c r="L614" s="3"/>
      <c r="M614" s="3"/>
    </row>
    <row r="615" spans="4:13" ht="18" customHeight="1" x14ac:dyDescent="0.25">
      <c r="D615" s="3"/>
      <c r="F615" s="3"/>
      <c r="G615" s="32"/>
      <c r="H615" s="32"/>
      <c r="I615" s="32"/>
      <c r="J615" s="32"/>
      <c r="K615" s="3"/>
      <c r="L615" s="3"/>
      <c r="M615" s="3"/>
    </row>
    <row r="616" spans="4:13" ht="18" customHeight="1" x14ac:dyDescent="0.25">
      <c r="D616" s="3"/>
      <c r="F616" s="3"/>
      <c r="G616" s="32"/>
      <c r="H616" s="32"/>
      <c r="I616" s="32"/>
      <c r="J616" s="32"/>
      <c r="K616" s="3"/>
      <c r="L616" s="3"/>
      <c r="M616" s="3"/>
    </row>
    <row r="617" spans="4:13" ht="18" customHeight="1" x14ac:dyDescent="0.25">
      <c r="D617" s="3"/>
      <c r="F617" s="3"/>
      <c r="G617" s="32"/>
      <c r="H617" s="32"/>
      <c r="I617" s="32"/>
      <c r="J617" s="32"/>
      <c r="K617" s="3"/>
      <c r="L617" s="3"/>
      <c r="M617" s="3"/>
    </row>
    <row r="618" spans="4:13" ht="18" customHeight="1" x14ac:dyDescent="0.25">
      <c r="D618" s="3"/>
      <c r="F618" s="3"/>
      <c r="G618" s="32"/>
      <c r="H618" s="32"/>
      <c r="I618" s="32"/>
      <c r="J618" s="32"/>
      <c r="K618" s="3"/>
      <c r="L618" s="3"/>
      <c r="M618" s="3"/>
    </row>
    <row r="619" spans="4:13" ht="18" customHeight="1" x14ac:dyDescent="0.25">
      <c r="D619" s="3"/>
      <c r="F619" s="3"/>
      <c r="G619" s="32"/>
      <c r="H619" s="32"/>
      <c r="I619" s="32"/>
      <c r="J619" s="32"/>
      <c r="K619" s="3"/>
      <c r="L619" s="3"/>
      <c r="M619" s="3"/>
    </row>
    <row r="620" spans="4:13" ht="18" customHeight="1" x14ac:dyDescent="0.25">
      <c r="D620" s="3"/>
      <c r="F620" s="3"/>
      <c r="G620" s="32"/>
      <c r="H620" s="32"/>
      <c r="I620" s="32"/>
      <c r="J620" s="32"/>
      <c r="K620" s="3"/>
      <c r="L620" s="3"/>
      <c r="M620" s="3"/>
    </row>
    <row r="621" spans="4:13" ht="18" customHeight="1" x14ac:dyDescent="0.25">
      <c r="D621" s="3"/>
      <c r="F621" s="3"/>
      <c r="G621" s="32"/>
      <c r="H621" s="32"/>
      <c r="I621" s="32"/>
      <c r="J621" s="32"/>
      <c r="K621" s="3"/>
      <c r="L621" s="3"/>
      <c r="M621" s="3"/>
    </row>
    <row r="622" spans="4:13" ht="18" customHeight="1" x14ac:dyDescent="0.25">
      <c r="D622" s="3"/>
      <c r="F622" s="3"/>
      <c r="G622" s="32"/>
      <c r="H622" s="32"/>
      <c r="I622" s="32"/>
      <c r="J622" s="32"/>
      <c r="K622" s="3"/>
      <c r="L622" s="3"/>
      <c r="M622" s="3"/>
    </row>
    <row r="623" spans="4:13" ht="18" customHeight="1" x14ac:dyDescent="0.25">
      <c r="D623" s="3"/>
      <c r="F623" s="3"/>
      <c r="G623" s="32"/>
      <c r="H623" s="32"/>
      <c r="I623" s="32"/>
      <c r="J623" s="32"/>
      <c r="K623" s="3"/>
      <c r="L623" s="3"/>
      <c r="M623" s="3"/>
    </row>
    <row r="624" spans="4:13" ht="18" customHeight="1" x14ac:dyDescent="0.25">
      <c r="D624" s="3"/>
      <c r="F624" s="3"/>
      <c r="G624" s="32"/>
      <c r="H624" s="32"/>
      <c r="I624" s="32"/>
      <c r="J624" s="32"/>
      <c r="K624" s="3"/>
      <c r="L624" s="3"/>
      <c r="M624" s="3"/>
    </row>
    <row r="625" spans="4:13" ht="18" customHeight="1" x14ac:dyDescent="0.25">
      <c r="D625" s="3"/>
      <c r="F625" s="3"/>
      <c r="G625" s="32"/>
      <c r="H625" s="32"/>
      <c r="I625" s="32"/>
      <c r="J625" s="32"/>
      <c r="K625" s="3"/>
      <c r="L625" s="3"/>
      <c r="M625" s="3"/>
    </row>
    <row r="626" spans="4:13" ht="18" customHeight="1" x14ac:dyDescent="0.25">
      <c r="D626" s="3"/>
      <c r="F626" s="3"/>
      <c r="G626" s="32"/>
      <c r="H626" s="32"/>
      <c r="I626" s="32"/>
      <c r="J626" s="32"/>
      <c r="K626" s="3"/>
      <c r="L626" s="3"/>
      <c r="M626" s="3"/>
    </row>
    <row r="627" spans="4:13" ht="18" customHeight="1" x14ac:dyDescent="0.25">
      <c r="D627" s="3"/>
      <c r="F627" s="3"/>
      <c r="G627" s="32"/>
      <c r="H627" s="32"/>
      <c r="I627" s="32"/>
      <c r="J627" s="32"/>
      <c r="K627" s="3"/>
      <c r="L627" s="3"/>
      <c r="M627" s="3"/>
    </row>
    <row r="628" spans="4:13" ht="18" customHeight="1" x14ac:dyDescent="0.25">
      <c r="D628" s="3"/>
      <c r="F628" s="3"/>
      <c r="G628" s="32"/>
      <c r="H628" s="32"/>
      <c r="I628" s="32"/>
      <c r="J628" s="32"/>
      <c r="K628" s="3"/>
      <c r="L628" s="3"/>
      <c r="M628" s="3"/>
    </row>
    <row r="629" spans="4:13" ht="18" customHeight="1" x14ac:dyDescent="0.25">
      <c r="D629" s="3"/>
      <c r="F629" s="3"/>
      <c r="G629" s="32"/>
      <c r="H629" s="32"/>
      <c r="I629" s="32"/>
      <c r="J629" s="32"/>
      <c r="K629" s="3"/>
      <c r="L629" s="3"/>
      <c r="M629" s="3"/>
    </row>
    <row r="630" spans="4:13" ht="18" customHeight="1" x14ac:dyDescent="0.25">
      <c r="D630" s="3"/>
      <c r="F630" s="3"/>
      <c r="G630" s="32"/>
      <c r="H630" s="32"/>
      <c r="I630" s="32"/>
      <c r="J630" s="32"/>
      <c r="K630" s="3"/>
      <c r="L630" s="3"/>
      <c r="M630" s="3"/>
    </row>
    <row r="631" spans="4:13" ht="18" customHeight="1" x14ac:dyDescent="0.25">
      <c r="D631" s="3"/>
      <c r="F631" s="3"/>
      <c r="G631" s="32"/>
      <c r="H631" s="32"/>
      <c r="I631" s="32"/>
      <c r="J631" s="32"/>
      <c r="K631" s="3"/>
      <c r="L631" s="3"/>
      <c r="M631" s="3"/>
    </row>
    <row r="632" spans="4:13" ht="18" customHeight="1" x14ac:dyDescent="0.25">
      <c r="D632" s="3"/>
      <c r="F632" s="3"/>
      <c r="G632" s="32"/>
      <c r="H632" s="32"/>
      <c r="I632" s="32"/>
      <c r="J632" s="32"/>
      <c r="K632" s="3"/>
      <c r="L632" s="3"/>
      <c r="M632" s="3"/>
    </row>
    <row r="633" spans="4:13" ht="18" customHeight="1" x14ac:dyDescent="0.25">
      <c r="D633" s="3"/>
      <c r="F633" s="3"/>
      <c r="G633" s="32"/>
      <c r="H633" s="32"/>
      <c r="I633" s="32"/>
      <c r="J633" s="32"/>
      <c r="K633" s="3"/>
      <c r="L633" s="3"/>
      <c r="M633" s="3"/>
    </row>
    <row r="634" spans="4:13" ht="18" customHeight="1" x14ac:dyDescent="0.25">
      <c r="D634" s="3"/>
      <c r="F634" s="3"/>
      <c r="G634" s="32"/>
      <c r="H634" s="32"/>
      <c r="I634" s="32"/>
      <c r="J634" s="32"/>
      <c r="K634" s="3"/>
      <c r="L634" s="3"/>
      <c r="M634" s="3"/>
    </row>
    <row r="635" spans="4:13" ht="18" customHeight="1" x14ac:dyDescent="0.25">
      <c r="D635" s="3"/>
      <c r="F635" s="3"/>
      <c r="G635" s="32"/>
      <c r="H635" s="32"/>
      <c r="I635" s="32"/>
      <c r="J635" s="32"/>
      <c r="K635" s="3"/>
      <c r="L635" s="3"/>
      <c r="M635" s="3"/>
    </row>
    <row r="636" spans="4:13" ht="18" customHeight="1" x14ac:dyDescent="0.25">
      <c r="D636" s="3"/>
      <c r="F636" s="3"/>
      <c r="G636" s="32"/>
      <c r="H636" s="32"/>
      <c r="I636" s="32"/>
      <c r="J636" s="32"/>
      <c r="K636" s="3"/>
      <c r="L636" s="3"/>
      <c r="M636" s="3"/>
    </row>
    <row r="637" spans="4:13" ht="18" customHeight="1" x14ac:dyDescent="0.25">
      <c r="D637" s="3"/>
      <c r="F637" s="3"/>
      <c r="G637" s="32"/>
      <c r="H637" s="32"/>
      <c r="I637" s="32"/>
      <c r="J637" s="32"/>
      <c r="K637" s="3"/>
      <c r="L637" s="3"/>
      <c r="M637" s="3"/>
    </row>
    <row r="638" spans="4:13" ht="18" customHeight="1" x14ac:dyDescent="0.25">
      <c r="D638" s="3"/>
      <c r="F638" s="3"/>
      <c r="G638" s="32"/>
      <c r="H638" s="32"/>
      <c r="I638" s="32"/>
      <c r="J638" s="32"/>
      <c r="K638" s="3"/>
      <c r="L638" s="3"/>
      <c r="M638" s="3"/>
    </row>
    <row r="639" spans="4:13" ht="18" customHeight="1" x14ac:dyDescent="0.25">
      <c r="D639" s="3"/>
      <c r="F639" s="3"/>
      <c r="G639" s="32"/>
      <c r="H639" s="32"/>
      <c r="I639" s="32"/>
      <c r="J639" s="32"/>
      <c r="K639" s="3"/>
      <c r="L639" s="3"/>
      <c r="M639" s="3"/>
    </row>
    <row r="640" spans="4:13" ht="18" customHeight="1" x14ac:dyDescent="0.25">
      <c r="D640" s="3"/>
      <c r="F640" s="3"/>
      <c r="G640" s="32"/>
      <c r="H640" s="32"/>
      <c r="I640" s="32"/>
      <c r="J640" s="32"/>
      <c r="K640" s="3"/>
      <c r="L640" s="3"/>
      <c r="M640" s="3"/>
    </row>
    <row r="641" spans="4:13" ht="18" customHeight="1" x14ac:dyDescent="0.25">
      <c r="D641" s="3"/>
      <c r="F641" s="3"/>
      <c r="G641" s="32"/>
      <c r="H641" s="32"/>
      <c r="I641" s="32"/>
      <c r="J641" s="32"/>
      <c r="K641" s="3"/>
      <c r="L641" s="3"/>
      <c r="M641" s="3"/>
    </row>
    <row r="642" spans="4:13" ht="18" customHeight="1" x14ac:dyDescent="0.25">
      <c r="D642" s="3"/>
      <c r="F642" s="3"/>
      <c r="G642" s="32"/>
      <c r="H642" s="32"/>
      <c r="I642" s="32"/>
      <c r="J642" s="32"/>
      <c r="K642" s="3"/>
      <c r="L642" s="3"/>
      <c r="M642" s="3"/>
    </row>
    <row r="643" spans="4:13" ht="18" customHeight="1" x14ac:dyDescent="0.25">
      <c r="D643" s="3"/>
      <c r="F643" s="3"/>
      <c r="G643" s="32"/>
      <c r="H643" s="32"/>
      <c r="I643" s="32"/>
      <c r="J643" s="32"/>
      <c r="K643" s="3"/>
      <c r="L643" s="3"/>
      <c r="M643" s="3"/>
    </row>
    <row r="644" spans="4:13" ht="18" customHeight="1" x14ac:dyDescent="0.25">
      <c r="D644" s="3"/>
      <c r="F644" s="3"/>
      <c r="G644" s="32"/>
      <c r="H644" s="32"/>
      <c r="I644" s="32"/>
      <c r="J644" s="32"/>
      <c r="K644" s="3"/>
      <c r="L644" s="3"/>
      <c r="M644" s="3"/>
    </row>
    <row r="645" spans="4:13" ht="18" customHeight="1" x14ac:dyDescent="0.25">
      <c r="D645" s="3"/>
      <c r="F645" s="3"/>
      <c r="G645" s="32"/>
      <c r="H645" s="32"/>
      <c r="I645" s="32"/>
      <c r="J645" s="32"/>
      <c r="K645" s="3"/>
      <c r="L645" s="3"/>
      <c r="M645" s="3"/>
    </row>
    <row r="646" spans="4:13" ht="18" customHeight="1" x14ac:dyDescent="0.25">
      <c r="D646" s="3"/>
      <c r="F646" s="3"/>
      <c r="G646" s="32"/>
      <c r="H646" s="32"/>
      <c r="I646" s="32"/>
      <c r="J646" s="32"/>
      <c r="K646" s="3"/>
      <c r="L646" s="3"/>
      <c r="M646" s="3"/>
    </row>
    <row r="647" spans="4:13" ht="18" customHeight="1" x14ac:dyDescent="0.25">
      <c r="D647" s="3"/>
      <c r="F647" s="3"/>
      <c r="G647" s="32"/>
      <c r="H647" s="32"/>
      <c r="I647" s="32"/>
      <c r="J647" s="32"/>
      <c r="K647" s="3"/>
      <c r="L647" s="3"/>
      <c r="M647" s="3"/>
    </row>
    <row r="648" spans="4:13" ht="18" customHeight="1" x14ac:dyDescent="0.25">
      <c r="D648" s="3"/>
      <c r="F648" s="3"/>
      <c r="G648" s="32"/>
      <c r="H648" s="32"/>
      <c r="I648" s="32"/>
      <c r="J648" s="32"/>
      <c r="K648" s="3"/>
      <c r="L648" s="3"/>
      <c r="M648" s="3"/>
    </row>
    <row r="649" spans="4:13" ht="18" customHeight="1" x14ac:dyDescent="0.25">
      <c r="D649" s="3"/>
      <c r="F649" s="3"/>
      <c r="G649" s="32"/>
      <c r="H649" s="32"/>
      <c r="I649" s="32"/>
      <c r="J649" s="32"/>
      <c r="K649" s="3"/>
      <c r="L649" s="3"/>
      <c r="M649" s="3"/>
    </row>
    <row r="650" spans="4:13" ht="18" customHeight="1" x14ac:dyDescent="0.25">
      <c r="D650" s="3"/>
      <c r="F650" s="3"/>
      <c r="G650" s="32"/>
      <c r="H650" s="32"/>
      <c r="I650" s="32"/>
      <c r="J650" s="32"/>
      <c r="K650" s="3"/>
      <c r="L650" s="3"/>
      <c r="M650" s="3"/>
    </row>
    <row r="651" spans="4:13" ht="18" customHeight="1" x14ac:dyDescent="0.25">
      <c r="D651" s="3"/>
      <c r="F651" s="3"/>
      <c r="G651" s="32"/>
      <c r="H651" s="32"/>
      <c r="I651" s="32"/>
      <c r="J651" s="32"/>
      <c r="K651" s="3"/>
      <c r="L651" s="3"/>
      <c r="M651" s="3"/>
    </row>
    <row r="652" spans="4:13" ht="18" customHeight="1" x14ac:dyDescent="0.25">
      <c r="D652" s="3"/>
      <c r="F652" s="3"/>
      <c r="G652" s="32"/>
      <c r="H652" s="32"/>
      <c r="I652" s="32"/>
      <c r="J652" s="32"/>
      <c r="K652" s="3"/>
      <c r="L652" s="3"/>
      <c r="M652" s="3"/>
    </row>
    <row r="653" spans="4:13" ht="18" customHeight="1" x14ac:dyDescent="0.25">
      <c r="D653" s="3"/>
      <c r="F653" s="3"/>
      <c r="G653" s="32"/>
      <c r="H653" s="32"/>
      <c r="I653" s="32"/>
      <c r="J653" s="32"/>
      <c r="K653" s="3"/>
      <c r="L653" s="3"/>
      <c r="M653" s="3"/>
    </row>
    <row r="654" spans="4:13" ht="18" customHeight="1" x14ac:dyDescent="0.25">
      <c r="D654" s="3"/>
      <c r="F654" s="3"/>
      <c r="G654" s="32"/>
      <c r="H654" s="32"/>
      <c r="I654" s="32"/>
      <c r="J654" s="32"/>
      <c r="K654" s="3"/>
      <c r="L654" s="3"/>
      <c r="M654" s="3"/>
    </row>
    <row r="655" spans="4:13" ht="18" customHeight="1" x14ac:dyDescent="0.25">
      <c r="D655" s="3"/>
      <c r="F655" s="3"/>
      <c r="G655" s="32"/>
      <c r="H655" s="32"/>
      <c r="I655" s="32"/>
      <c r="J655" s="32"/>
      <c r="K655" s="3"/>
      <c r="L655" s="3"/>
      <c r="M655" s="3"/>
    </row>
    <row r="656" spans="4:13" ht="18" customHeight="1" x14ac:dyDescent="0.25">
      <c r="D656" s="3"/>
      <c r="F656" s="3"/>
      <c r="G656" s="32"/>
      <c r="H656" s="32"/>
      <c r="I656" s="32"/>
      <c r="J656" s="32"/>
      <c r="K656" s="3"/>
      <c r="L656" s="3"/>
      <c r="M656" s="3"/>
    </row>
    <row r="657" spans="4:13" ht="18" customHeight="1" x14ac:dyDescent="0.25">
      <c r="D657" s="3"/>
      <c r="F657" s="3"/>
      <c r="G657" s="32"/>
      <c r="H657" s="32"/>
      <c r="I657" s="32"/>
      <c r="J657" s="32"/>
      <c r="K657" s="3"/>
      <c r="L657" s="3"/>
      <c r="M657" s="3"/>
    </row>
    <row r="658" spans="4:13" ht="18" customHeight="1" x14ac:dyDescent="0.25">
      <c r="D658" s="3"/>
      <c r="F658" s="3"/>
      <c r="G658" s="32"/>
      <c r="H658" s="32"/>
      <c r="I658" s="32"/>
      <c r="J658" s="32"/>
      <c r="K658" s="3"/>
      <c r="L658" s="3"/>
      <c r="M658" s="3"/>
    </row>
    <row r="659" spans="4:13" ht="18" customHeight="1" x14ac:dyDescent="0.25">
      <c r="D659" s="3"/>
      <c r="F659" s="3"/>
      <c r="G659" s="32"/>
      <c r="H659" s="32"/>
      <c r="I659" s="32"/>
      <c r="J659" s="32"/>
      <c r="K659" s="3"/>
      <c r="L659" s="3"/>
      <c r="M659" s="3"/>
    </row>
    <row r="660" spans="4:13" ht="18" customHeight="1" x14ac:dyDescent="0.25">
      <c r="D660" s="3"/>
      <c r="F660" s="3"/>
      <c r="G660" s="32"/>
      <c r="H660" s="32"/>
      <c r="I660" s="32"/>
      <c r="J660" s="32"/>
      <c r="K660" s="3"/>
      <c r="L660" s="3"/>
      <c r="M660" s="3"/>
    </row>
    <row r="661" spans="4:13" ht="18" customHeight="1" x14ac:dyDescent="0.25">
      <c r="D661" s="3"/>
      <c r="F661" s="3"/>
      <c r="G661" s="32"/>
      <c r="H661" s="32"/>
      <c r="I661" s="32"/>
      <c r="J661" s="32"/>
      <c r="K661" s="3"/>
      <c r="L661" s="3"/>
      <c r="M661" s="3"/>
    </row>
    <row r="662" spans="4:13" ht="18" customHeight="1" x14ac:dyDescent="0.25">
      <c r="D662" s="3"/>
      <c r="F662" s="3"/>
      <c r="G662" s="32"/>
      <c r="H662" s="32"/>
      <c r="I662" s="32"/>
      <c r="J662" s="32"/>
      <c r="K662" s="3"/>
      <c r="L662" s="3"/>
      <c r="M662" s="3"/>
    </row>
    <row r="663" spans="4:13" ht="18" customHeight="1" x14ac:dyDescent="0.25">
      <c r="D663" s="3"/>
      <c r="F663" s="3"/>
      <c r="G663" s="32"/>
      <c r="H663" s="32"/>
      <c r="I663" s="32"/>
      <c r="J663" s="32"/>
      <c r="K663" s="3"/>
      <c r="L663" s="3"/>
      <c r="M663" s="3"/>
    </row>
    <row r="664" spans="4:13" ht="18" customHeight="1" x14ac:dyDescent="0.25">
      <c r="D664" s="3"/>
      <c r="F664" s="3"/>
      <c r="G664" s="32"/>
      <c r="H664" s="32"/>
      <c r="I664" s="32"/>
      <c r="J664" s="32"/>
      <c r="K664" s="3"/>
      <c r="L664" s="3"/>
      <c r="M664" s="3"/>
    </row>
    <row r="665" spans="4:13" ht="18" customHeight="1" x14ac:dyDescent="0.25">
      <c r="D665" s="3"/>
      <c r="F665" s="3"/>
      <c r="G665" s="32"/>
      <c r="H665" s="32"/>
      <c r="I665" s="32"/>
      <c r="J665" s="32"/>
      <c r="K665" s="3"/>
      <c r="L665" s="3"/>
      <c r="M665" s="3"/>
    </row>
    <row r="666" spans="4:13" ht="18" customHeight="1" x14ac:dyDescent="0.25">
      <c r="D666" s="3"/>
      <c r="F666" s="3"/>
      <c r="G666" s="32"/>
      <c r="H666" s="32"/>
      <c r="I666" s="32"/>
      <c r="J666" s="32"/>
      <c r="K666" s="3"/>
      <c r="L666" s="3"/>
      <c r="M666" s="3"/>
    </row>
    <row r="667" spans="4:13" ht="18" customHeight="1" x14ac:dyDescent="0.25">
      <c r="D667" s="3"/>
      <c r="F667" s="3"/>
      <c r="G667" s="32"/>
      <c r="H667" s="32"/>
      <c r="I667" s="32"/>
      <c r="J667" s="32"/>
      <c r="K667" s="3"/>
      <c r="L667" s="3"/>
      <c r="M667" s="3"/>
    </row>
    <row r="668" spans="4:13" ht="18" customHeight="1" x14ac:dyDescent="0.25">
      <c r="D668" s="3"/>
      <c r="F668" s="3"/>
      <c r="G668" s="32"/>
      <c r="H668" s="32"/>
      <c r="I668" s="32"/>
      <c r="J668" s="32"/>
      <c r="K668" s="3"/>
      <c r="L668" s="3"/>
      <c r="M668" s="3"/>
    </row>
    <row r="669" spans="4:13" ht="18" customHeight="1" x14ac:dyDescent="0.25">
      <c r="D669" s="3"/>
      <c r="F669" s="3"/>
      <c r="G669" s="32"/>
      <c r="H669" s="32"/>
      <c r="I669" s="32"/>
      <c r="J669" s="32"/>
      <c r="K669" s="3"/>
      <c r="L669" s="3"/>
      <c r="M669" s="3"/>
    </row>
    <row r="670" spans="4:13" ht="18" customHeight="1" x14ac:dyDescent="0.25">
      <c r="D670" s="3"/>
      <c r="F670" s="3"/>
      <c r="G670" s="32"/>
      <c r="H670" s="32"/>
      <c r="I670" s="32"/>
      <c r="J670" s="32"/>
      <c r="K670" s="3"/>
      <c r="L670" s="3"/>
      <c r="M670" s="3"/>
    </row>
    <row r="671" spans="4:13" ht="18" customHeight="1" x14ac:dyDescent="0.25">
      <c r="D671" s="3"/>
      <c r="F671" s="3"/>
      <c r="G671" s="32"/>
      <c r="H671" s="32"/>
      <c r="I671" s="32"/>
      <c r="J671" s="32"/>
      <c r="K671" s="3"/>
      <c r="L671" s="3"/>
      <c r="M671" s="3"/>
    </row>
    <row r="672" spans="4:13" ht="18" customHeight="1" x14ac:dyDescent="0.25">
      <c r="D672" s="3"/>
      <c r="F672" s="3"/>
      <c r="G672" s="32"/>
      <c r="H672" s="32"/>
      <c r="I672" s="32"/>
      <c r="J672" s="32"/>
      <c r="K672" s="3"/>
      <c r="L672" s="3"/>
      <c r="M672" s="3"/>
    </row>
    <row r="673" spans="4:13" ht="18" customHeight="1" x14ac:dyDescent="0.25">
      <c r="D673" s="3"/>
      <c r="F673" s="3"/>
      <c r="G673" s="32"/>
      <c r="H673" s="32"/>
      <c r="I673" s="32"/>
      <c r="J673" s="32"/>
      <c r="K673" s="3"/>
      <c r="L673" s="3"/>
      <c r="M673" s="3"/>
    </row>
    <row r="674" spans="4:13" ht="18" customHeight="1" x14ac:dyDescent="0.25">
      <c r="D674" s="3"/>
      <c r="F674" s="3"/>
      <c r="G674" s="32"/>
      <c r="H674" s="32"/>
      <c r="I674" s="32"/>
      <c r="J674" s="32"/>
      <c r="K674" s="3"/>
      <c r="L674" s="3"/>
      <c r="M674" s="3"/>
    </row>
    <row r="675" spans="4:13" ht="18" customHeight="1" x14ac:dyDescent="0.25">
      <c r="D675" s="3"/>
      <c r="F675" s="3"/>
      <c r="G675" s="32"/>
      <c r="H675" s="32"/>
      <c r="I675" s="32"/>
      <c r="J675" s="32"/>
      <c r="K675" s="3"/>
      <c r="L675" s="3"/>
      <c r="M675" s="3"/>
    </row>
    <row r="676" spans="4:13" ht="18" customHeight="1" x14ac:dyDescent="0.25">
      <c r="D676" s="3"/>
      <c r="F676" s="3"/>
      <c r="G676" s="32"/>
      <c r="H676" s="32"/>
      <c r="I676" s="32"/>
      <c r="J676" s="32"/>
      <c r="K676" s="3"/>
      <c r="L676" s="3"/>
      <c r="M676" s="3"/>
    </row>
    <row r="677" spans="4:13" ht="18" customHeight="1" x14ac:dyDescent="0.25">
      <c r="D677" s="3"/>
      <c r="F677" s="3"/>
      <c r="G677" s="32"/>
      <c r="H677" s="32"/>
      <c r="I677" s="32"/>
      <c r="J677" s="32"/>
      <c r="K677" s="3"/>
      <c r="L677" s="3"/>
      <c r="M677" s="3"/>
    </row>
    <row r="678" spans="4:13" ht="18" customHeight="1" x14ac:dyDescent="0.25">
      <c r="D678" s="3"/>
      <c r="F678" s="3"/>
      <c r="G678" s="32"/>
      <c r="H678" s="32"/>
      <c r="I678" s="32"/>
      <c r="J678" s="32"/>
      <c r="K678" s="3"/>
      <c r="L678" s="3"/>
      <c r="M678" s="3"/>
    </row>
    <row r="679" spans="4:13" ht="18" customHeight="1" x14ac:dyDescent="0.25">
      <c r="D679" s="3"/>
      <c r="F679" s="3"/>
      <c r="G679" s="32"/>
      <c r="H679" s="32"/>
      <c r="I679" s="32"/>
      <c r="J679" s="32"/>
      <c r="K679" s="3"/>
      <c r="L679" s="3"/>
      <c r="M679" s="3"/>
    </row>
    <row r="680" spans="4:13" ht="18" customHeight="1" x14ac:dyDescent="0.25">
      <c r="D680" s="3"/>
      <c r="F680" s="3"/>
      <c r="G680" s="32"/>
      <c r="H680" s="32"/>
      <c r="I680" s="32"/>
      <c r="J680" s="32"/>
      <c r="K680" s="3"/>
      <c r="L680" s="3"/>
      <c r="M680" s="3"/>
    </row>
    <row r="681" spans="4:13" ht="18" customHeight="1" x14ac:dyDescent="0.25">
      <c r="D681" s="3"/>
      <c r="F681" s="3"/>
      <c r="G681" s="32"/>
      <c r="H681" s="32"/>
      <c r="I681" s="32"/>
      <c r="J681" s="32"/>
      <c r="K681" s="3"/>
      <c r="L681" s="3"/>
      <c r="M681" s="3"/>
    </row>
    <row r="682" spans="4:13" ht="18" customHeight="1" x14ac:dyDescent="0.25">
      <c r="D682" s="3"/>
      <c r="F682" s="3"/>
      <c r="G682" s="32"/>
      <c r="H682" s="32"/>
      <c r="I682" s="32"/>
      <c r="J682" s="32"/>
      <c r="K682" s="3"/>
      <c r="L682" s="3"/>
      <c r="M682" s="3"/>
    </row>
    <row r="683" spans="4:13" ht="18" customHeight="1" x14ac:dyDescent="0.25">
      <c r="D683" s="3"/>
      <c r="F683" s="3"/>
      <c r="G683" s="32"/>
      <c r="H683" s="32"/>
      <c r="I683" s="32"/>
      <c r="J683" s="32"/>
      <c r="K683" s="3"/>
      <c r="L683" s="3"/>
      <c r="M683" s="3"/>
    </row>
    <row r="684" spans="4:13" ht="18" customHeight="1" x14ac:dyDescent="0.25">
      <c r="D684" s="3"/>
      <c r="F684" s="3"/>
      <c r="G684" s="32"/>
      <c r="H684" s="32"/>
      <c r="I684" s="32"/>
      <c r="J684" s="32"/>
      <c r="K684" s="3"/>
      <c r="L684" s="3"/>
      <c r="M684" s="3"/>
    </row>
    <row r="685" spans="4:13" ht="18" customHeight="1" x14ac:dyDescent="0.25">
      <c r="D685" s="3"/>
      <c r="F685" s="3"/>
      <c r="G685" s="32"/>
      <c r="H685" s="32"/>
      <c r="I685" s="32"/>
      <c r="J685" s="32"/>
      <c r="K685" s="3"/>
      <c r="L685" s="3"/>
      <c r="M685" s="3"/>
    </row>
    <row r="686" spans="4:13" ht="18" customHeight="1" x14ac:dyDescent="0.25">
      <c r="D686" s="3"/>
      <c r="F686" s="3"/>
      <c r="G686" s="32"/>
      <c r="H686" s="32"/>
      <c r="I686" s="32"/>
      <c r="J686" s="32"/>
      <c r="K686" s="3"/>
      <c r="L686" s="3"/>
      <c r="M686" s="3"/>
    </row>
    <row r="687" spans="4:13" ht="18" customHeight="1" x14ac:dyDescent="0.25">
      <c r="D687" s="3"/>
      <c r="F687" s="3"/>
      <c r="G687" s="32"/>
      <c r="H687" s="32"/>
      <c r="I687" s="32"/>
      <c r="J687" s="32"/>
      <c r="K687" s="3"/>
      <c r="L687" s="3"/>
      <c r="M687" s="3"/>
    </row>
    <row r="688" spans="4:13" ht="18" customHeight="1" x14ac:dyDescent="0.25">
      <c r="D688" s="3"/>
      <c r="F688" s="3"/>
      <c r="G688" s="32"/>
      <c r="H688" s="32"/>
      <c r="I688" s="32"/>
      <c r="J688" s="32"/>
      <c r="K688" s="3"/>
      <c r="L688" s="3"/>
      <c r="M688" s="3"/>
    </row>
    <row r="689" spans="4:13" ht="18" customHeight="1" x14ac:dyDescent="0.25">
      <c r="D689" s="3"/>
      <c r="F689" s="3"/>
      <c r="G689" s="32"/>
      <c r="H689" s="32"/>
      <c r="I689" s="32"/>
      <c r="J689" s="32"/>
      <c r="K689" s="3"/>
      <c r="L689" s="3"/>
      <c r="M689" s="3"/>
    </row>
    <row r="690" spans="4:13" ht="18" customHeight="1" x14ac:dyDescent="0.25">
      <c r="D690" s="3"/>
      <c r="F690" s="3"/>
      <c r="G690" s="32"/>
      <c r="H690" s="32"/>
      <c r="I690" s="32"/>
      <c r="J690" s="32"/>
      <c r="K690" s="3"/>
      <c r="L690" s="3"/>
      <c r="M690" s="3"/>
    </row>
    <row r="691" spans="4:13" ht="18" customHeight="1" x14ac:dyDescent="0.25">
      <c r="D691" s="3"/>
      <c r="F691" s="3"/>
      <c r="G691" s="32"/>
      <c r="H691" s="32"/>
      <c r="I691" s="32"/>
      <c r="J691" s="32"/>
      <c r="K691" s="3"/>
      <c r="L691" s="3"/>
      <c r="M691" s="3"/>
    </row>
    <row r="692" spans="4:13" ht="18" customHeight="1" x14ac:dyDescent="0.25">
      <c r="D692" s="3"/>
      <c r="F692" s="3"/>
      <c r="G692" s="32"/>
      <c r="H692" s="32"/>
      <c r="I692" s="32"/>
      <c r="J692" s="32"/>
      <c r="K692" s="3"/>
      <c r="L692" s="3"/>
      <c r="M692" s="3"/>
    </row>
    <row r="693" spans="4:13" ht="18" customHeight="1" x14ac:dyDescent="0.25">
      <c r="D693" s="3"/>
      <c r="F693" s="3"/>
      <c r="G693" s="32"/>
      <c r="H693" s="32"/>
      <c r="I693" s="32"/>
      <c r="J693" s="32"/>
      <c r="K693" s="3"/>
      <c r="L693" s="3"/>
      <c r="M693" s="3"/>
    </row>
    <row r="694" spans="4:13" ht="18" customHeight="1" x14ac:dyDescent="0.25">
      <c r="D694" s="3"/>
      <c r="F694" s="3"/>
      <c r="G694" s="32"/>
      <c r="H694" s="32"/>
      <c r="I694" s="32"/>
      <c r="J694" s="32"/>
      <c r="K694" s="3"/>
      <c r="L694" s="3"/>
      <c r="M694" s="3"/>
    </row>
    <row r="695" spans="4:13" ht="18" customHeight="1" x14ac:dyDescent="0.25">
      <c r="D695" s="3"/>
      <c r="F695" s="3"/>
      <c r="G695" s="32"/>
      <c r="H695" s="32"/>
      <c r="I695" s="32"/>
      <c r="J695" s="32"/>
      <c r="K695" s="3"/>
      <c r="L695" s="3"/>
      <c r="M695" s="3"/>
    </row>
    <row r="696" spans="4:13" ht="18" customHeight="1" x14ac:dyDescent="0.25">
      <c r="D696" s="3"/>
      <c r="F696" s="3"/>
      <c r="G696" s="32"/>
      <c r="H696" s="32"/>
      <c r="I696" s="32"/>
      <c r="J696" s="32"/>
      <c r="K696" s="3"/>
      <c r="L696" s="3"/>
      <c r="M696" s="3"/>
    </row>
    <row r="697" spans="4:13" ht="18" customHeight="1" x14ac:dyDescent="0.25">
      <c r="D697" s="3"/>
      <c r="F697" s="3"/>
      <c r="G697" s="32"/>
      <c r="H697" s="32"/>
      <c r="I697" s="32"/>
      <c r="J697" s="32"/>
      <c r="K697" s="3"/>
      <c r="L697" s="3"/>
      <c r="M697" s="3"/>
    </row>
    <row r="698" spans="4:13" ht="18" customHeight="1" x14ac:dyDescent="0.25">
      <c r="D698" s="3"/>
      <c r="F698" s="3"/>
      <c r="G698" s="32"/>
      <c r="H698" s="32"/>
      <c r="I698" s="32"/>
      <c r="J698" s="32"/>
      <c r="K698" s="3"/>
      <c r="L698" s="3"/>
      <c r="M698" s="3"/>
    </row>
    <row r="699" spans="4:13" ht="18" customHeight="1" x14ac:dyDescent="0.25">
      <c r="D699" s="3"/>
      <c r="F699" s="3"/>
      <c r="G699" s="32"/>
      <c r="H699" s="32"/>
      <c r="I699" s="32"/>
      <c r="J699" s="32"/>
      <c r="K699" s="3"/>
      <c r="L699" s="3"/>
      <c r="M699" s="3"/>
    </row>
    <row r="700" spans="4:13" ht="18" customHeight="1" x14ac:dyDescent="0.25">
      <c r="D700" s="3"/>
      <c r="F700" s="3"/>
      <c r="G700" s="32"/>
      <c r="H700" s="32"/>
      <c r="I700" s="32"/>
      <c r="J700" s="32"/>
      <c r="K700" s="3"/>
      <c r="L700" s="3"/>
      <c r="M700" s="3"/>
    </row>
    <row r="701" spans="4:13" ht="18" customHeight="1" x14ac:dyDescent="0.25">
      <c r="D701" s="3"/>
      <c r="F701" s="3"/>
      <c r="G701" s="32"/>
      <c r="H701" s="32"/>
      <c r="I701" s="32"/>
      <c r="J701" s="32"/>
      <c r="K701" s="3"/>
      <c r="L701" s="3"/>
      <c r="M701" s="3"/>
    </row>
    <row r="702" spans="4:13" ht="18" customHeight="1" x14ac:dyDescent="0.25">
      <c r="D702" s="3"/>
      <c r="F702" s="3"/>
      <c r="G702" s="32"/>
      <c r="H702" s="32"/>
      <c r="I702" s="32"/>
      <c r="J702" s="32"/>
      <c r="K702" s="3"/>
      <c r="L702" s="3"/>
      <c r="M702" s="3"/>
    </row>
    <row r="703" spans="4:13" ht="18" customHeight="1" x14ac:dyDescent="0.25">
      <c r="D703" s="3"/>
      <c r="F703" s="3"/>
      <c r="G703" s="32"/>
      <c r="H703" s="32"/>
      <c r="I703" s="32"/>
      <c r="J703" s="32"/>
      <c r="K703" s="3"/>
      <c r="L703" s="3"/>
      <c r="M703" s="3"/>
    </row>
    <row r="704" spans="4:13" ht="18" customHeight="1" x14ac:dyDescent="0.25">
      <c r="D704" s="3"/>
      <c r="F704" s="3"/>
      <c r="G704" s="32"/>
      <c r="H704" s="32"/>
      <c r="I704" s="32"/>
      <c r="J704" s="32"/>
      <c r="K704" s="3"/>
      <c r="L704" s="3"/>
      <c r="M704" s="3"/>
    </row>
    <row r="705" spans="4:13" ht="18" customHeight="1" x14ac:dyDescent="0.25">
      <c r="D705" s="3"/>
      <c r="F705" s="3"/>
      <c r="G705" s="32"/>
      <c r="H705" s="32"/>
      <c r="I705" s="32"/>
      <c r="J705" s="32"/>
      <c r="K705" s="3"/>
      <c r="L705" s="3"/>
      <c r="M705" s="3"/>
    </row>
    <row r="706" spans="4:13" ht="18" customHeight="1" x14ac:dyDescent="0.25">
      <c r="D706" s="3"/>
      <c r="F706" s="3"/>
      <c r="G706" s="32"/>
      <c r="H706" s="32"/>
      <c r="I706" s="32"/>
      <c r="J706" s="32"/>
      <c r="K706" s="3"/>
      <c r="L706" s="3"/>
      <c r="M706" s="3"/>
    </row>
    <row r="707" spans="4:13" ht="18" customHeight="1" x14ac:dyDescent="0.25">
      <c r="D707" s="3"/>
      <c r="F707" s="3"/>
      <c r="G707" s="32"/>
      <c r="H707" s="32"/>
      <c r="I707" s="32"/>
      <c r="J707" s="32"/>
      <c r="K707" s="3"/>
      <c r="L707" s="3"/>
      <c r="M707" s="3"/>
    </row>
    <row r="708" spans="4:13" ht="18" customHeight="1" x14ac:dyDescent="0.25">
      <c r="D708" s="3"/>
      <c r="F708" s="3"/>
      <c r="G708" s="32"/>
      <c r="H708" s="32"/>
      <c r="I708" s="32"/>
      <c r="J708" s="32"/>
      <c r="K708" s="3"/>
      <c r="L708" s="3"/>
      <c r="M708" s="3"/>
    </row>
    <row r="709" spans="4:13" ht="18" customHeight="1" x14ac:dyDescent="0.25">
      <c r="D709" s="3"/>
      <c r="F709" s="3"/>
      <c r="G709" s="32"/>
      <c r="H709" s="32"/>
      <c r="I709" s="32"/>
      <c r="J709" s="32"/>
      <c r="K709" s="3"/>
      <c r="L709" s="3"/>
      <c r="M709" s="3"/>
    </row>
    <row r="710" spans="4:13" ht="18" customHeight="1" x14ac:dyDescent="0.25">
      <c r="D710" s="3"/>
      <c r="F710" s="3"/>
      <c r="G710" s="32"/>
      <c r="H710" s="32"/>
      <c r="I710" s="32"/>
      <c r="J710" s="32"/>
      <c r="K710" s="3"/>
      <c r="L710" s="3"/>
      <c r="M710" s="3"/>
    </row>
    <row r="711" spans="4:13" ht="18" customHeight="1" x14ac:dyDescent="0.25">
      <c r="D711" s="3"/>
      <c r="F711" s="3"/>
      <c r="G711" s="32"/>
      <c r="H711" s="32"/>
      <c r="I711" s="32"/>
      <c r="J711" s="32"/>
      <c r="K711" s="3"/>
      <c r="L711" s="3"/>
      <c r="M711" s="3"/>
    </row>
    <row r="712" spans="4:13" ht="18" customHeight="1" x14ac:dyDescent="0.25">
      <c r="D712" s="3"/>
      <c r="F712" s="3"/>
      <c r="G712" s="32"/>
      <c r="H712" s="32"/>
      <c r="I712" s="32"/>
      <c r="J712" s="32"/>
      <c r="K712" s="3"/>
      <c r="L712" s="3"/>
      <c r="M712" s="3"/>
    </row>
    <row r="713" spans="4:13" ht="18" customHeight="1" x14ac:dyDescent="0.25">
      <c r="D713" s="3"/>
      <c r="F713" s="3"/>
      <c r="G713" s="32"/>
      <c r="H713" s="32"/>
      <c r="I713" s="32"/>
      <c r="J713" s="32"/>
      <c r="K713" s="3"/>
      <c r="L713" s="3"/>
      <c r="M713" s="3"/>
    </row>
    <row r="714" spans="4:13" ht="18" customHeight="1" x14ac:dyDescent="0.25">
      <c r="D714" s="3"/>
      <c r="F714" s="3"/>
      <c r="G714" s="32"/>
      <c r="H714" s="32"/>
      <c r="I714" s="32"/>
      <c r="J714" s="32"/>
      <c r="K714" s="3"/>
      <c r="L714" s="3"/>
      <c r="M714" s="3"/>
    </row>
    <row r="715" spans="4:13" ht="18" customHeight="1" x14ac:dyDescent="0.25">
      <c r="D715" s="3"/>
      <c r="F715" s="3"/>
      <c r="G715" s="32"/>
      <c r="H715" s="32"/>
      <c r="I715" s="32"/>
      <c r="J715" s="32"/>
      <c r="K715" s="3"/>
      <c r="L715" s="3"/>
      <c r="M715" s="3"/>
    </row>
    <row r="716" spans="4:13" ht="18" customHeight="1" x14ac:dyDescent="0.25">
      <c r="D716" s="3"/>
      <c r="F716" s="3"/>
      <c r="G716" s="32"/>
      <c r="H716" s="32"/>
      <c r="I716" s="32"/>
      <c r="J716" s="32"/>
      <c r="K716" s="3"/>
      <c r="L716" s="3"/>
      <c r="M716" s="3"/>
    </row>
    <row r="717" spans="4:13" ht="18" customHeight="1" x14ac:dyDescent="0.25">
      <c r="D717" s="3"/>
      <c r="F717" s="3"/>
      <c r="G717" s="32"/>
      <c r="H717" s="32"/>
      <c r="I717" s="32"/>
      <c r="J717" s="32"/>
      <c r="K717" s="3"/>
      <c r="L717" s="3"/>
      <c r="M717" s="3"/>
    </row>
    <row r="718" spans="4:13" ht="18" customHeight="1" x14ac:dyDescent="0.25">
      <c r="D718" s="3"/>
      <c r="F718" s="3"/>
      <c r="G718" s="32"/>
      <c r="H718" s="32"/>
      <c r="I718" s="32"/>
      <c r="J718" s="32"/>
      <c r="K718" s="3"/>
      <c r="L718" s="3"/>
      <c r="M718" s="3"/>
    </row>
    <row r="719" spans="4:13" ht="18" customHeight="1" x14ac:dyDescent="0.25">
      <c r="D719" s="3"/>
      <c r="F719" s="3"/>
      <c r="G719" s="32"/>
      <c r="H719" s="32"/>
      <c r="I719" s="32"/>
      <c r="J719" s="32"/>
      <c r="K719" s="3"/>
      <c r="L719" s="3"/>
      <c r="M719" s="3"/>
    </row>
    <row r="720" spans="4:13" ht="18" customHeight="1" x14ac:dyDescent="0.25">
      <c r="D720" s="3"/>
      <c r="F720" s="3"/>
      <c r="G720" s="32"/>
      <c r="H720" s="32"/>
      <c r="I720" s="32"/>
      <c r="J720" s="32"/>
      <c r="K720" s="3"/>
      <c r="L720" s="3"/>
      <c r="M720" s="3"/>
    </row>
    <row r="721" spans="4:13" ht="18" customHeight="1" x14ac:dyDescent="0.25">
      <c r="D721" s="3"/>
      <c r="F721" s="3"/>
      <c r="G721" s="32"/>
      <c r="H721" s="32"/>
      <c r="I721" s="32"/>
      <c r="J721" s="32"/>
      <c r="K721" s="3"/>
      <c r="L721" s="3"/>
      <c r="M721" s="3"/>
    </row>
    <row r="722" spans="4:13" ht="18" customHeight="1" x14ac:dyDescent="0.25">
      <c r="D722" s="3"/>
      <c r="F722" s="3"/>
      <c r="G722" s="32"/>
      <c r="H722" s="32"/>
      <c r="I722" s="32"/>
      <c r="J722" s="32"/>
      <c r="K722" s="3"/>
      <c r="L722" s="3"/>
      <c r="M722" s="3"/>
    </row>
    <row r="723" spans="4:13" ht="18" customHeight="1" x14ac:dyDescent="0.25">
      <c r="D723" s="3"/>
      <c r="F723" s="3"/>
      <c r="G723" s="32"/>
      <c r="H723" s="32"/>
      <c r="I723" s="32"/>
      <c r="J723" s="32"/>
      <c r="K723" s="3"/>
      <c r="L723" s="3"/>
      <c r="M723" s="3"/>
    </row>
    <row r="724" spans="4:13" ht="18" customHeight="1" x14ac:dyDescent="0.25">
      <c r="D724" s="3"/>
      <c r="F724" s="3"/>
      <c r="G724" s="32"/>
      <c r="H724" s="32"/>
      <c r="I724" s="32"/>
      <c r="J724" s="32"/>
      <c r="K724" s="3"/>
      <c r="L724" s="3"/>
      <c r="M724" s="3"/>
    </row>
    <row r="725" spans="4:13" ht="18" customHeight="1" x14ac:dyDescent="0.25">
      <c r="D725" s="3"/>
      <c r="F725" s="3"/>
      <c r="G725" s="32"/>
      <c r="H725" s="32"/>
      <c r="I725" s="32"/>
      <c r="J725" s="32"/>
      <c r="K725" s="3"/>
      <c r="L725" s="3"/>
      <c r="M725" s="3"/>
    </row>
    <row r="726" spans="4:13" ht="18" customHeight="1" x14ac:dyDescent="0.25">
      <c r="D726" s="3"/>
      <c r="F726" s="3"/>
      <c r="G726" s="32"/>
      <c r="H726" s="32"/>
      <c r="I726" s="32"/>
      <c r="J726" s="32"/>
      <c r="K726" s="3"/>
      <c r="L726" s="3"/>
      <c r="M726" s="3"/>
    </row>
    <row r="727" spans="4:13" ht="18" customHeight="1" x14ac:dyDescent="0.25">
      <c r="D727" s="3"/>
      <c r="F727" s="3"/>
      <c r="G727" s="32"/>
      <c r="H727" s="32"/>
      <c r="I727" s="32"/>
      <c r="J727" s="32"/>
      <c r="K727" s="3"/>
      <c r="L727" s="3"/>
      <c r="M727" s="3"/>
    </row>
    <row r="728" spans="4:13" ht="18" customHeight="1" x14ac:dyDescent="0.25">
      <c r="D728" s="3"/>
      <c r="F728" s="3"/>
      <c r="G728" s="32"/>
      <c r="H728" s="32"/>
      <c r="I728" s="32"/>
      <c r="J728" s="32"/>
      <c r="K728" s="3"/>
      <c r="L728" s="3"/>
      <c r="M728" s="3"/>
    </row>
    <row r="729" spans="4:13" ht="18" customHeight="1" x14ac:dyDescent="0.25">
      <c r="D729" s="3"/>
      <c r="F729" s="3"/>
      <c r="G729" s="32"/>
      <c r="H729" s="32"/>
      <c r="I729" s="32"/>
      <c r="J729" s="32"/>
      <c r="K729" s="3"/>
      <c r="L729" s="3"/>
      <c r="M729" s="3"/>
    </row>
    <row r="730" spans="4:13" ht="18" customHeight="1" x14ac:dyDescent="0.25">
      <c r="D730" s="3"/>
      <c r="F730" s="3"/>
      <c r="G730" s="32"/>
      <c r="H730" s="32"/>
      <c r="I730" s="32"/>
      <c r="J730" s="32"/>
      <c r="K730" s="3"/>
      <c r="L730" s="3"/>
      <c r="M730" s="3"/>
    </row>
    <row r="731" spans="4:13" ht="18" customHeight="1" x14ac:dyDescent="0.25">
      <c r="D731" s="3"/>
      <c r="F731" s="3"/>
      <c r="G731" s="32"/>
      <c r="H731" s="32"/>
      <c r="I731" s="32"/>
      <c r="J731" s="32"/>
      <c r="K731" s="3"/>
      <c r="L731" s="3"/>
      <c r="M731" s="3"/>
    </row>
    <row r="732" spans="4:13" ht="18" customHeight="1" x14ac:dyDescent="0.25">
      <c r="D732" s="3"/>
      <c r="F732" s="3"/>
      <c r="G732" s="32"/>
      <c r="H732" s="32"/>
      <c r="I732" s="32"/>
      <c r="J732" s="32"/>
      <c r="K732" s="3"/>
      <c r="L732" s="3"/>
      <c r="M732" s="3"/>
    </row>
    <row r="733" spans="4:13" ht="18" customHeight="1" x14ac:dyDescent="0.25">
      <c r="D733" s="3"/>
      <c r="F733" s="3"/>
      <c r="G733" s="32"/>
      <c r="H733" s="32"/>
      <c r="I733" s="32"/>
      <c r="J733" s="32"/>
      <c r="K733" s="3"/>
      <c r="L733" s="3"/>
      <c r="M733" s="3"/>
    </row>
    <row r="734" spans="4:13" ht="18" customHeight="1" x14ac:dyDescent="0.25">
      <c r="D734" s="3"/>
      <c r="F734" s="3"/>
      <c r="G734" s="32"/>
      <c r="H734" s="32"/>
      <c r="I734" s="32"/>
      <c r="J734" s="32"/>
      <c r="K734" s="3"/>
      <c r="L734" s="3"/>
      <c r="M734" s="3"/>
    </row>
    <row r="735" spans="4:13" ht="18" customHeight="1" x14ac:dyDescent="0.25">
      <c r="D735" s="3"/>
      <c r="F735" s="3"/>
      <c r="G735" s="32"/>
      <c r="H735" s="32"/>
      <c r="I735" s="32"/>
      <c r="J735" s="32"/>
      <c r="K735" s="3"/>
      <c r="L735" s="3"/>
      <c r="M735" s="3"/>
    </row>
    <row r="736" spans="4:13" ht="18" customHeight="1" x14ac:dyDescent="0.25">
      <c r="D736" s="3"/>
      <c r="F736" s="3"/>
      <c r="G736" s="32"/>
      <c r="H736" s="32"/>
      <c r="I736" s="32"/>
      <c r="J736" s="32"/>
      <c r="K736" s="3"/>
      <c r="L736" s="3"/>
      <c r="M736" s="3"/>
    </row>
    <row r="737" spans="4:13" ht="18" customHeight="1" x14ac:dyDescent="0.25">
      <c r="D737" s="3"/>
      <c r="F737" s="3"/>
      <c r="G737" s="32"/>
      <c r="H737" s="32"/>
      <c r="I737" s="32"/>
      <c r="J737" s="32"/>
      <c r="K737" s="3"/>
      <c r="L737" s="3"/>
      <c r="M737" s="3"/>
    </row>
    <row r="738" spans="4:13" ht="18" customHeight="1" x14ac:dyDescent="0.25">
      <c r="D738" s="3"/>
      <c r="F738" s="3"/>
      <c r="G738" s="32"/>
      <c r="H738" s="32"/>
      <c r="I738" s="32"/>
      <c r="J738" s="32"/>
      <c r="K738" s="3"/>
      <c r="L738" s="3"/>
      <c r="M738" s="3"/>
    </row>
    <row r="739" spans="4:13" ht="18" customHeight="1" x14ac:dyDescent="0.25">
      <c r="D739" s="3"/>
      <c r="F739" s="3"/>
      <c r="G739" s="32"/>
      <c r="H739" s="32"/>
      <c r="I739" s="32"/>
      <c r="J739" s="32"/>
      <c r="K739" s="3"/>
      <c r="L739" s="3"/>
      <c r="M739" s="3"/>
    </row>
    <row r="740" spans="4:13" ht="18" customHeight="1" x14ac:dyDescent="0.25">
      <c r="D740" s="3"/>
      <c r="F740" s="3"/>
      <c r="G740" s="32"/>
      <c r="H740" s="32"/>
      <c r="I740" s="32"/>
      <c r="J740" s="32"/>
      <c r="K740" s="3"/>
      <c r="L740" s="3"/>
      <c r="M740" s="3"/>
    </row>
    <row r="741" spans="4:13" ht="18" customHeight="1" x14ac:dyDescent="0.25">
      <c r="D741" s="3"/>
      <c r="F741" s="3"/>
      <c r="G741" s="32"/>
      <c r="H741" s="32"/>
      <c r="I741" s="32"/>
      <c r="J741" s="32"/>
      <c r="K741" s="3"/>
      <c r="L741" s="3"/>
      <c r="M741" s="3"/>
    </row>
    <row r="742" spans="4:13" ht="18" customHeight="1" x14ac:dyDescent="0.25">
      <c r="D742" s="3"/>
      <c r="F742" s="3"/>
      <c r="G742" s="32"/>
      <c r="H742" s="32"/>
      <c r="I742" s="32"/>
      <c r="J742" s="32"/>
      <c r="K742" s="3"/>
      <c r="L742" s="3"/>
      <c r="M742" s="3"/>
    </row>
    <row r="743" spans="4:13" ht="18" customHeight="1" x14ac:dyDescent="0.25">
      <c r="D743" s="3"/>
      <c r="F743" s="3"/>
      <c r="G743" s="32"/>
      <c r="H743" s="32"/>
      <c r="I743" s="32"/>
      <c r="J743" s="32"/>
      <c r="K743" s="3"/>
      <c r="L743" s="3"/>
      <c r="M743" s="3"/>
    </row>
    <row r="744" spans="4:13" ht="18" customHeight="1" x14ac:dyDescent="0.25">
      <c r="D744" s="3"/>
      <c r="F744" s="3"/>
      <c r="G744" s="32"/>
      <c r="H744" s="32"/>
      <c r="I744" s="32"/>
      <c r="J744" s="32"/>
      <c r="K744" s="3"/>
      <c r="L744" s="3"/>
      <c r="M744" s="3"/>
    </row>
    <row r="745" spans="4:13" ht="18" customHeight="1" x14ac:dyDescent="0.25">
      <c r="D745" s="3"/>
      <c r="F745" s="3"/>
      <c r="G745" s="32"/>
      <c r="H745" s="32"/>
      <c r="I745" s="32"/>
      <c r="J745" s="32"/>
      <c r="K745" s="3"/>
      <c r="L745" s="3"/>
      <c r="M745" s="3"/>
    </row>
    <row r="746" spans="4:13" ht="18" customHeight="1" x14ac:dyDescent="0.25">
      <c r="D746" s="3"/>
      <c r="F746" s="3"/>
      <c r="G746" s="32"/>
      <c r="H746" s="32"/>
      <c r="I746" s="32"/>
      <c r="J746" s="32"/>
      <c r="K746" s="3"/>
      <c r="L746" s="3"/>
      <c r="M746" s="3"/>
    </row>
    <row r="747" spans="4:13" ht="18" customHeight="1" x14ac:dyDescent="0.25">
      <c r="D747" s="3"/>
      <c r="F747" s="3"/>
      <c r="G747" s="32"/>
      <c r="H747" s="32"/>
      <c r="I747" s="32"/>
      <c r="J747" s="32"/>
      <c r="K747" s="3"/>
      <c r="L747" s="3"/>
      <c r="M747" s="3"/>
    </row>
    <row r="748" spans="4:13" ht="18" customHeight="1" x14ac:dyDescent="0.25">
      <c r="D748" s="3"/>
      <c r="F748" s="3"/>
      <c r="G748" s="32"/>
      <c r="H748" s="32"/>
      <c r="I748" s="32"/>
      <c r="J748" s="32"/>
      <c r="K748" s="3"/>
      <c r="L748" s="3"/>
      <c r="M748" s="3"/>
    </row>
    <row r="749" spans="4:13" ht="18" customHeight="1" x14ac:dyDescent="0.25">
      <c r="D749" s="3"/>
      <c r="F749" s="3"/>
      <c r="G749" s="32"/>
      <c r="H749" s="32"/>
      <c r="I749" s="32"/>
      <c r="J749" s="32"/>
      <c r="K749" s="3"/>
      <c r="L749" s="3"/>
      <c r="M749" s="3"/>
    </row>
    <row r="750" spans="4:13" ht="18" customHeight="1" x14ac:dyDescent="0.25">
      <c r="D750" s="3"/>
      <c r="F750" s="3"/>
      <c r="G750" s="32"/>
      <c r="H750" s="32"/>
      <c r="I750" s="32"/>
      <c r="J750" s="32"/>
      <c r="K750" s="3"/>
      <c r="L750" s="3"/>
      <c r="M750" s="3"/>
    </row>
    <row r="751" spans="4:13" ht="18" customHeight="1" x14ac:dyDescent="0.25">
      <c r="D751" s="3"/>
      <c r="F751" s="3"/>
      <c r="G751" s="32"/>
      <c r="H751" s="32"/>
      <c r="I751" s="32"/>
      <c r="J751" s="32"/>
      <c r="K751" s="3"/>
      <c r="L751" s="3"/>
      <c r="M751" s="3"/>
    </row>
    <row r="752" spans="4:13" ht="18" customHeight="1" x14ac:dyDescent="0.25">
      <c r="D752" s="3"/>
      <c r="F752" s="3"/>
      <c r="G752" s="32"/>
      <c r="H752" s="32"/>
      <c r="I752" s="32"/>
      <c r="J752" s="32"/>
      <c r="K752" s="3"/>
      <c r="L752" s="3"/>
      <c r="M752" s="3"/>
    </row>
    <row r="753" spans="4:13" ht="18" customHeight="1" x14ac:dyDescent="0.25">
      <c r="D753" s="3"/>
      <c r="F753" s="3"/>
      <c r="G753" s="32"/>
      <c r="H753" s="32"/>
      <c r="I753" s="32"/>
      <c r="J753" s="32"/>
      <c r="K753" s="3"/>
      <c r="L753" s="3"/>
      <c r="M753" s="3"/>
    </row>
    <row r="754" spans="4:13" ht="18" customHeight="1" x14ac:dyDescent="0.25">
      <c r="D754" s="3"/>
      <c r="F754" s="3"/>
      <c r="G754" s="32"/>
      <c r="H754" s="32"/>
      <c r="I754" s="32"/>
      <c r="J754" s="32"/>
      <c r="K754" s="3"/>
      <c r="L754" s="3"/>
      <c r="M754" s="3"/>
    </row>
    <row r="755" spans="4:13" ht="18" customHeight="1" x14ac:dyDescent="0.25">
      <c r="D755" s="3"/>
      <c r="F755" s="3"/>
      <c r="G755" s="32"/>
      <c r="H755" s="32"/>
      <c r="I755" s="32"/>
      <c r="J755" s="32"/>
      <c r="K755" s="3"/>
      <c r="L755" s="3"/>
      <c r="M755" s="3"/>
    </row>
    <row r="756" spans="4:13" ht="18" customHeight="1" x14ac:dyDescent="0.25">
      <c r="D756" s="3"/>
      <c r="F756" s="3"/>
      <c r="G756" s="32"/>
      <c r="H756" s="32"/>
      <c r="I756" s="32"/>
      <c r="J756" s="32"/>
      <c r="K756" s="3"/>
      <c r="L756" s="3"/>
      <c r="M756" s="3"/>
    </row>
    <row r="757" spans="4:13" ht="18" customHeight="1" x14ac:dyDescent="0.25">
      <c r="D757" s="3"/>
      <c r="F757" s="3"/>
      <c r="G757" s="32"/>
      <c r="H757" s="32"/>
      <c r="I757" s="32"/>
      <c r="J757" s="32"/>
      <c r="K757" s="3"/>
      <c r="L757" s="3"/>
      <c r="M757" s="3"/>
    </row>
    <row r="758" spans="4:13" ht="18" customHeight="1" x14ac:dyDescent="0.25">
      <c r="D758" s="3"/>
      <c r="F758" s="3"/>
      <c r="G758" s="32"/>
      <c r="H758" s="32"/>
      <c r="I758" s="32"/>
      <c r="J758" s="32"/>
      <c r="K758" s="3"/>
      <c r="L758" s="3"/>
      <c r="M758" s="3"/>
    </row>
    <row r="759" spans="4:13" ht="18" customHeight="1" x14ac:dyDescent="0.25">
      <c r="D759" s="3"/>
      <c r="F759" s="3"/>
      <c r="G759" s="32"/>
      <c r="H759" s="32"/>
      <c r="I759" s="32"/>
      <c r="J759" s="32"/>
      <c r="K759" s="3"/>
      <c r="L759" s="3"/>
      <c r="M759" s="3"/>
    </row>
    <row r="760" spans="4:13" ht="18" customHeight="1" x14ac:dyDescent="0.25">
      <c r="D760" s="3"/>
      <c r="F760" s="3"/>
      <c r="G760" s="32"/>
      <c r="H760" s="32"/>
      <c r="I760" s="32"/>
      <c r="J760" s="32"/>
      <c r="K760" s="3"/>
      <c r="L760" s="3"/>
      <c r="M760" s="3"/>
    </row>
    <row r="761" spans="4:13" ht="18" customHeight="1" x14ac:dyDescent="0.25">
      <c r="D761" s="3"/>
      <c r="F761" s="3"/>
      <c r="G761" s="32"/>
      <c r="H761" s="32"/>
      <c r="I761" s="32"/>
      <c r="J761" s="32"/>
      <c r="K761" s="3"/>
      <c r="L761" s="3"/>
      <c r="M761" s="3"/>
    </row>
    <row r="762" spans="4:13" ht="18" customHeight="1" x14ac:dyDescent="0.25">
      <c r="D762" s="3"/>
      <c r="F762" s="3"/>
      <c r="G762" s="32"/>
      <c r="H762" s="32"/>
      <c r="I762" s="32"/>
      <c r="J762" s="32"/>
      <c r="K762" s="3"/>
      <c r="L762" s="3"/>
      <c r="M762" s="3"/>
    </row>
    <row r="763" spans="4:13" ht="18" customHeight="1" x14ac:dyDescent="0.25">
      <c r="D763" s="3"/>
      <c r="F763" s="3"/>
      <c r="G763" s="32"/>
      <c r="H763" s="32"/>
      <c r="I763" s="32"/>
      <c r="J763" s="32"/>
      <c r="K763" s="3"/>
      <c r="L763" s="3"/>
      <c r="M763" s="3"/>
    </row>
    <row r="764" spans="4:13" ht="18" customHeight="1" x14ac:dyDescent="0.25">
      <c r="D764" s="3"/>
      <c r="F764" s="3"/>
      <c r="G764" s="32"/>
      <c r="H764" s="32"/>
      <c r="I764" s="32"/>
      <c r="J764" s="32"/>
      <c r="K764" s="3"/>
      <c r="L764" s="3"/>
      <c r="M764" s="3"/>
    </row>
    <row r="765" spans="4:13" ht="18" customHeight="1" x14ac:dyDescent="0.25">
      <c r="D765" s="3"/>
      <c r="F765" s="3"/>
      <c r="G765" s="32"/>
      <c r="H765" s="32"/>
      <c r="I765" s="32"/>
      <c r="J765" s="32"/>
      <c r="K765" s="3"/>
      <c r="L765" s="3"/>
      <c r="M765" s="3"/>
    </row>
    <row r="766" spans="4:13" ht="18" customHeight="1" x14ac:dyDescent="0.25">
      <c r="D766" s="3"/>
      <c r="F766" s="3"/>
      <c r="G766" s="32"/>
      <c r="H766" s="32"/>
      <c r="I766" s="32"/>
      <c r="J766" s="32"/>
      <c r="K766" s="3"/>
      <c r="L766" s="3"/>
      <c r="M766" s="3"/>
    </row>
    <row r="767" spans="4:13" ht="18" customHeight="1" x14ac:dyDescent="0.25">
      <c r="D767" s="3"/>
      <c r="F767" s="3"/>
      <c r="G767" s="32"/>
      <c r="H767" s="32"/>
      <c r="I767" s="32"/>
      <c r="J767" s="32"/>
      <c r="K767" s="3"/>
      <c r="L767" s="3"/>
      <c r="M767" s="3"/>
    </row>
    <row r="768" spans="4:13" ht="18" customHeight="1" x14ac:dyDescent="0.25">
      <c r="D768" s="3"/>
      <c r="F768" s="3"/>
      <c r="G768" s="32"/>
      <c r="H768" s="32"/>
      <c r="I768" s="32"/>
      <c r="J768" s="32"/>
      <c r="K768" s="3"/>
      <c r="L768" s="3"/>
      <c r="M768" s="3"/>
    </row>
    <row r="769" spans="4:13" ht="18" customHeight="1" x14ac:dyDescent="0.25">
      <c r="D769" s="3"/>
      <c r="F769" s="3"/>
      <c r="G769" s="32"/>
      <c r="H769" s="32"/>
      <c r="I769" s="32"/>
      <c r="J769" s="32"/>
      <c r="K769" s="3"/>
      <c r="L769" s="3"/>
      <c r="M769" s="3"/>
    </row>
    <row r="770" spans="4:13" ht="18" customHeight="1" x14ac:dyDescent="0.25">
      <c r="D770" s="3"/>
      <c r="F770" s="3"/>
      <c r="G770" s="32"/>
      <c r="H770" s="32"/>
      <c r="I770" s="32"/>
      <c r="J770" s="32"/>
      <c r="K770" s="3"/>
      <c r="L770" s="3"/>
      <c r="M770" s="3"/>
    </row>
    <row r="771" spans="4:13" ht="18" customHeight="1" x14ac:dyDescent="0.25">
      <c r="D771" s="3"/>
      <c r="F771" s="3"/>
      <c r="G771" s="32"/>
      <c r="H771" s="32"/>
      <c r="I771" s="32"/>
      <c r="J771" s="32"/>
      <c r="K771" s="3"/>
      <c r="L771" s="3"/>
      <c r="M771" s="3"/>
    </row>
    <row r="772" spans="4:13" ht="18" customHeight="1" x14ac:dyDescent="0.25">
      <c r="D772" s="3"/>
      <c r="F772" s="3"/>
      <c r="G772" s="32"/>
      <c r="H772" s="32"/>
      <c r="I772" s="32"/>
      <c r="J772" s="32"/>
      <c r="K772" s="3"/>
      <c r="L772" s="3"/>
      <c r="M772" s="3"/>
    </row>
    <row r="773" spans="4:13" ht="18" customHeight="1" x14ac:dyDescent="0.25">
      <c r="D773" s="3"/>
      <c r="F773" s="3"/>
      <c r="G773" s="32"/>
      <c r="H773" s="32"/>
      <c r="I773" s="32"/>
      <c r="J773" s="32"/>
      <c r="K773" s="3"/>
      <c r="L773" s="3"/>
      <c r="M773" s="3"/>
    </row>
    <row r="774" spans="4:13" ht="18" customHeight="1" x14ac:dyDescent="0.25">
      <c r="D774" s="3"/>
      <c r="F774" s="3"/>
      <c r="G774" s="32"/>
      <c r="H774" s="32"/>
      <c r="I774" s="32"/>
      <c r="J774" s="32"/>
      <c r="K774" s="3"/>
      <c r="L774" s="3"/>
      <c r="M774" s="3"/>
    </row>
    <row r="775" spans="4:13" ht="18" customHeight="1" x14ac:dyDescent="0.25">
      <c r="D775" s="3"/>
      <c r="F775" s="3"/>
      <c r="G775" s="32"/>
      <c r="H775" s="32"/>
      <c r="I775" s="32"/>
      <c r="J775" s="32"/>
      <c r="K775" s="3"/>
      <c r="L775" s="3"/>
      <c r="M775" s="3"/>
    </row>
    <row r="776" spans="4:13" ht="18" customHeight="1" x14ac:dyDescent="0.25">
      <c r="D776" s="3"/>
      <c r="F776" s="3"/>
      <c r="G776" s="32"/>
      <c r="H776" s="32"/>
      <c r="I776" s="32"/>
      <c r="J776" s="32"/>
      <c r="K776" s="3"/>
      <c r="L776" s="3"/>
      <c r="M776" s="3"/>
    </row>
    <row r="777" spans="4:13" ht="18" customHeight="1" x14ac:dyDescent="0.25">
      <c r="D777" s="3"/>
      <c r="F777" s="3"/>
      <c r="G777" s="32"/>
      <c r="H777" s="32"/>
      <c r="I777" s="32"/>
      <c r="J777" s="32"/>
      <c r="K777" s="3"/>
      <c r="L777" s="3"/>
      <c r="M777" s="3"/>
    </row>
    <row r="778" spans="4:13" ht="18" customHeight="1" x14ac:dyDescent="0.25">
      <c r="D778" s="3"/>
      <c r="F778" s="3"/>
      <c r="G778" s="32"/>
      <c r="H778" s="32"/>
      <c r="I778" s="32"/>
      <c r="J778" s="32"/>
      <c r="K778" s="3"/>
      <c r="L778" s="3"/>
      <c r="M778" s="3"/>
    </row>
    <row r="779" spans="4:13" ht="18" customHeight="1" x14ac:dyDescent="0.25">
      <c r="D779" s="3"/>
      <c r="F779" s="3"/>
      <c r="G779" s="32"/>
      <c r="H779" s="32"/>
      <c r="I779" s="32"/>
      <c r="J779" s="32"/>
      <c r="K779" s="3"/>
      <c r="L779" s="3"/>
      <c r="M779" s="3"/>
    </row>
    <row r="780" spans="4:13" ht="18" customHeight="1" x14ac:dyDescent="0.25">
      <c r="D780" s="3"/>
      <c r="F780" s="3"/>
      <c r="G780" s="32"/>
      <c r="H780" s="32"/>
      <c r="I780" s="32"/>
      <c r="J780" s="32"/>
      <c r="K780" s="3"/>
      <c r="L780" s="3"/>
      <c r="M780" s="3"/>
    </row>
    <row r="781" spans="4:13" ht="18" customHeight="1" x14ac:dyDescent="0.25">
      <c r="D781" s="3"/>
      <c r="F781" s="3"/>
      <c r="G781" s="32"/>
      <c r="H781" s="32"/>
      <c r="I781" s="32"/>
      <c r="J781" s="32"/>
      <c r="K781" s="3"/>
      <c r="L781" s="3"/>
      <c r="M781" s="3"/>
    </row>
    <row r="782" spans="4:13" ht="18" customHeight="1" x14ac:dyDescent="0.25">
      <c r="D782" s="3"/>
      <c r="F782" s="3"/>
      <c r="G782" s="32"/>
      <c r="H782" s="32"/>
      <c r="I782" s="32"/>
      <c r="J782" s="32"/>
      <c r="K782" s="3"/>
      <c r="L782" s="3"/>
      <c r="M782" s="3"/>
    </row>
    <row r="783" spans="4:13" ht="18" customHeight="1" x14ac:dyDescent="0.25">
      <c r="D783" s="3"/>
      <c r="F783" s="3"/>
      <c r="G783" s="32"/>
      <c r="H783" s="32"/>
      <c r="I783" s="32"/>
      <c r="J783" s="32"/>
      <c r="K783" s="3"/>
      <c r="L783" s="3"/>
      <c r="M783" s="3"/>
    </row>
    <row r="784" spans="4:13" ht="18" customHeight="1" x14ac:dyDescent="0.25">
      <c r="D784" s="3"/>
      <c r="F784" s="3"/>
      <c r="G784" s="32"/>
      <c r="H784" s="32"/>
      <c r="I784" s="32"/>
      <c r="J784" s="32"/>
      <c r="K784" s="3"/>
      <c r="L784" s="3"/>
      <c r="M784" s="3"/>
    </row>
    <row r="785" spans="4:13" ht="18" customHeight="1" x14ac:dyDescent="0.25">
      <c r="D785" s="3"/>
      <c r="F785" s="3"/>
      <c r="G785" s="32"/>
      <c r="H785" s="32"/>
      <c r="I785" s="32"/>
      <c r="J785" s="32"/>
      <c r="K785" s="3"/>
      <c r="L785" s="3"/>
      <c r="M785" s="3"/>
    </row>
    <row r="786" spans="4:13" ht="18" customHeight="1" x14ac:dyDescent="0.25">
      <c r="D786" s="3"/>
      <c r="F786" s="3"/>
      <c r="G786" s="32"/>
      <c r="H786" s="32"/>
      <c r="I786" s="32"/>
      <c r="J786" s="32"/>
      <c r="K786" s="3"/>
      <c r="L786" s="3"/>
      <c r="M786" s="3"/>
    </row>
    <row r="787" spans="4:13" ht="18" customHeight="1" x14ac:dyDescent="0.25">
      <c r="D787" s="3"/>
      <c r="F787" s="3"/>
      <c r="G787" s="32"/>
      <c r="H787" s="32"/>
      <c r="I787" s="32"/>
      <c r="J787" s="32"/>
      <c r="K787" s="3"/>
      <c r="L787" s="3"/>
      <c r="M787" s="3"/>
    </row>
    <row r="788" spans="4:13" ht="18" customHeight="1" x14ac:dyDescent="0.25">
      <c r="D788" s="3"/>
      <c r="F788" s="3"/>
      <c r="G788" s="32"/>
      <c r="H788" s="32"/>
      <c r="I788" s="32"/>
      <c r="J788" s="32"/>
      <c r="K788" s="3"/>
      <c r="L788" s="3"/>
      <c r="M788" s="3"/>
    </row>
    <row r="789" spans="4:13" ht="18" customHeight="1" x14ac:dyDescent="0.25">
      <c r="D789" s="3"/>
      <c r="F789" s="3"/>
      <c r="G789" s="32"/>
      <c r="H789" s="32"/>
      <c r="I789" s="32"/>
      <c r="J789" s="32"/>
      <c r="K789" s="3"/>
      <c r="L789" s="3"/>
      <c r="M789" s="3"/>
    </row>
    <row r="790" spans="4:13" ht="18" customHeight="1" x14ac:dyDescent="0.25">
      <c r="D790" s="3"/>
      <c r="F790" s="3"/>
      <c r="G790" s="32"/>
      <c r="H790" s="32"/>
      <c r="I790" s="32"/>
      <c r="J790" s="32"/>
      <c r="K790" s="3"/>
      <c r="L790" s="3"/>
      <c r="M790" s="3"/>
    </row>
    <row r="791" spans="4:13" ht="18" customHeight="1" x14ac:dyDescent="0.25">
      <c r="D791" s="3"/>
      <c r="F791" s="3"/>
      <c r="G791" s="32"/>
      <c r="H791" s="32"/>
      <c r="I791" s="32"/>
      <c r="J791" s="32"/>
      <c r="K791" s="3"/>
      <c r="L791" s="3"/>
      <c r="M791" s="3"/>
    </row>
    <row r="792" spans="4:13" ht="18" customHeight="1" x14ac:dyDescent="0.25">
      <c r="D792" s="3"/>
      <c r="F792" s="3"/>
      <c r="G792" s="32"/>
      <c r="H792" s="32"/>
      <c r="I792" s="32"/>
      <c r="J792" s="32"/>
      <c r="K792" s="3"/>
      <c r="L792" s="3"/>
      <c r="M792" s="3"/>
    </row>
    <row r="793" spans="4:13" ht="18" customHeight="1" x14ac:dyDescent="0.25">
      <c r="D793" s="3"/>
      <c r="F793" s="3"/>
      <c r="G793" s="32"/>
      <c r="H793" s="32"/>
      <c r="I793" s="32"/>
      <c r="J793" s="32"/>
      <c r="K793" s="3"/>
      <c r="L793" s="3"/>
      <c r="M793" s="3"/>
    </row>
    <row r="794" spans="4:13" ht="18" customHeight="1" x14ac:dyDescent="0.25">
      <c r="D794" s="3"/>
      <c r="F794" s="3"/>
      <c r="G794" s="32"/>
      <c r="H794" s="32"/>
      <c r="I794" s="32"/>
      <c r="J794" s="32"/>
      <c r="K794" s="3"/>
      <c r="L794" s="3"/>
      <c r="M794" s="3"/>
    </row>
    <row r="795" spans="4:13" ht="18" customHeight="1" x14ac:dyDescent="0.25">
      <c r="D795" s="3"/>
      <c r="F795" s="3"/>
      <c r="G795" s="32"/>
      <c r="H795" s="32"/>
      <c r="I795" s="32"/>
      <c r="J795" s="32"/>
      <c r="K795" s="3"/>
      <c r="L795" s="3"/>
      <c r="M795" s="3"/>
    </row>
    <row r="796" spans="4:13" ht="18" customHeight="1" x14ac:dyDescent="0.25">
      <c r="D796" s="3"/>
      <c r="F796" s="3"/>
      <c r="G796" s="32"/>
      <c r="H796" s="32"/>
      <c r="I796" s="32"/>
      <c r="J796" s="32"/>
      <c r="K796" s="3"/>
      <c r="L796" s="3"/>
      <c r="M796" s="3"/>
    </row>
    <row r="797" spans="4:13" ht="18" customHeight="1" x14ac:dyDescent="0.25">
      <c r="D797" s="3"/>
      <c r="F797" s="3"/>
      <c r="G797" s="32"/>
      <c r="H797" s="32"/>
      <c r="I797" s="32"/>
      <c r="J797" s="32"/>
      <c r="K797" s="3"/>
      <c r="L797" s="3"/>
      <c r="M797" s="3"/>
    </row>
    <row r="798" spans="4:13" ht="18" customHeight="1" x14ac:dyDescent="0.25">
      <c r="D798" s="3"/>
      <c r="F798" s="3"/>
      <c r="G798" s="32"/>
      <c r="H798" s="32"/>
      <c r="I798" s="32"/>
      <c r="J798" s="32"/>
      <c r="K798" s="3"/>
      <c r="L798" s="3"/>
      <c r="M798" s="3"/>
    </row>
    <row r="799" spans="4:13" ht="18" customHeight="1" x14ac:dyDescent="0.25">
      <c r="D799" s="3"/>
      <c r="F799" s="3"/>
      <c r="G799" s="32"/>
      <c r="H799" s="32"/>
      <c r="I799" s="32"/>
      <c r="J799" s="32"/>
      <c r="K799" s="3"/>
      <c r="L799" s="3"/>
      <c r="M799" s="3"/>
    </row>
    <row r="800" spans="4:13" ht="18" customHeight="1" x14ac:dyDescent="0.25">
      <c r="D800" s="3"/>
      <c r="F800" s="3"/>
      <c r="G800" s="32"/>
      <c r="H800" s="32"/>
      <c r="I800" s="32"/>
      <c r="J800" s="32"/>
      <c r="K800" s="3"/>
      <c r="L800" s="3"/>
      <c r="M800" s="3"/>
    </row>
    <row r="801" spans="4:13" ht="18" customHeight="1" x14ac:dyDescent="0.25">
      <c r="D801" s="3"/>
      <c r="F801" s="3"/>
      <c r="G801" s="32"/>
      <c r="H801" s="32"/>
      <c r="I801" s="32"/>
      <c r="J801" s="32"/>
      <c r="K801" s="3"/>
      <c r="L801" s="3"/>
      <c r="M801" s="3"/>
    </row>
    <row r="802" spans="4:13" ht="18" customHeight="1" x14ac:dyDescent="0.25">
      <c r="D802" s="3"/>
      <c r="F802" s="3"/>
      <c r="G802" s="32"/>
      <c r="H802" s="32"/>
      <c r="I802" s="32"/>
      <c r="J802" s="32"/>
      <c r="K802" s="3"/>
      <c r="L802" s="3"/>
      <c r="M802" s="3"/>
    </row>
    <row r="803" spans="4:13" ht="18" customHeight="1" x14ac:dyDescent="0.25">
      <c r="D803" s="3"/>
      <c r="F803" s="3"/>
      <c r="G803" s="32"/>
      <c r="H803" s="32"/>
      <c r="I803" s="32"/>
      <c r="J803" s="32"/>
      <c r="K803" s="3"/>
      <c r="L803" s="3"/>
      <c r="M803" s="3"/>
    </row>
    <row r="804" spans="4:13" ht="18" customHeight="1" x14ac:dyDescent="0.25">
      <c r="D804" s="3"/>
      <c r="F804" s="3"/>
      <c r="G804" s="32"/>
      <c r="H804" s="32"/>
      <c r="I804" s="32"/>
      <c r="J804" s="32"/>
      <c r="K804" s="3"/>
      <c r="L804" s="3"/>
      <c r="M804" s="3"/>
    </row>
    <row r="805" spans="4:13" ht="18" customHeight="1" x14ac:dyDescent="0.25">
      <c r="D805" s="3"/>
      <c r="F805" s="3"/>
      <c r="G805" s="32"/>
      <c r="H805" s="32"/>
      <c r="I805" s="32"/>
      <c r="J805" s="32"/>
      <c r="K805" s="3"/>
      <c r="L805" s="3"/>
      <c r="M805" s="3"/>
    </row>
    <row r="806" spans="4:13" ht="18" customHeight="1" x14ac:dyDescent="0.25">
      <c r="D806" s="3"/>
      <c r="F806" s="3"/>
      <c r="G806" s="32"/>
      <c r="H806" s="32"/>
      <c r="I806" s="32"/>
      <c r="J806" s="32"/>
      <c r="K806" s="3"/>
      <c r="L806" s="3"/>
      <c r="M806" s="3"/>
    </row>
    <row r="807" spans="4:13" ht="18" customHeight="1" x14ac:dyDescent="0.25">
      <c r="D807" s="3"/>
      <c r="F807" s="3"/>
      <c r="G807" s="32"/>
      <c r="H807" s="32"/>
      <c r="I807" s="32"/>
      <c r="J807" s="32"/>
      <c r="K807" s="3"/>
      <c r="L807" s="3"/>
      <c r="M807" s="3"/>
    </row>
    <row r="808" spans="4:13" ht="18" customHeight="1" x14ac:dyDescent="0.25">
      <c r="D808" s="3"/>
      <c r="F808" s="3"/>
      <c r="G808" s="32"/>
      <c r="H808" s="32"/>
      <c r="I808" s="32"/>
      <c r="J808" s="32"/>
      <c r="K808" s="3"/>
      <c r="L808" s="3"/>
      <c r="M808" s="3"/>
    </row>
    <row r="809" spans="4:13" ht="18" customHeight="1" x14ac:dyDescent="0.25">
      <c r="D809" s="3"/>
      <c r="F809" s="3"/>
      <c r="G809" s="32"/>
      <c r="H809" s="32"/>
      <c r="I809" s="32"/>
      <c r="J809" s="32"/>
      <c r="K809" s="3"/>
      <c r="L809" s="3"/>
      <c r="M809" s="3"/>
    </row>
    <row r="810" spans="4:13" ht="18" customHeight="1" x14ac:dyDescent="0.25">
      <c r="D810" s="3"/>
      <c r="F810" s="3"/>
      <c r="G810" s="32"/>
      <c r="H810" s="32"/>
      <c r="I810" s="32"/>
      <c r="J810" s="32"/>
      <c r="K810" s="3"/>
      <c r="L810" s="3"/>
      <c r="M810" s="3"/>
    </row>
    <row r="811" spans="4:13" ht="18" customHeight="1" x14ac:dyDescent="0.25">
      <c r="D811" s="3"/>
      <c r="F811" s="3"/>
      <c r="G811" s="32"/>
      <c r="H811" s="32"/>
      <c r="I811" s="32"/>
      <c r="J811" s="32"/>
      <c r="K811" s="3"/>
      <c r="L811" s="3"/>
      <c r="M811" s="3"/>
    </row>
    <row r="812" spans="4:13" ht="18" customHeight="1" x14ac:dyDescent="0.25">
      <c r="D812" s="3"/>
      <c r="F812" s="3"/>
      <c r="G812" s="32"/>
      <c r="H812" s="32"/>
      <c r="I812" s="32"/>
      <c r="J812" s="32"/>
      <c r="K812" s="3"/>
      <c r="L812" s="3"/>
      <c r="M812" s="3"/>
    </row>
    <row r="813" spans="4:13" ht="18" customHeight="1" x14ac:dyDescent="0.25">
      <c r="D813" s="3"/>
      <c r="F813" s="3"/>
      <c r="G813" s="32"/>
      <c r="H813" s="32"/>
      <c r="I813" s="32"/>
      <c r="J813" s="32"/>
      <c r="K813" s="3"/>
      <c r="L813" s="3"/>
      <c r="M813" s="3"/>
    </row>
    <row r="814" spans="4:13" ht="18" customHeight="1" x14ac:dyDescent="0.25">
      <c r="D814" s="3"/>
      <c r="F814" s="3"/>
      <c r="G814" s="32"/>
      <c r="H814" s="32"/>
      <c r="I814" s="32"/>
      <c r="J814" s="32"/>
      <c r="K814" s="3"/>
      <c r="L814" s="3"/>
      <c r="M814" s="3"/>
    </row>
    <row r="815" spans="4:13" ht="18" customHeight="1" x14ac:dyDescent="0.25">
      <c r="D815" s="3"/>
      <c r="F815" s="3"/>
      <c r="G815" s="32"/>
      <c r="H815" s="32"/>
      <c r="I815" s="32"/>
      <c r="J815" s="32"/>
      <c r="K815" s="3"/>
      <c r="L815" s="3"/>
      <c r="M815" s="3"/>
    </row>
    <row r="816" spans="4:13" ht="18" customHeight="1" x14ac:dyDescent="0.25">
      <c r="D816" s="3"/>
      <c r="F816" s="3"/>
      <c r="G816" s="32"/>
      <c r="H816" s="32"/>
      <c r="I816" s="32"/>
      <c r="J816" s="32"/>
      <c r="K816" s="3"/>
      <c r="L816" s="3"/>
      <c r="M816" s="3"/>
    </row>
    <row r="817" spans="4:13" ht="18" customHeight="1" x14ac:dyDescent="0.25">
      <c r="D817" s="3"/>
      <c r="F817" s="3"/>
      <c r="G817" s="32"/>
      <c r="H817" s="32"/>
      <c r="I817" s="32"/>
      <c r="J817" s="32"/>
      <c r="K817" s="3"/>
      <c r="L817" s="3"/>
      <c r="M817" s="3"/>
    </row>
    <row r="818" spans="4:13" ht="18" customHeight="1" x14ac:dyDescent="0.25">
      <c r="D818" s="3"/>
      <c r="F818" s="3"/>
      <c r="G818" s="32"/>
      <c r="H818" s="32"/>
      <c r="I818" s="32"/>
      <c r="J818" s="32"/>
      <c r="K818" s="3"/>
      <c r="L818" s="3"/>
      <c r="M818" s="3"/>
    </row>
    <row r="819" spans="4:13" ht="18" customHeight="1" x14ac:dyDescent="0.25">
      <c r="D819" s="3"/>
      <c r="F819" s="3"/>
      <c r="G819" s="32"/>
      <c r="H819" s="32"/>
      <c r="I819" s="32"/>
      <c r="J819" s="32"/>
      <c r="K819" s="3"/>
      <c r="L819" s="3"/>
      <c r="M819" s="3"/>
    </row>
    <row r="820" spans="4:13" ht="18" customHeight="1" x14ac:dyDescent="0.25">
      <c r="D820" s="3"/>
      <c r="F820" s="3"/>
      <c r="G820" s="32"/>
      <c r="H820" s="32"/>
      <c r="I820" s="32"/>
      <c r="J820" s="32"/>
      <c r="K820" s="3"/>
      <c r="L820" s="3"/>
      <c r="M820" s="3"/>
    </row>
    <row r="821" spans="4:13" ht="18" customHeight="1" x14ac:dyDescent="0.25">
      <c r="D821" s="3"/>
      <c r="F821" s="3"/>
      <c r="G821" s="32"/>
      <c r="H821" s="32"/>
      <c r="I821" s="32"/>
      <c r="J821" s="32"/>
      <c r="K821" s="3"/>
      <c r="L821" s="3"/>
      <c r="M821" s="3"/>
    </row>
    <row r="822" spans="4:13" ht="18" customHeight="1" x14ac:dyDescent="0.25">
      <c r="D822" s="3"/>
      <c r="F822" s="3"/>
      <c r="G822" s="32"/>
      <c r="H822" s="32"/>
      <c r="I822" s="32"/>
      <c r="J822" s="32"/>
      <c r="K822" s="3"/>
      <c r="L822" s="3"/>
      <c r="M822" s="3"/>
    </row>
    <row r="823" spans="4:13" ht="18" customHeight="1" x14ac:dyDescent="0.25">
      <c r="D823" s="3"/>
      <c r="F823" s="3"/>
      <c r="G823" s="32"/>
      <c r="H823" s="32"/>
      <c r="I823" s="32"/>
      <c r="J823" s="32"/>
      <c r="K823" s="3"/>
      <c r="L823" s="3"/>
      <c r="M823" s="3"/>
    </row>
    <row r="824" spans="4:13" ht="18" customHeight="1" x14ac:dyDescent="0.25">
      <c r="D824" s="3"/>
      <c r="F824" s="3"/>
      <c r="G824" s="32"/>
      <c r="H824" s="32"/>
      <c r="I824" s="32"/>
      <c r="J824" s="32"/>
      <c r="K824" s="3"/>
      <c r="L824" s="3"/>
      <c r="M824" s="3"/>
    </row>
    <row r="825" spans="4:13" ht="18" customHeight="1" x14ac:dyDescent="0.25">
      <c r="D825" s="3"/>
      <c r="F825" s="3"/>
      <c r="G825" s="32"/>
      <c r="H825" s="32"/>
      <c r="I825" s="32"/>
      <c r="J825" s="32"/>
      <c r="K825" s="3"/>
      <c r="L825" s="3"/>
      <c r="M825" s="3"/>
    </row>
    <row r="826" spans="4:13" ht="18" customHeight="1" x14ac:dyDescent="0.25">
      <c r="D826" s="3"/>
      <c r="F826" s="3"/>
      <c r="G826" s="32"/>
      <c r="H826" s="32"/>
      <c r="I826" s="32"/>
      <c r="J826" s="32"/>
      <c r="K826" s="3"/>
      <c r="L826" s="3"/>
      <c r="M826" s="3"/>
    </row>
    <row r="827" spans="4:13" ht="18" customHeight="1" x14ac:dyDescent="0.25">
      <c r="D827" s="3"/>
      <c r="F827" s="3"/>
      <c r="G827" s="32"/>
      <c r="H827" s="32"/>
      <c r="I827" s="32"/>
      <c r="J827" s="32"/>
      <c r="K827" s="3"/>
      <c r="L827" s="3"/>
      <c r="M827" s="3"/>
    </row>
    <row r="828" spans="4:13" ht="18" customHeight="1" x14ac:dyDescent="0.25">
      <c r="D828" s="3"/>
      <c r="F828" s="3"/>
      <c r="G828" s="32"/>
      <c r="H828" s="32"/>
      <c r="I828" s="32"/>
      <c r="J828" s="32"/>
      <c r="K828" s="3"/>
      <c r="L828" s="3"/>
      <c r="M828" s="3"/>
    </row>
    <row r="829" spans="4:13" ht="18" customHeight="1" x14ac:dyDescent="0.25">
      <c r="D829" s="3"/>
      <c r="F829" s="3"/>
      <c r="G829" s="32"/>
      <c r="H829" s="32"/>
      <c r="I829" s="32"/>
      <c r="J829" s="32"/>
      <c r="K829" s="3"/>
      <c r="L829" s="3"/>
      <c r="M829" s="3"/>
    </row>
    <row r="830" spans="4:13" ht="18" customHeight="1" x14ac:dyDescent="0.25">
      <c r="D830" s="3"/>
      <c r="F830" s="3"/>
      <c r="G830" s="32"/>
      <c r="H830" s="32"/>
      <c r="I830" s="32"/>
      <c r="J830" s="32"/>
      <c r="K830" s="3"/>
      <c r="L830" s="3"/>
      <c r="M830" s="3"/>
    </row>
    <row r="831" spans="4:13" ht="18" customHeight="1" x14ac:dyDescent="0.25">
      <c r="D831" s="3"/>
      <c r="F831" s="3"/>
      <c r="G831" s="32"/>
      <c r="H831" s="32"/>
      <c r="I831" s="32"/>
      <c r="J831" s="32"/>
      <c r="K831" s="3"/>
      <c r="L831" s="3"/>
      <c r="M831" s="3"/>
    </row>
    <row r="832" spans="4:13" ht="18" customHeight="1" x14ac:dyDescent="0.25">
      <c r="D832" s="3"/>
      <c r="F832" s="3"/>
      <c r="G832" s="32"/>
      <c r="H832" s="32"/>
      <c r="I832" s="32"/>
      <c r="J832" s="32"/>
      <c r="K832" s="3"/>
      <c r="L832" s="3"/>
      <c r="M832" s="3"/>
    </row>
    <row r="833" spans="4:13" ht="18" customHeight="1" x14ac:dyDescent="0.25">
      <c r="D833" s="3"/>
      <c r="F833" s="3"/>
      <c r="G833" s="32"/>
      <c r="H833" s="32"/>
      <c r="I833" s="32"/>
      <c r="J833" s="32"/>
      <c r="K833" s="3"/>
      <c r="L833" s="3"/>
      <c r="M833" s="3"/>
    </row>
    <row r="834" spans="4:13" ht="18" customHeight="1" x14ac:dyDescent="0.25">
      <c r="D834" s="3"/>
      <c r="F834" s="3"/>
      <c r="G834" s="32"/>
      <c r="H834" s="32"/>
      <c r="I834" s="32"/>
      <c r="J834" s="32"/>
      <c r="K834" s="3"/>
      <c r="L834" s="3"/>
      <c r="M834" s="3"/>
    </row>
    <row r="835" spans="4:13" ht="18" customHeight="1" x14ac:dyDescent="0.25">
      <c r="D835" s="3"/>
      <c r="F835" s="3"/>
      <c r="G835" s="32"/>
      <c r="H835" s="32"/>
      <c r="I835" s="32"/>
      <c r="J835" s="32"/>
      <c r="K835" s="3"/>
      <c r="L835" s="3"/>
      <c r="M835" s="3"/>
    </row>
    <row r="836" spans="4:13" ht="18" customHeight="1" x14ac:dyDescent="0.25">
      <c r="D836" s="3"/>
      <c r="F836" s="3"/>
      <c r="G836" s="32"/>
      <c r="H836" s="32"/>
      <c r="I836" s="32"/>
      <c r="J836" s="32"/>
      <c r="K836" s="3"/>
      <c r="L836" s="3"/>
      <c r="M836" s="3"/>
    </row>
    <row r="837" spans="4:13" ht="18" customHeight="1" x14ac:dyDescent="0.25">
      <c r="D837" s="3"/>
      <c r="F837" s="3"/>
      <c r="G837" s="32"/>
      <c r="H837" s="32"/>
      <c r="I837" s="32"/>
      <c r="J837" s="32"/>
      <c r="K837" s="3"/>
      <c r="L837" s="3"/>
      <c r="M837" s="3"/>
    </row>
    <row r="838" spans="4:13" ht="18" customHeight="1" x14ac:dyDescent="0.25">
      <c r="D838" s="3"/>
      <c r="F838" s="3"/>
      <c r="G838" s="32"/>
      <c r="H838" s="32"/>
      <c r="I838" s="32"/>
      <c r="J838" s="32"/>
      <c r="K838" s="3"/>
      <c r="L838" s="3"/>
      <c r="M838" s="3"/>
    </row>
    <row r="839" spans="4:13" ht="18" customHeight="1" x14ac:dyDescent="0.25">
      <c r="D839" s="3"/>
      <c r="F839" s="3"/>
      <c r="G839" s="32"/>
      <c r="H839" s="32"/>
      <c r="I839" s="32"/>
      <c r="J839" s="32"/>
      <c r="K839" s="3"/>
      <c r="L839" s="3"/>
      <c r="M839" s="3"/>
    </row>
    <row r="840" spans="4:13" ht="18" customHeight="1" x14ac:dyDescent="0.25">
      <c r="D840" s="3"/>
      <c r="F840" s="3"/>
      <c r="G840" s="32"/>
      <c r="H840" s="32"/>
      <c r="I840" s="32"/>
      <c r="J840" s="32"/>
      <c r="K840" s="3"/>
      <c r="L840" s="3"/>
      <c r="M840" s="3"/>
    </row>
    <row r="841" spans="4:13" ht="18" customHeight="1" x14ac:dyDescent="0.25">
      <c r="D841" s="3"/>
      <c r="F841" s="3"/>
      <c r="G841" s="32"/>
      <c r="H841" s="32"/>
      <c r="I841" s="32"/>
      <c r="J841" s="32"/>
      <c r="K841" s="3"/>
      <c r="L841" s="3"/>
      <c r="M841" s="3"/>
    </row>
    <row r="842" spans="4:13" ht="18" customHeight="1" x14ac:dyDescent="0.25">
      <c r="D842" s="3"/>
      <c r="F842" s="3"/>
      <c r="G842" s="32"/>
      <c r="H842" s="32"/>
      <c r="I842" s="32"/>
      <c r="J842" s="32"/>
      <c r="K842" s="3"/>
      <c r="L842" s="3"/>
      <c r="M842" s="3"/>
    </row>
    <row r="843" spans="4:13" ht="18" customHeight="1" x14ac:dyDescent="0.25">
      <c r="D843" s="3"/>
      <c r="F843" s="3"/>
      <c r="G843" s="32"/>
      <c r="H843" s="32"/>
      <c r="I843" s="32"/>
      <c r="J843" s="32"/>
      <c r="K843" s="3"/>
      <c r="L843" s="3"/>
      <c r="M843" s="3"/>
    </row>
    <row r="844" spans="4:13" ht="18" customHeight="1" x14ac:dyDescent="0.25">
      <c r="D844" s="3"/>
      <c r="F844" s="3"/>
      <c r="G844" s="32"/>
      <c r="H844" s="32"/>
      <c r="I844" s="32"/>
      <c r="J844" s="32"/>
      <c r="K844" s="3"/>
      <c r="L844" s="3"/>
      <c r="M844" s="3"/>
    </row>
    <row r="845" spans="4:13" ht="18" customHeight="1" x14ac:dyDescent="0.25">
      <c r="D845" s="3"/>
      <c r="F845" s="3"/>
      <c r="G845" s="32"/>
      <c r="H845" s="32"/>
      <c r="I845" s="32"/>
      <c r="J845" s="32"/>
      <c r="K845" s="3"/>
      <c r="L845" s="3"/>
      <c r="M845" s="3"/>
    </row>
    <row r="846" spans="4:13" ht="18" customHeight="1" x14ac:dyDescent="0.25">
      <c r="D846" s="3"/>
      <c r="F846" s="3"/>
      <c r="G846" s="32"/>
      <c r="H846" s="32"/>
      <c r="I846" s="32"/>
      <c r="J846" s="32"/>
      <c r="K846" s="3"/>
      <c r="L846" s="3"/>
      <c r="M846" s="3"/>
    </row>
    <row r="847" spans="4:13" ht="18" customHeight="1" x14ac:dyDescent="0.25">
      <c r="D847" s="3"/>
      <c r="F847" s="3"/>
      <c r="G847" s="32"/>
      <c r="H847" s="32"/>
      <c r="I847" s="32"/>
      <c r="J847" s="32"/>
      <c r="K847" s="3"/>
      <c r="L847" s="3"/>
      <c r="M847" s="3"/>
    </row>
    <row r="848" spans="4:13" ht="18" customHeight="1" x14ac:dyDescent="0.25">
      <c r="D848" s="3"/>
      <c r="F848" s="3"/>
      <c r="G848" s="32"/>
      <c r="H848" s="32"/>
      <c r="I848" s="32"/>
      <c r="J848" s="32"/>
      <c r="K848" s="3"/>
      <c r="L848" s="3"/>
      <c r="M848" s="3"/>
    </row>
    <row r="849" spans="4:13" ht="18" customHeight="1" x14ac:dyDescent="0.25">
      <c r="D849" s="3"/>
      <c r="F849" s="3"/>
      <c r="G849" s="32"/>
      <c r="H849" s="32"/>
      <c r="I849" s="32"/>
      <c r="J849" s="32"/>
      <c r="K849" s="3"/>
      <c r="L849" s="3"/>
      <c r="M849" s="3"/>
    </row>
    <row r="850" spans="4:13" ht="18" customHeight="1" x14ac:dyDescent="0.25">
      <c r="D850" s="3"/>
      <c r="F850" s="3"/>
      <c r="G850" s="32"/>
      <c r="H850" s="32"/>
      <c r="I850" s="32"/>
      <c r="J850" s="32"/>
      <c r="K850" s="3"/>
      <c r="L850" s="3"/>
      <c r="M850" s="3"/>
    </row>
    <row r="851" spans="4:13" ht="18" customHeight="1" x14ac:dyDescent="0.25">
      <c r="D851" s="3"/>
      <c r="F851" s="3"/>
      <c r="G851" s="32"/>
      <c r="H851" s="32"/>
      <c r="I851" s="32"/>
      <c r="J851" s="32"/>
      <c r="K851" s="3"/>
      <c r="L851" s="3"/>
      <c r="M851" s="3"/>
    </row>
    <row r="852" spans="4:13" ht="18" customHeight="1" x14ac:dyDescent="0.25">
      <c r="D852" s="3"/>
      <c r="F852" s="3"/>
      <c r="G852" s="32"/>
      <c r="H852" s="32"/>
      <c r="I852" s="32"/>
      <c r="J852" s="32"/>
      <c r="K852" s="3"/>
      <c r="L852" s="3"/>
      <c r="M852" s="3"/>
    </row>
    <row r="853" spans="4:13" ht="18" customHeight="1" x14ac:dyDescent="0.25">
      <c r="D853" s="3"/>
      <c r="F853" s="3"/>
      <c r="G853" s="32"/>
      <c r="H853" s="32"/>
      <c r="I853" s="32"/>
      <c r="J853" s="32"/>
      <c r="K853" s="3"/>
      <c r="L853" s="3"/>
      <c r="M853" s="3"/>
    </row>
    <row r="854" spans="4:13" ht="18" customHeight="1" x14ac:dyDescent="0.25">
      <c r="D854" s="3"/>
      <c r="F854" s="3"/>
      <c r="G854" s="32"/>
      <c r="H854" s="32"/>
      <c r="I854" s="32"/>
      <c r="J854" s="32"/>
      <c r="K854" s="3"/>
      <c r="L854" s="3"/>
      <c r="M854" s="3"/>
    </row>
    <row r="855" spans="4:13" ht="18" customHeight="1" x14ac:dyDescent="0.25">
      <c r="D855" s="3"/>
      <c r="F855" s="3"/>
      <c r="G855" s="32"/>
      <c r="H855" s="32"/>
      <c r="I855" s="32"/>
      <c r="J855" s="32"/>
      <c r="K855" s="3"/>
      <c r="L855" s="3"/>
      <c r="M855" s="3"/>
    </row>
    <row r="856" spans="4:13" ht="18" customHeight="1" x14ac:dyDescent="0.25">
      <c r="D856" s="3"/>
      <c r="F856" s="3"/>
      <c r="G856" s="32"/>
      <c r="H856" s="32"/>
      <c r="I856" s="32"/>
      <c r="J856" s="32"/>
      <c r="K856" s="3"/>
      <c r="L856" s="3"/>
      <c r="M856" s="3"/>
    </row>
    <row r="857" spans="4:13" ht="18" customHeight="1" x14ac:dyDescent="0.25">
      <c r="D857" s="3"/>
      <c r="F857" s="3"/>
      <c r="G857" s="32"/>
      <c r="H857" s="32"/>
      <c r="I857" s="32"/>
      <c r="J857" s="32"/>
      <c r="K857" s="3"/>
      <c r="L857" s="3"/>
      <c r="M857" s="3"/>
    </row>
    <row r="858" spans="4:13" ht="18" customHeight="1" x14ac:dyDescent="0.25">
      <c r="D858" s="3"/>
      <c r="F858" s="3"/>
      <c r="G858" s="32"/>
      <c r="H858" s="32"/>
      <c r="I858" s="32"/>
      <c r="J858" s="32"/>
      <c r="K858" s="3"/>
      <c r="L858" s="3"/>
      <c r="M858" s="3"/>
    </row>
    <row r="859" spans="4:13" ht="18" customHeight="1" x14ac:dyDescent="0.25">
      <c r="D859" s="3"/>
      <c r="F859" s="3"/>
      <c r="G859" s="32"/>
      <c r="H859" s="32"/>
      <c r="I859" s="32"/>
      <c r="J859" s="32"/>
      <c r="K859" s="3"/>
      <c r="L859" s="3"/>
      <c r="M859" s="3"/>
    </row>
    <row r="860" spans="4:13" ht="18" customHeight="1" x14ac:dyDescent="0.25">
      <c r="D860" s="3"/>
      <c r="F860" s="3"/>
      <c r="G860" s="32"/>
      <c r="H860" s="32"/>
      <c r="I860" s="32"/>
      <c r="J860" s="32"/>
      <c r="K860" s="3"/>
      <c r="L860" s="3"/>
      <c r="M860" s="3"/>
    </row>
    <row r="861" spans="4:13" ht="18" customHeight="1" x14ac:dyDescent="0.25">
      <c r="D861" s="3"/>
      <c r="F861" s="3"/>
      <c r="G861" s="32"/>
      <c r="H861" s="32"/>
      <c r="I861" s="32"/>
      <c r="J861" s="32"/>
      <c r="K861" s="3"/>
      <c r="L861" s="3"/>
      <c r="M861" s="3"/>
    </row>
    <row r="862" spans="4:13" ht="18" customHeight="1" x14ac:dyDescent="0.25">
      <c r="D862" s="3"/>
      <c r="F862" s="3"/>
      <c r="G862" s="32"/>
      <c r="H862" s="32"/>
      <c r="I862" s="32"/>
      <c r="J862" s="32"/>
      <c r="K862" s="3"/>
      <c r="L862" s="3"/>
      <c r="M862" s="3"/>
    </row>
    <row r="863" spans="4:13" ht="18" customHeight="1" x14ac:dyDescent="0.25">
      <c r="D863" s="3"/>
      <c r="F863" s="3"/>
      <c r="G863" s="32"/>
      <c r="H863" s="32"/>
      <c r="I863" s="32"/>
      <c r="J863" s="32"/>
      <c r="K863" s="3"/>
      <c r="L863" s="3"/>
      <c r="M863" s="3"/>
    </row>
    <row r="864" spans="4:13" ht="18" customHeight="1" x14ac:dyDescent="0.25">
      <c r="D864" s="3"/>
      <c r="F864" s="3"/>
      <c r="G864" s="32"/>
      <c r="H864" s="32"/>
      <c r="I864" s="32"/>
      <c r="J864" s="32"/>
      <c r="K864" s="3"/>
      <c r="L864" s="3"/>
      <c r="M864" s="3"/>
    </row>
    <row r="865" spans="4:13" ht="18" customHeight="1" x14ac:dyDescent="0.25">
      <c r="D865" s="3"/>
      <c r="F865" s="3"/>
      <c r="G865" s="32"/>
      <c r="H865" s="32"/>
      <c r="I865" s="32"/>
      <c r="J865" s="32"/>
      <c r="K865" s="3"/>
      <c r="L865" s="3"/>
      <c r="M865" s="3"/>
    </row>
    <row r="866" spans="4:13" ht="18" customHeight="1" x14ac:dyDescent="0.25">
      <c r="D866" s="3"/>
      <c r="F866" s="3"/>
      <c r="G866" s="32"/>
      <c r="H866" s="32"/>
      <c r="I866" s="32"/>
      <c r="J866" s="32"/>
      <c r="K866" s="3"/>
      <c r="L866" s="3"/>
      <c r="M866" s="3"/>
    </row>
    <row r="867" spans="4:13" ht="18" customHeight="1" x14ac:dyDescent="0.25">
      <c r="D867" s="3"/>
      <c r="F867" s="3"/>
      <c r="G867" s="32"/>
      <c r="H867" s="32"/>
      <c r="I867" s="32"/>
      <c r="J867" s="32"/>
      <c r="K867" s="3"/>
      <c r="L867" s="3"/>
      <c r="M867" s="3"/>
    </row>
    <row r="868" spans="4:13" ht="18" customHeight="1" x14ac:dyDescent="0.25">
      <c r="D868" s="3"/>
      <c r="F868" s="3"/>
      <c r="G868" s="32"/>
      <c r="H868" s="32"/>
      <c r="I868" s="32"/>
      <c r="J868" s="32"/>
      <c r="K868" s="3"/>
      <c r="L868" s="3"/>
      <c r="M868" s="3"/>
    </row>
    <row r="869" spans="4:13" ht="18" customHeight="1" x14ac:dyDescent="0.25">
      <c r="D869" s="3"/>
      <c r="F869" s="3"/>
      <c r="G869" s="32"/>
      <c r="H869" s="32"/>
      <c r="I869" s="32"/>
      <c r="J869" s="32"/>
      <c r="K869" s="3"/>
      <c r="L869" s="3"/>
      <c r="M869" s="3"/>
    </row>
    <row r="870" spans="4:13" ht="18" customHeight="1" x14ac:dyDescent="0.25">
      <c r="D870" s="3"/>
      <c r="F870" s="3"/>
      <c r="G870" s="32"/>
      <c r="H870" s="32"/>
      <c r="I870" s="32"/>
      <c r="J870" s="32"/>
      <c r="K870" s="3"/>
      <c r="L870" s="3"/>
      <c r="M870" s="3"/>
    </row>
    <row r="871" spans="4:13" ht="18" customHeight="1" x14ac:dyDescent="0.25">
      <c r="D871" s="3"/>
      <c r="F871" s="3"/>
      <c r="G871" s="32"/>
      <c r="H871" s="32"/>
      <c r="I871" s="32"/>
      <c r="J871" s="32"/>
      <c r="K871" s="3"/>
      <c r="L871" s="3"/>
      <c r="M871" s="3"/>
    </row>
    <row r="872" spans="4:13" ht="18" customHeight="1" x14ac:dyDescent="0.25">
      <c r="D872" s="3"/>
      <c r="F872" s="3"/>
      <c r="G872" s="32"/>
      <c r="H872" s="32"/>
      <c r="I872" s="32"/>
      <c r="J872" s="32"/>
      <c r="K872" s="3"/>
      <c r="L872" s="3"/>
      <c r="M872" s="3"/>
    </row>
    <row r="873" spans="4:13" ht="18" customHeight="1" x14ac:dyDescent="0.25">
      <c r="D873" s="3"/>
      <c r="F873" s="3"/>
      <c r="G873" s="32"/>
      <c r="H873" s="32"/>
      <c r="I873" s="32"/>
      <c r="J873" s="32"/>
      <c r="K873" s="3"/>
      <c r="L873" s="3"/>
      <c r="M873" s="3"/>
    </row>
    <row r="874" spans="4:13" ht="18" customHeight="1" x14ac:dyDescent="0.25">
      <c r="D874" s="3"/>
      <c r="F874" s="3"/>
      <c r="G874" s="32"/>
      <c r="H874" s="32"/>
      <c r="I874" s="32"/>
      <c r="J874" s="32"/>
      <c r="K874" s="3"/>
      <c r="L874" s="3"/>
      <c r="M874" s="3"/>
    </row>
    <row r="875" spans="4:13" ht="18" customHeight="1" x14ac:dyDescent="0.25">
      <c r="D875" s="3"/>
      <c r="F875" s="3"/>
      <c r="G875" s="32"/>
      <c r="H875" s="32"/>
      <c r="I875" s="32"/>
      <c r="J875" s="32"/>
      <c r="K875" s="3"/>
      <c r="L875" s="3"/>
      <c r="M875" s="3"/>
    </row>
    <row r="876" spans="4:13" ht="18" customHeight="1" x14ac:dyDescent="0.25">
      <c r="D876" s="3"/>
      <c r="F876" s="3"/>
      <c r="G876" s="32"/>
      <c r="H876" s="32"/>
      <c r="I876" s="32"/>
      <c r="J876" s="32"/>
      <c r="K876" s="3"/>
      <c r="L876" s="3"/>
      <c r="M876" s="3"/>
    </row>
    <row r="877" spans="4:13" ht="18" customHeight="1" x14ac:dyDescent="0.25">
      <c r="D877" s="3"/>
      <c r="F877" s="3"/>
      <c r="G877" s="32"/>
      <c r="H877" s="32"/>
      <c r="I877" s="32"/>
      <c r="J877" s="32"/>
      <c r="K877" s="3"/>
      <c r="L877" s="3"/>
      <c r="M877" s="3"/>
    </row>
    <row r="878" spans="4:13" ht="18" customHeight="1" x14ac:dyDescent="0.25">
      <c r="D878" s="3"/>
      <c r="F878" s="3"/>
      <c r="G878" s="32"/>
      <c r="H878" s="32"/>
      <c r="I878" s="32"/>
      <c r="J878" s="32"/>
      <c r="K878" s="3"/>
      <c r="L878" s="3"/>
      <c r="M878" s="3"/>
    </row>
    <row r="879" spans="4:13" ht="18" customHeight="1" x14ac:dyDescent="0.25">
      <c r="D879" s="3"/>
      <c r="F879" s="3"/>
      <c r="G879" s="32"/>
      <c r="H879" s="32"/>
      <c r="I879" s="32"/>
      <c r="J879" s="32"/>
      <c r="K879" s="3"/>
      <c r="L879" s="3"/>
      <c r="M879" s="3"/>
    </row>
    <row r="880" spans="4:13" ht="18" customHeight="1" x14ac:dyDescent="0.25">
      <c r="D880" s="3"/>
      <c r="F880" s="3"/>
      <c r="G880" s="32"/>
      <c r="H880" s="32"/>
      <c r="I880" s="32"/>
      <c r="J880" s="32"/>
      <c r="K880" s="3"/>
      <c r="L880" s="3"/>
      <c r="M880" s="3"/>
    </row>
    <row r="881" spans="4:13" ht="18" customHeight="1" x14ac:dyDescent="0.25">
      <c r="D881" s="3"/>
      <c r="F881" s="3"/>
      <c r="G881" s="32"/>
      <c r="H881" s="32"/>
      <c r="I881" s="32"/>
      <c r="J881" s="32"/>
      <c r="K881" s="3"/>
      <c r="L881" s="3"/>
      <c r="M881" s="3"/>
    </row>
    <row r="882" spans="4:13" ht="18" customHeight="1" x14ac:dyDescent="0.25">
      <c r="D882" s="3"/>
      <c r="F882" s="3"/>
      <c r="G882" s="32"/>
      <c r="H882" s="32"/>
      <c r="I882" s="32"/>
      <c r="J882" s="32"/>
      <c r="K882" s="3"/>
      <c r="L882" s="3"/>
      <c r="M882" s="3"/>
    </row>
    <row r="883" spans="4:13" ht="18" customHeight="1" x14ac:dyDescent="0.25">
      <c r="D883" s="3"/>
      <c r="F883" s="3"/>
      <c r="G883" s="32"/>
      <c r="H883" s="32"/>
      <c r="I883" s="32"/>
      <c r="J883" s="32"/>
      <c r="K883" s="3"/>
      <c r="L883" s="3"/>
      <c r="M883" s="3"/>
    </row>
    <row r="884" spans="4:13" ht="18" customHeight="1" x14ac:dyDescent="0.25">
      <c r="D884" s="3"/>
      <c r="F884" s="3"/>
      <c r="G884" s="32"/>
      <c r="H884" s="32"/>
      <c r="I884" s="32"/>
      <c r="J884" s="32"/>
      <c r="K884" s="3"/>
      <c r="L884" s="3"/>
      <c r="M884" s="3"/>
    </row>
    <row r="885" spans="4:13" ht="18" customHeight="1" x14ac:dyDescent="0.25">
      <c r="D885" s="3"/>
      <c r="F885" s="3"/>
      <c r="G885" s="32"/>
      <c r="H885" s="32"/>
      <c r="I885" s="32"/>
      <c r="J885" s="32"/>
      <c r="K885" s="3"/>
      <c r="L885" s="3"/>
      <c r="M885" s="3"/>
    </row>
    <row r="886" spans="4:13" ht="18" customHeight="1" x14ac:dyDescent="0.25">
      <c r="D886" s="3"/>
      <c r="F886" s="3"/>
      <c r="G886" s="32"/>
      <c r="H886" s="32"/>
      <c r="I886" s="32"/>
      <c r="J886" s="32"/>
      <c r="K886" s="3"/>
      <c r="L886" s="3"/>
      <c r="M886" s="3"/>
    </row>
    <row r="887" spans="4:13" ht="18" customHeight="1" x14ac:dyDescent="0.25">
      <c r="D887" s="3"/>
      <c r="F887" s="3"/>
      <c r="G887" s="32"/>
      <c r="H887" s="32"/>
      <c r="I887" s="32"/>
      <c r="J887" s="32"/>
      <c r="K887" s="3"/>
      <c r="L887" s="3"/>
      <c r="M887" s="3"/>
    </row>
    <row r="888" spans="4:13" ht="18" customHeight="1" x14ac:dyDescent="0.25">
      <c r="D888" s="3"/>
      <c r="F888" s="3"/>
      <c r="G888" s="32"/>
      <c r="H888" s="32"/>
      <c r="I888" s="32"/>
      <c r="J888" s="32"/>
      <c r="K888" s="3"/>
      <c r="L888" s="3"/>
      <c r="M888" s="3"/>
    </row>
    <row r="889" spans="4:13" ht="18" customHeight="1" x14ac:dyDescent="0.25">
      <c r="D889" s="3"/>
      <c r="F889" s="3"/>
      <c r="G889" s="32"/>
      <c r="H889" s="32"/>
      <c r="I889" s="32"/>
      <c r="J889" s="32"/>
      <c r="K889" s="3"/>
      <c r="L889" s="3"/>
      <c r="M889" s="3"/>
    </row>
    <row r="890" spans="4:13" ht="18" customHeight="1" x14ac:dyDescent="0.25">
      <c r="D890" s="3"/>
      <c r="F890" s="3"/>
      <c r="G890" s="32"/>
      <c r="H890" s="32"/>
      <c r="I890" s="32"/>
      <c r="J890" s="32"/>
      <c r="K890" s="3"/>
      <c r="L890" s="3"/>
      <c r="M890" s="3"/>
    </row>
    <row r="891" spans="4:13" ht="18" customHeight="1" x14ac:dyDescent="0.25">
      <c r="D891" s="3"/>
      <c r="F891" s="3"/>
      <c r="G891" s="32"/>
      <c r="H891" s="32"/>
      <c r="I891" s="32"/>
      <c r="J891" s="32"/>
      <c r="K891" s="3"/>
      <c r="L891" s="3"/>
      <c r="M891" s="3"/>
    </row>
    <row r="892" spans="4:13" ht="18" customHeight="1" x14ac:dyDescent="0.25">
      <c r="D892" s="3"/>
      <c r="F892" s="3"/>
      <c r="G892" s="32"/>
      <c r="H892" s="32"/>
      <c r="I892" s="32"/>
      <c r="J892" s="32"/>
      <c r="K892" s="3"/>
      <c r="L892" s="3"/>
      <c r="M892" s="3"/>
    </row>
    <row r="893" spans="4:13" ht="18" customHeight="1" x14ac:dyDescent="0.25">
      <c r="D893" s="3"/>
      <c r="F893" s="3"/>
      <c r="G893" s="32"/>
      <c r="H893" s="32"/>
      <c r="I893" s="32"/>
      <c r="J893" s="32"/>
      <c r="K893" s="3"/>
      <c r="L893" s="3"/>
      <c r="M893" s="3"/>
    </row>
    <row r="894" spans="4:13" ht="18" customHeight="1" x14ac:dyDescent="0.25">
      <c r="D894" s="3"/>
      <c r="F894" s="3"/>
      <c r="G894" s="32"/>
      <c r="H894" s="32"/>
      <c r="I894" s="32"/>
      <c r="J894" s="32"/>
      <c r="K894" s="3"/>
      <c r="L894" s="3"/>
      <c r="M894" s="3"/>
    </row>
    <row r="895" spans="4:13" ht="18" customHeight="1" x14ac:dyDescent="0.25">
      <c r="D895" s="3"/>
      <c r="F895" s="3"/>
      <c r="G895" s="32"/>
      <c r="H895" s="32"/>
      <c r="I895" s="32"/>
      <c r="J895" s="32"/>
      <c r="K895" s="3"/>
      <c r="L895" s="3"/>
      <c r="M895" s="3"/>
    </row>
    <row r="896" spans="4:13" ht="18" customHeight="1" x14ac:dyDescent="0.25">
      <c r="D896" s="3"/>
      <c r="F896" s="3"/>
      <c r="G896" s="32"/>
      <c r="H896" s="32"/>
      <c r="I896" s="32"/>
      <c r="J896" s="32"/>
      <c r="K896" s="3"/>
      <c r="L896" s="3"/>
      <c r="M896" s="3"/>
    </row>
    <row r="897" spans="4:13" ht="18" customHeight="1" x14ac:dyDescent="0.25">
      <c r="D897" s="3"/>
      <c r="F897" s="3"/>
      <c r="G897" s="32"/>
      <c r="H897" s="32"/>
      <c r="I897" s="32"/>
      <c r="J897" s="32"/>
      <c r="K897" s="3"/>
      <c r="L897" s="3"/>
      <c r="M897" s="3"/>
    </row>
    <row r="898" spans="4:13" ht="18" customHeight="1" x14ac:dyDescent="0.25">
      <c r="D898" s="3"/>
      <c r="F898" s="3"/>
      <c r="G898" s="32"/>
      <c r="H898" s="32"/>
      <c r="I898" s="32"/>
      <c r="J898" s="32"/>
      <c r="K898" s="3"/>
      <c r="L898" s="3"/>
      <c r="M898" s="3"/>
    </row>
    <row r="899" spans="4:13" ht="18" customHeight="1" x14ac:dyDescent="0.25">
      <c r="D899" s="3"/>
      <c r="F899" s="3"/>
      <c r="G899" s="32"/>
      <c r="H899" s="32"/>
      <c r="I899" s="32"/>
      <c r="J899" s="32"/>
      <c r="K899" s="3"/>
      <c r="L899" s="3"/>
      <c r="M899" s="3"/>
    </row>
    <row r="900" spans="4:13" ht="18" customHeight="1" x14ac:dyDescent="0.25">
      <c r="D900" s="3"/>
      <c r="F900" s="3"/>
      <c r="G900" s="32"/>
      <c r="H900" s="32"/>
      <c r="I900" s="32"/>
      <c r="J900" s="32"/>
      <c r="K900" s="3"/>
      <c r="L900" s="3"/>
      <c r="M900" s="3"/>
    </row>
    <row r="901" spans="4:13" ht="18" customHeight="1" x14ac:dyDescent="0.25">
      <c r="D901" s="3"/>
      <c r="F901" s="3"/>
      <c r="G901" s="32"/>
      <c r="H901" s="32"/>
      <c r="I901" s="32"/>
      <c r="J901" s="32"/>
      <c r="K901" s="3"/>
      <c r="L901" s="3"/>
      <c r="M901" s="3"/>
    </row>
    <row r="902" spans="4:13" ht="18" customHeight="1" x14ac:dyDescent="0.25">
      <c r="D902" s="3"/>
      <c r="F902" s="3"/>
      <c r="G902" s="32"/>
      <c r="H902" s="32"/>
      <c r="I902" s="32"/>
      <c r="J902" s="32"/>
      <c r="K902" s="3"/>
      <c r="L902" s="3"/>
      <c r="M902" s="3"/>
    </row>
    <row r="903" spans="4:13" ht="18" customHeight="1" x14ac:dyDescent="0.25">
      <c r="D903" s="3"/>
      <c r="F903" s="3"/>
      <c r="G903" s="32"/>
      <c r="H903" s="32"/>
      <c r="I903" s="32"/>
      <c r="J903" s="32"/>
      <c r="K903" s="3"/>
      <c r="L903" s="3"/>
      <c r="M903" s="3"/>
    </row>
    <row r="904" spans="4:13" ht="18" customHeight="1" x14ac:dyDescent="0.25">
      <c r="D904" s="3"/>
      <c r="F904" s="3"/>
      <c r="G904" s="32"/>
      <c r="H904" s="32"/>
      <c r="I904" s="32"/>
      <c r="J904" s="32"/>
      <c r="K904" s="3"/>
      <c r="L904" s="3"/>
      <c r="M904" s="3"/>
    </row>
    <row r="905" spans="4:13" ht="18" customHeight="1" x14ac:dyDescent="0.25">
      <c r="D905" s="3"/>
      <c r="F905" s="3"/>
      <c r="G905" s="32"/>
      <c r="H905" s="32"/>
      <c r="I905" s="32"/>
      <c r="J905" s="32"/>
      <c r="K905" s="3"/>
      <c r="L905" s="3"/>
      <c r="M905" s="3"/>
    </row>
    <row r="906" spans="4:13" ht="18" customHeight="1" x14ac:dyDescent="0.25">
      <c r="D906" s="3"/>
      <c r="F906" s="3"/>
      <c r="G906" s="32"/>
      <c r="H906" s="32"/>
      <c r="I906" s="32"/>
      <c r="J906" s="32"/>
      <c r="K906" s="3"/>
      <c r="L906" s="3"/>
      <c r="M906" s="3"/>
    </row>
    <row r="907" spans="4:13" ht="18" customHeight="1" x14ac:dyDescent="0.25">
      <c r="D907" s="3"/>
      <c r="F907" s="3"/>
      <c r="G907" s="32"/>
      <c r="H907" s="32"/>
      <c r="I907" s="32"/>
      <c r="J907" s="32"/>
      <c r="K907" s="3"/>
      <c r="L907" s="3"/>
      <c r="M907" s="3"/>
    </row>
    <row r="908" spans="4:13" ht="18" customHeight="1" x14ac:dyDescent="0.25">
      <c r="D908" s="3"/>
      <c r="F908" s="3"/>
      <c r="G908" s="32"/>
      <c r="H908" s="32"/>
      <c r="I908" s="32"/>
      <c r="J908" s="32"/>
      <c r="K908" s="3"/>
      <c r="L908" s="3"/>
      <c r="M908" s="3"/>
    </row>
    <row r="909" spans="4:13" ht="18" customHeight="1" x14ac:dyDescent="0.25">
      <c r="D909" s="3"/>
      <c r="F909" s="3"/>
      <c r="G909" s="32"/>
      <c r="H909" s="32"/>
      <c r="I909" s="32"/>
      <c r="J909" s="32"/>
      <c r="K909" s="3"/>
      <c r="L909" s="3"/>
      <c r="M909" s="3"/>
    </row>
    <row r="910" spans="4:13" ht="18" customHeight="1" x14ac:dyDescent="0.25">
      <c r="D910" s="3"/>
      <c r="F910" s="3"/>
      <c r="G910" s="32"/>
      <c r="H910" s="32"/>
      <c r="I910" s="32"/>
      <c r="J910" s="32"/>
      <c r="K910" s="3"/>
      <c r="L910" s="3"/>
      <c r="M910" s="3"/>
    </row>
    <row r="911" spans="4:13" ht="18" customHeight="1" x14ac:dyDescent="0.25">
      <c r="D911" s="3"/>
      <c r="F911" s="3"/>
      <c r="G911" s="32"/>
      <c r="H911" s="32"/>
      <c r="I911" s="32"/>
      <c r="J911" s="32"/>
      <c r="K911" s="3"/>
      <c r="L911" s="3"/>
      <c r="M911" s="3"/>
    </row>
    <row r="912" spans="4:13" ht="18" customHeight="1" x14ac:dyDescent="0.25">
      <c r="D912" s="3"/>
      <c r="F912" s="3"/>
      <c r="G912" s="32"/>
      <c r="H912" s="32"/>
      <c r="I912" s="32"/>
      <c r="J912" s="32"/>
      <c r="K912" s="3"/>
      <c r="L912" s="3"/>
      <c r="M912" s="3"/>
    </row>
    <row r="913" spans="4:13" ht="18" customHeight="1" x14ac:dyDescent="0.25">
      <c r="D913" s="3"/>
      <c r="F913" s="3"/>
      <c r="G913" s="32"/>
      <c r="H913" s="32"/>
      <c r="I913" s="32"/>
      <c r="J913" s="32"/>
      <c r="K913" s="3"/>
      <c r="L913" s="3"/>
      <c r="M913" s="3"/>
    </row>
    <row r="914" spans="4:13" ht="18" customHeight="1" x14ac:dyDescent="0.25">
      <c r="D914" s="3"/>
      <c r="F914" s="3"/>
      <c r="G914" s="32"/>
      <c r="H914" s="32"/>
      <c r="I914" s="32"/>
      <c r="J914" s="32"/>
      <c r="K914" s="3"/>
      <c r="L914" s="3"/>
      <c r="M914" s="3"/>
    </row>
    <row r="915" spans="4:13" ht="18" customHeight="1" x14ac:dyDescent="0.25">
      <c r="D915" s="3"/>
      <c r="F915" s="3"/>
      <c r="G915" s="32"/>
      <c r="H915" s="32"/>
      <c r="I915" s="32"/>
      <c r="J915" s="32"/>
      <c r="K915" s="3"/>
      <c r="L915" s="3"/>
      <c r="M915" s="3"/>
    </row>
    <row r="916" spans="4:13" ht="18" customHeight="1" x14ac:dyDescent="0.25">
      <c r="D916" s="3"/>
      <c r="F916" s="3"/>
      <c r="G916" s="32"/>
      <c r="H916" s="32"/>
      <c r="I916" s="32"/>
      <c r="J916" s="32"/>
      <c r="K916" s="3"/>
      <c r="L916" s="3"/>
      <c r="M916" s="3"/>
    </row>
    <row r="917" spans="4:13" ht="18" customHeight="1" x14ac:dyDescent="0.25">
      <c r="D917" s="3"/>
      <c r="F917" s="3"/>
      <c r="G917" s="32"/>
      <c r="H917" s="32"/>
      <c r="I917" s="32"/>
      <c r="J917" s="32"/>
      <c r="K917" s="3"/>
      <c r="L917" s="3"/>
      <c r="M917" s="3"/>
    </row>
    <row r="918" spans="4:13" ht="18" customHeight="1" x14ac:dyDescent="0.25">
      <c r="D918" s="3"/>
      <c r="F918" s="3"/>
      <c r="G918" s="32"/>
      <c r="H918" s="32"/>
      <c r="I918" s="32"/>
      <c r="J918" s="32"/>
      <c r="K918" s="3"/>
      <c r="L918" s="3"/>
      <c r="M918" s="3"/>
    </row>
    <row r="919" spans="4:13" ht="18" customHeight="1" x14ac:dyDescent="0.25">
      <c r="D919" s="3"/>
      <c r="F919" s="3"/>
      <c r="G919" s="32"/>
      <c r="H919" s="32"/>
      <c r="I919" s="32"/>
      <c r="J919" s="32"/>
      <c r="K919" s="3"/>
      <c r="L919" s="3"/>
      <c r="M919" s="3"/>
    </row>
    <row r="920" spans="4:13" ht="18" customHeight="1" x14ac:dyDescent="0.25">
      <c r="D920" s="3"/>
      <c r="F920" s="3"/>
      <c r="G920" s="32"/>
      <c r="H920" s="32"/>
      <c r="I920" s="32"/>
      <c r="J920" s="32"/>
      <c r="K920" s="3"/>
      <c r="L920" s="3"/>
      <c r="M920" s="3"/>
    </row>
    <row r="921" spans="4:13" ht="18" customHeight="1" x14ac:dyDescent="0.25">
      <c r="D921" s="3"/>
      <c r="F921" s="3"/>
      <c r="G921" s="32"/>
      <c r="H921" s="32"/>
      <c r="I921" s="32"/>
      <c r="J921" s="32"/>
      <c r="K921" s="3"/>
      <c r="L921" s="3"/>
      <c r="M921" s="3"/>
    </row>
    <row r="922" spans="4:13" ht="18" customHeight="1" x14ac:dyDescent="0.25">
      <c r="D922" s="3"/>
      <c r="F922" s="3"/>
      <c r="G922" s="32"/>
      <c r="H922" s="32"/>
      <c r="I922" s="32"/>
      <c r="J922" s="32"/>
      <c r="K922" s="3"/>
      <c r="L922" s="3"/>
      <c r="M922" s="3"/>
    </row>
    <row r="923" spans="4:13" ht="18" customHeight="1" x14ac:dyDescent="0.25">
      <c r="D923" s="3"/>
      <c r="F923" s="3"/>
      <c r="G923" s="32"/>
      <c r="H923" s="32"/>
      <c r="I923" s="32"/>
      <c r="J923" s="32"/>
      <c r="K923" s="3"/>
      <c r="L923" s="3"/>
      <c r="M923" s="3"/>
    </row>
    <row r="924" spans="4:13" ht="18" customHeight="1" x14ac:dyDescent="0.25">
      <c r="D924" s="3"/>
      <c r="F924" s="3"/>
      <c r="G924" s="32"/>
      <c r="H924" s="32"/>
      <c r="I924" s="32"/>
      <c r="J924" s="32"/>
      <c r="K924" s="3"/>
      <c r="L924" s="3"/>
      <c r="M924" s="3"/>
    </row>
    <row r="925" spans="4:13" ht="18" customHeight="1" x14ac:dyDescent="0.25">
      <c r="D925" s="3"/>
      <c r="F925" s="3"/>
      <c r="G925" s="32"/>
      <c r="H925" s="32"/>
      <c r="I925" s="32"/>
      <c r="J925" s="32"/>
      <c r="K925" s="3"/>
      <c r="L925" s="3"/>
      <c r="M925" s="3"/>
    </row>
    <row r="926" spans="4:13" ht="18" customHeight="1" x14ac:dyDescent="0.25">
      <c r="D926" s="3"/>
      <c r="F926" s="3"/>
      <c r="G926" s="32"/>
      <c r="H926" s="32"/>
      <c r="I926" s="32"/>
      <c r="J926" s="32"/>
      <c r="K926" s="3"/>
      <c r="L926" s="3"/>
      <c r="M926" s="3"/>
    </row>
    <row r="927" spans="4:13" ht="18" customHeight="1" x14ac:dyDescent="0.25">
      <c r="D927" s="3"/>
      <c r="F927" s="3"/>
      <c r="G927" s="32"/>
      <c r="H927" s="32"/>
      <c r="I927" s="32"/>
      <c r="J927" s="32"/>
      <c r="K927" s="3"/>
      <c r="L927" s="3"/>
      <c r="M927" s="3"/>
    </row>
    <row r="928" spans="4:13" ht="18" customHeight="1" x14ac:dyDescent="0.25">
      <c r="D928" s="3"/>
      <c r="F928" s="3"/>
      <c r="G928" s="32"/>
      <c r="H928" s="32"/>
      <c r="I928" s="32"/>
      <c r="J928" s="32"/>
      <c r="K928" s="3"/>
      <c r="L928" s="3"/>
      <c r="M928" s="3"/>
    </row>
    <row r="929" spans="4:13" ht="18" customHeight="1" x14ac:dyDescent="0.25">
      <c r="D929" s="3"/>
      <c r="F929" s="3"/>
      <c r="G929" s="32"/>
      <c r="H929" s="32"/>
      <c r="I929" s="32"/>
      <c r="J929" s="32"/>
      <c r="K929" s="3"/>
      <c r="L929" s="3"/>
      <c r="M929" s="3"/>
    </row>
    <row r="930" spans="4:13" ht="18" customHeight="1" x14ac:dyDescent="0.25">
      <c r="D930" s="3"/>
      <c r="F930" s="3"/>
      <c r="G930" s="32"/>
      <c r="H930" s="32"/>
      <c r="I930" s="32"/>
      <c r="J930" s="32"/>
      <c r="K930" s="3"/>
      <c r="L930" s="3"/>
      <c r="M930" s="3"/>
    </row>
    <row r="931" spans="4:13" ht="18" customHeight="1" x14ac:dyDescent="0.25">
      <c r="D931" s="3"/>
      <c r="F931" s="3"/>
      <c r="G931" s="32"/>
      <c r="H931" s="32"/>
      <c r="I931" s="32"/>
      <c r="J931" s="32"/>
      <c r="K931" s="3"/>
      <c r="L931" s="3"/>
      <c r="M931" s="3"/>
    </row>
    <row r="932" spans="4:13" ht="18" customHeight="1" x14ac:dyDescent="0.25">
      <c r="D932" s="3"/>
      <c r="F932" s="3"/>
      <c r="G932" s="32"/>
      <c r="H932" s="32"/>
      <c r="I932" s="32"/>
      <c r="J932" s="32"/>
      <c r="K932" s="3"/>
      <c r="L932" s="3"/>
      <c r="M932" s="3"/>
    </row>
    <row r="933" spans="4:13" ht="18" customHeight="1" x14ac:dyDescent="0.25">
      <c r="D933" s="3"/>
      <c r="F933" s="3"/>
      <c r="G933" s="32"/>
      <c r="H933" s="32"/>
      <c r="I933" s="32"/>
      <c r="J933" s="32"/>
      <c r="K933" s="3"/>
      <c r="L933" s="3"/>
      <c r="M933" s="3"/>
    </row>
    <row r="934" spans="4:13" ht="18" customHeight="1" x14ac:dyDescent="0.25">
      <c r="D934" s="3"/>
      <c r="F934" s="3"/>
      <c r="G934" s="32"/>
      <c r="H934" s="32"/>
      <c r="I934" s="32"/>
      <c r="J934" s="32"/>
      <c r="K934" s="3"/>
      <c r="L934" s="3"/>
      <c r="M934" s="3"/>
    </row>
    <row r="935" spans="4:13" ht="18" customHeight="1" x14ac:dyDescent="0.25">
      <c r="D935" s="3"/>
      <c r="F935" s="3"/>
      <c r="G935" s="32"/>
      <c r="H935" s="32"/>
      <c r="I935" s="32"/>
      <c r="J935" s="32"/>
      <c r="K935" s="3"/>
      <c r="L935" s="3"/>
      <c r="M935" s="3"/>
    </row>
    <row r="936" spans="4:13" ht="18" customHeight="1" x14ac:dyDescent="0.25">
      <c r="D936" s="3"/>
      <c r="F936" s="3"/>
      <c r="G936" s="32"/>
      <c r="H936" s="32"/>
      <c r="I936" s="32"/>
      <c r="J936" s="32"/>
      <c r="K936" s="3"/>
      <c r="L936" s="3"/>
      <c r="M936" s="3"/>
    </row>
    <row r="937" spans="4:13" ht="18" customHeight="1" x14ac:dyDescent="0.25">
      <c r="D937" s="3"/>
      <c r="F937" s="3"/>
      <c r="G937" s="32"/>
      <c r="H937" s="32"/>
      <c r="I937" s="32"/>
      <c r="J937" s="32"/>
      <c r="K937" s="3"/>
      <c r="L937" s="3"/>
      <c r="M937" s="3"/>
    </row>
    <row r="938" spans="4:13" ht="18" customHeight="1" x14ac:dyDescent="0.25">
      <c r="D938" s="3"/>
      <c r="F938" s="3"/>
      <c r="G938" s="32"/>
      <c r="H938" s="32"/>
      <c r="I938" s="32"/>
      <c r="J938" s="32"/>
      <c r="K938" s="3"/>
      <c r="L938" s="3"/>
      <c r="M938" s="3"/>
    </row>
    <row r="939" spans="4:13" ht="18" customHeight="1" x14ac:dyDescent="0.25">
      <c r="D939" s="3"/>
      <c r="F939" s="3"/>
      <c r="G939" s="32"/>
      <c r="H939" s="32"/>
      <c r="I939" s="32"/>
      <c r="J939" s="32"/>
      <c r="K939" s="3"/>
      <c r="L939" s="3"/>
      <c r="M939" s="3"/>
    </row>
    <row r="940" spans="4:13" ht="18" customHeight="1" x14ac:dyDescent="0.25">
      <c r="D940" s="3"/>
      <c r="F940" s="3"/>
      <c r="G940" s="32"/>
      <c r="H940" s="32"/>
      <c r="I940" s="32"/>
      <c r="J940" s="32"/>
      <c r="K940" s="3"/>
      <c r="L940" s="3"/>
      <c r="M940" s="3"/>
    </row>
    <row r="941" spans="4:13" ht="18" customHeight="1" x14ac:dyDescent="0.25">
      <c r="D941" s="3"/>
      <c r="F941" s="3"/>
      <c r="G941" s="32"/>
      <c r="H941" s="32"/>
      <c r="I941" s="32"/>
      <c r="J941" s="32"/>
      <c r="K941" s="3"/>
      <c r="L941" s="3"/>
      <c r="M941" s="3"/>
    </row>
    <row r="942" spans="4:13" ht="18" customHeight="1" x14ac:dyDescent="0.25">
      <c r="D942" s="3"/>
      <c r="F942" s="3"/>
      <c r="G942" s="32"/>
      <c r="H942" s="32"/>
      <c r="I942" s="32"/>
      <c r="J942" s="32"/>
      <c r="K942" s="3"/>
      <c r="L942" s="3"/>
      <c r="M942" s="3"/>
    </row>
    <row r="943" spans="4:13" ht="18" customHeight="1" x14ac:dyDescent="0.25">
      <c r="D943" s="3"/>
      <c r="F943" s="3"/>
      <c r="G943" s="32"/>
      <c r="H943" s="32"/>
      <c r="I943" s="32"/>
      <c r="J943" s="32"/>
      <c r="K943" s="3"/>
      <c r="L943" s="3"/>
      <c r="M943" s="3"/>
    </row>
    <row r="944" spans="4:13" ht="18" customHeight="1" x14ac:dyDescent="0.25">
      <c r="D944" s="3"/>
      <c r="F944" s="3"/>
      <c r="G944" s="32"/>
      <c r="H944" s="32"/>
      <c r="I944" s="32"/>
      <c r="J944" s="32"/>
      <c r="K944" s="3"/>
      <c r="L944" s="3"/>
      <c r="M944" s="3"/>
    </row>
    <row r="945" spans="4:13" ht="18" customHeight="1" x14ac:dyDescent="0.25">
      <c r="D945" s="3"/>
      <c r="F945" s="3"/>
      <c r="G945" s="32"/>
      <c r="H945" s="32"/>
      <c r="I945" s="32"/>
      <c r="J945" s="32"/>
      <c r="K945" s="3"/>
      <c r="L945" s="3"/>
      <c r="M945" s="3"/>
    </row>
    <row r="946" spans="4:13" ht="18" customHeight="1" x14ac:dyDescent="0.25">
      <c r="D946" s="3"/>
      <c r="F946" s="3"/>
      <c r="G946" s="32"/>
      <c r="H946" s="32"/>
      <c r="I946" s="32"/>
      <c r="J946" s="32"/>
      <c r="K946" s="3"/>
      <c r="L946" s="3"/>
      <c r="M946" s="3"/>
    </row>
    <row r="947" spans="4:13" ht="18" customHeight="1" x14ac:dyDescent="0.25">
      <c r="D947" s="3"/>
      <c r="F947" s="3"/>
      <c r="G947" s="32"/>
      <c r="H947" s="32"/>
      <c r="I947" s="32"/>
      <c r="J947" s="32"/>
      <c r="K947" s="3"/>
      <c r="L947" s="3"/>
      <c r="M947" s="3"/>
    </row>
    <row r="948" spans="4:13" ht="18" customHeight="1" x14ac:dyDescent="0.25">
      <c r="D948" s="3"/>
      <c r="F948" s="3"/>
      <c r="G948" s="32"/>
      <c r="H948" s="32"/>
      <c r="I948" s="32"/>
      <c r="J948" s="32"/>
      <c r="K948" s="3"/>
      <c r="L948" s="3"/>
      <c r="M948" s="3"/>
    </row>
    <row r="949" spans="4:13" ht="18" customHeight="1" x14ac:dyDescent="0.25">
      <c r="D949" s="3"/>
      <c r="F949" s="3"/>
      <c r="G949" s="32"/>
      <c r="H949" s="32"/>
      <c r="I949" s="32"/>
      <c r="J949" s="32"/>
      <c r="K949" s="3"/>
      <c r="L949" s="3"/>
      <c r="M949" s="3"/>
    </row>
    <row r="950" spans="4:13" ht="18" customHeight="1" x14ac:dyDescent="0.25">
      <c r="D950" s="3"/>
      <c r="F950" s="3"/>
      <c r="G950" s="32"/>
      <c r="H950" s="32"/>
      <c r="I950" s="32"/>
      <c r="J950" s="32"/>
      <c r="K950" s="3"/>
      <c r="L950" s="3"/>
      <c r="M950" s="3"/>
    </row>
    <row r="951" spans="4:13" ht="18" customHeight="1" x14ac:dyDescent="0.25">
      <c r="D951" s="3"/>
      <c r="F951" s="3"/>
      <c r="G951" s="32"/>
      <c r="H951" s="32"/>
      <c r="I951" s="32"/>
      <c r="J951" s="32"/>
      <c r="K951" s="3"/>
      <c r="L951" s="3"/>
      <c r="M951" s="3"/>
    </row>
    <row r="952" spans="4:13" ht="18" customHeight="1" x14ac:dyDescent="0.25">
      <c r="D952" s="3"/>
      <c r="F952" s="3"/>
      <c r="G952" s="32"/>
      <c r="H952" s="32"/>
      <c r="I952" s="32"/>
      <c r="J952" s="32"/>
      <c r="K952" s="3"/>
      <c r="L952" s="3"/>
      <c r="M952" s="3"/>
    </row>
    <row r="953" spans="4:13" ht="18" customHeight="1" x14ac:dyDescent="0.25">
      <c r="D953" s="3"/>
      <c r="F953" s="3"/>
      <c r="G953" s="32"/>
      <c r="H953" s="32"/>
      <c r="I953" s="32"/>
      <c r="J953" s="32"/>
      <c r="K953" s="3"/>
      <c r="L953" s="3"/>
      <c r="M953" s="3"/>
    </row>
    <row r="954" spans="4:13" ht="18" customHeight="1" x14ac:dyDescent="0.25">
      <c r="D954" s="3"/>
      <c r="F954" s="3"/>
      <c r="G954" s="32"/>
      <c r="H954" s="32"/>
      <c r="I954" s="32"/>
      <c r="J954" s="32"/>
      <c r="K954" s="3"/>
      <c r="L954" s="3"/>
      <c r="M954" s="3"/>
    </row>
    <row r="955" spans="4:13" ht="18" customHeight="1" x14ac:dyDescent="0.25">
      <c r="D955" s="3"/>
      <c r="F955" s="3"/>
      <c r="G955" s="32"/>
      <c r="H955" s="32"/>
      <c r="I955" s="32"/>
      <c r="J955" s="32"/>
      <c r="K955" s="3"/>
      <c r="L955" s="3"/>
      <c r="M955" s="3"/>
    </row>
    <row r="956" spans="4:13" ht="18" customHeight="1" x14ac:dyDescent="0.25">
      <c r="D956" s="3"/>
      <c r="F956" s="3"/>
      <c r="G956" s="32"/>
      <c r="H956" s="32"/>
      <c r="I956" s="32"/>
      <c r="J956" s="32"/>
      <c r="K956" s="3"/>
      <c r="L956" s="3"/>
      <c r="M956" s="3"/>
    </row>
    <row r="957" spans="4:13" ht="18" customHeight="1" x14ac:dyDescent="0.25">
      <c r="D957" s="3"/>
      <c r="F957" s="3"/>
      <c r="G957" s="32"/>
      <c r="H957" s="32"/>
      <c r="I957" s="32"/>
      <c r="J957" s="32"/>
      <c r="K957" s="3"/>
      <c r="L957" s="3"/>
      <c r="M957" s="3"/>
    </row>
    <row r="958" spans="4:13" ht="18" customHeight="1" x14ac:dyDescent="0.25">
      <c r="D958" s="3"/>
      <c r="F958" s="3"/>
      <c r="G958" s="32"/>
      <c r="H958" s="32"/>
      <c r="I958" s="32"/>
      <c r="J958" s="32"/>
      <c r="K958" s="3"/>
      <c r="L958" s="3"/>
      <c r="M958" s="3"/>
    </row>
    <row r="959" spans="4:13" ht="18" customHeight="1" x14ac:dyDescent="0.25">
      <c r="D959" s="3"/>
      <c r="F959" s="3"/>
      <c r="G959" s="32"/>
      <c r="H959" s="32"/>
      <c r="I959" s="32"/>
      <c r="J959" s="32"/>
      <c r="K959" s="3"/>
      <c r="L959" s="3"/>
      <c r="M959" s="3"/>
    </row>
    <row r="960" spans="4:13" ht="18" customHeight="1" x14ac:dyDescent="0.25">
      <c r="D960" s="3"/>
      <c r="F960" s="3"/>
      <c r="G960" s="32"/>
      <c r="H960" s="32"/>
      <c r="I960" s="32"/>
      <c r="J960" s="32"/>
      <c r="K960" s="3"/>
      <c r="L960" s="3"/>
      <c r="M960" s="3"/>
    </row>
    <row r="961" spans="4:13" ht="18" customHeight="1" x14ac:dyDescent="0.25">
      <c r="D961" s="3"/>
      <c r="F961" s="3"/>
      <c r="G961" s="32"/>
      <c r="H961" s="32"/>
      <c r="I961" s="32"/>
      <c r="J961" s="32"/>
      <c r="K961" s="3"/>
      <c r="L961" s="3"/>
      <c r="M961" s="3"/>
    </row>
    <row r="962" spans="4:13" ht="18" customHeight="1" x14ac:dyDescent="0.25">
      <c r="D962" s="3"/>
      <c r="F962" s="3"/>
      <c r="G962" s="32"/>
      <c r="H962" s="32"/>
      <c r="I962" s="32"/>
      <c r="J962" s="32"/>
      <c r="K962" s="3"/>
      <c r="L962" s="3"/>
      <c r="M962" s="3"/>
    </row>
    <row r="963" spans="4:13" ht="18" customHeight="1" x14ac:dyDescent="0.25">
      <c r="D963" s="3"/>
      <c r="F963" s="3"/>
      <c r="G963" s="32"/>
      <c r="H963" s="32"/>
      <c r="I963" s="32"/>
      <c r="J963" s="32"/>
      <c r="K963" s="3"/>
      <c r="L963" s="3"/>
      <c r="M963" s="3"/>
    </row>
    <row r="964" spans="4:13" ht="18" customHeight="1" x14ac:dyDescent="0.25">
      <c r="D964" s="3"/>
      <c r="F964" s="3"/>
      <c r="G964" s="32"/>
      <c r="H964" s="32"/>
      <c r="I964" s="32"/>
      <c r="J964" s="32"/>
      <c r="K964" s="3"/>
      <c r="L964" s="3"/>
      <c r="M964" s="3"/>
    </row>
    <row r="965" spans="4:13" ht="18" customHeight="1" x14ac:dyDescent="0.25">
      <c r="D965" s="3"/>
      <c r="F965" s="3"/>
      <c r="G965" s="32"/>
      <c r="H965" s="32"/>
      <c r="I965" s="32"/>
      <c r="J965" s="32"/>
      <c r="K965" s="3"/>
      <c r="L965" s="3"/>
      <c r="M965" s="3"/>
    </row>
    <row r="966" spans="4:13" ht="18" customHeight="1" x14ac:dyDescent="0.25">
      <c r="D966" s="3"/>
      <c r="F966" s="3"/>
      <c r="G966" s="32"/>
      <c r="H966" s="32"/>
      <c r="I966" s="32"/>
      <c r="J966" s="32"/>
      <c r="K966" s="3"/>
      <c r="L966" s="3"/>
      <c r="M966" s="3"/>
    </row>
    <row r="967" spans="4:13" ht="18" customHeight="1" x14ac:dyDescent="0.25">
      <c r="D967" s="3"/>
      <c r="F967" s="3"/>
      <c r="G967" s="32"/>
      <c r="H967" s="32"/>
      <c r="I967" s="32"/>
      <c r="J967" s="32"/>
      <c r="K967" s="3"/>
      <c r="L967" s="3"/>
      <c r="M967" s="3"/>
    </row>
    <row r="968" spans="4:13" ht="18" customHeight="1" x14ac:dyDescent="0.25">
      <c r="D968" s="3"/>
      <c r="F968" s="3"/>
      <c r="G968" s="32"/>
      <c r="H968" s="32"/>
      <c r="I968" s="32"/>
      <c r="J968" s="32"/>
      <c r="K968" s="3"/>
      <c r="L968" s="3"/>
      <c r="M968" s="3"/>
    </row>
    <row r="969" spans="4:13" ht="18" customHeight="1" x14ac:dyDescent="0.25">
      <c r="D969" s="3"/>
      <c r="F969" s="3"/>
      <c r="G969" s="32"/>
      <c r="H969" s="32"/>
      <c r="I969" s="32"/>
      <c r="J969" s="32"/>
      <c r="K969" s="3"/>
      <c r="L969" s="3"/>
      <c r="M969" s="3"/>
    </row>
    <row r="970" spans="4:13" ht="18" customHeight="1" x14ac:dyDescent="0.25">
      <c r="D970" s="3"/>
      <c r="F970" s="3"/>
      <c r="G970" s="32"/>
      <c r="H970" s="32"/>
      <c r="I970" s="32"/>
      <c r="J970" s="32"/>
      <c r="K970" s="3"/>
      <c r="L970" s="3"/>
      <c r="M970" s="3"/>
    </row>
    <row r="971" spans="4:13" ht="18" customHeight="1" x14ac:dyDescent="0.25">
      <c r="D971" s="3"/>
      <c r="F971" s="3"/>
      <c r="G971" s="32"/>
      <c r="H971" s="32"/>
      <c r="I971" s="32"/>
      <c r="J971" s="32"/>
      <c r="K971" s="3"/>
      <c r="L971" s="3"/>
      <c r="M971" s="3"/>
    </row>
    <row r="972" spans="4:13" ht="18" customHeight="1" x14ac:dyDescent="0.25">
      <c r="D972" s="3"/>
      <c r="F972" s="3"/>
      <c r="G972" s="32"/>
      <c r="H972" s="32"/>
      <c r="I972" s="32"/>
      <c r="J972" s="32"/>
      <c r="K972" s="3"/>
      <c r="L972" s="3"/>
      <c r="M972" s="3"/>
    </row>
    <row r="973" spans="4:13" ht="18" customHeight="1" x14ac:dyDescent="0.25">
      <c r="D973" s="3"/>
      <c r="F973" s="3"/>
      <c r="G973" s="32"/>
      <c r="H973" s="32"/>
      <c r="I973" s="32"/>
      <c r="J973" s="32"/>
      <c r="K973" s="3"/>
      <c r="L973" s="3"/>
      <c r="M973" s="3"/>
    </row>
    <row r="974" spans="4:13" ht="18" customHeight="1" x14ac:dyDescent="0.25">
      <c r="D974" s="3"/>
      <c r="F974" s="3"/>
      <c r="G974" s="32"/>
      <c r="H974" s="32"/>
      <c r="I974" s="32"/>
      <c r="J974" s="32"/>
      <c r="K974" s="3"/>
      <c r="L974" s="3"/>
      <c r="M974" s="3"/>
    </row>
    <row r="975" spans="4:13" ht="18" customHeight="1" x14ac:dyDescent="0.25">
      <c r="D975" s="3"/>
      <c r="F975" s="3"/>
      <c r="G975" s="32"/>
      <c r="H975" s="32"/>
      <c r="I975" s="32"/>
      <c r="J975" s="32"/>
      <c r="K975" s="3"/>
      <c r="L975" s="3"/>
      <c r="M975" s="3"/>
    </row>
    <row r="976" spans="4:13" ht="18" customHeight="1" x14ac:dyDescent="0.25">
      <c r="D976" s="3"/>
      <c r="F976" s="3"/>
      <c r="G976" s="32"/>
      <c r="H976" s="32"/>
      <c r="I976" s="32"/>
      <c r="J976" s="32"/>
      <c r="K976" s="3"/>
      <c r="L976" s="3"/>
      <c r="M976" s="3"/>
    </row>
    <row r="977" spans="4:13" ht="18" customHeight="1" x14ac:dyDescent="0.25">
      <c r="D977" s="3"/>
      <c r="F977" s="3"/>
      <c r="G977" s="32"/>
      <c r="H977" s="32"/>
      <c r="I977" s="32"/>
      <c r="J977" s="32"/>
      <c r="K977" s="3"/>
      <c r="L977" s="3"/>
      <c r="M977" s="3"/>
    </row>
    <row r="978" spans="4:13" ht="18" customHeight="1" x14ac:dyDescent="0.25">
      <c r="D978" s="3"/>
      <c r="F978" s="3"/>
      <c r="G978" s="32"/>
      <c r="H978" s="32"/>
      <c r="I978" s="32"/>
      <c r="J978" s="32"/>
      <c r="K978" s="3"/>
      <c r="L978" s="3"/>
      <c r="M978" s="3"/>
    </row>
    <row r="979" spans="4:13" ht="18" customHeight="1" x14ac:dyDescent="0.25">
      <c r="D979" s="3"/>
      <c r="F979" s="3"/>
      <c r="G979" s="32"/>
      <c r="H979" s="32"/>
      <c r="I979" s="32"/>
      <c r="J979" s="32"/>
      <c r="K979" s="3"/>
      <c r="L979" s="3"/>
      <c r="M979" s="3"/>
    </row>
    <row r="980" spans="4:13" ht="18" customHeight="1" x14ac:dyDescent="0.25">
      <c r="D980" s="3"/>
      <c r="F980" s="3"/>
      <c r="G980" s="32"/>
      <c r="H980" s="32"/>
      <c r="I980" s="32"/>
      <c r="J980" s="32"/>
      <c r="K980" s="3"/>
      <c r="L980" s="3"/>
      <c r="M980" s="3"/>
    </row>
    <row r="981" spans="4:13" ht="18" customHeight="1" x14ac:dyDescent="0.25">
      <c r="D981" s="3"/>
      <c r="F981" s="3"/>
      <c r="G981" s="32"/>
      <c r="H981" s="32"/>
      <c r="I981" s="32"/>
      <c r="J981" s="32"/>
      <c r="K981" s="3"/>
      <c r="L981" s="3"/>
      <c r="M981" s="3"/>
    </row>
    <row r="982" spans="4:13" ht="18" customHeight="1" x14ac:dyDescent="0.25">
      <c r="D982" s="3"/>
      <c r="F982" s="3"/>
      <c r="G982" s="32"/>
      <c r="H982" s="32"/>
      <c r="I982" s="32"/>
      <c r="J982" s="32"/>
      <c r="K982" s="3"/>
      <c r="L982" s="3"/>
      <c r="M982" s="3"/>
    </row>
    <row r="983" spans="4:13" ht="18" customHeight="1" x14ac:dyDescent="0.25">
      <c r="D983" s="3"/>
      <c r="F983" s="3"/>
      <c r="G983" s="32"/>
      <c r="H983" s="32"/>
      <c r="I983" s="32"/>
      <c r="J983" s="32"/>
      <c r="K983" s="3"/>
      <c r="L983" s="3"/>
      <c r="M983" s="3"/>
    </row>
    <row r="984" spans="4:13" ht="18" customHeight="1" x14ac:dyDescent="0.25">
      <c r="D984" s="3"/>
      <c r="F984" s="3"/>
      <c r="G984" s="32"/>
      <c r="H984" s="32"/>
      <c r="I984" s="32"/>
      <c r="J984" s="32"/>
      <c r="K984" s="3"/>
      <c r="L984" s="3"/>
      <c r="M984" s="3"/>
    </row>
    <row r="985" spans="4:13" ht="18" customHeight="1" x14ac:dyDescent="0.25">
      <c r="D985" s="3"/>
      <c r="F985" s="3"/>
      <c r="G985" s="32"/>
      <c r="H985" s="32"/>
      <c r="I985" s="32"/>
      <c r="J985" s="32"/>
      <c r="K985" s="3"/>
      <c r="L985" s="3"/>
      <c r="M985" s="3"/>
    </row>
    <row r="986" spans="4:13" ht="18" customHeight="1" x14ac:dyDescent="0.25">
      <c r="D986" s="3"/>
      <c r="F986" s="3"/>
      <c r="G986" s="32"/>
      <c r="H986" s="32"/>
      <c r="I986" s="32"/>
      <c r="J986" s="32"/>
      <c r="K986" s="3"/>
      <c r="L986" s="3"/>
      <c r="M986" s="3"/>
    </row>
    <row r="987" spans="4:13" ht="18" customHeight="1" x14ac:dyDescent="0.25">
      <c r="D987" s="3"/>
      <c r="F987" s="3"/>
      <c r="G987" s="32"/>
      <c r="H987" s="32"/>
      <c r="I987" s="32"/>
      <c r="J987" s="32"/>
      <c r="K987" s="3"/>
      <c r="L987" s="3"/>
      <c r="M987" s="3"/>
    </row>
    <row r="988" spans="4:13" ht="18" customHeight="1" x14ac:dyDescent="0.25">
      <c r="D988" s="3"/>
      <c r="F988" s="3"/>
      <c r="G988" s="32"/>
      <c r="H988" s="32"/>
      <c r="I988" s="32"/>
      <c r="J988" s="32"/>
      <c r="K988" s="3"/>
      <c r="L988" s="3"/>
      <c r="M988" s="3"/>
    </row>
    <row r="989" spans="4:13" ht="18" customHeight="1" x14ac:dyDescent="0.25">
      <c r="D989" s="3"/>
      <c r="F989" s="3"/>
      <c r="G989" s="32"/>
      <c r="H989" s="32"/>
      <c r="I989" s="32"/>
      <c r="J989" s="32"/>
      <c r="K989" s="3"/>
      <c r="L989" s="3"/>
      <c r="M989" s="3"/>
    </row>
    <row r="990" spans="4:13" ht="18" customHeight="1" x14ac:dyDescent="0.25">
      <c r="D990" s="3"/>
      <c r="F990" s="3"/>
      <c r="G990" s="32"/>
      <c r="H990" s="32"/>
      <c r="I990" s="32"/>
      <c r="J990" s="32"/>
      <c r="K990" s="3"/>
      <c r="L990" s="3"/>
      <c r="M990" s="3"/>
    </row>
    <row r="991" spans="4:13" ht="18" customHeight="1" x14ac:dyDescent="0.25">
      <c r="D991" s="3"/>
      <c r="F991" s="3"/>
      <c r="G991" s="32"/>
      <c r="H991" s="32"/>
      <c r="I991" s="32"/>
      <c r="J991" s="32"/>
      <c r="K991" s="3"/>
      <c r="L991" s="3"/>
      <c r="M991" s="3"/>
    </row>
    <row r="992" spans="4:13" ht="18" customHeight="1" x14ac:dyDescent="0.25">
      <c r="D992" s="3"/>
      <c r="F992" s="3"/>
      <c r="G992" s="32"/>
      <c r="H992" s="32"/>
      <c r="I992" s="32"/>
      <c r="J992" s="32"/>
      <c r="K992" s="3"/>
      <c r="L992" s="3"/>
      <c r="M992" s="3"/>
    </row>
    <row r="993" spans="4:13" ht="18" customHeight="1" x14ac:dyDescent="0.25">
      <c r="D993" s="3"/>
      <c r="F993" s="3"/>
      <c r="G993" s="32"/>
      <c r="H993" s="32"/>
      <c r="I993" s="32"/>
      <c r="J993" s="32"/>
      <c r="K993" s="3"/>
      <c r="L993" s="3"/>
      <c r="M993" s="3"/>
    </row>
    <row r="994" spans="4:13" ht="18" customHeight="1" x14ac:dyDescent="0.25">
      <c r="D994" s="3"/>
      <c r="F994" s="3"/>
      <c r="G994" s="32"/>
      <c r="H994" s="32"/>
      <c r="I994" s="32"/>
      <c r="J994" s="32"/>
      <c r="K994" s="3"/>
      <c r="L994" s="3"/>
      <c r="M994" s="3"/>
    </row>
    <row r="995" spans="4:13" ht="18" customHeight="1" x14ac:dyDescent="0.25">
      <c r="D995" s="3"/>
      <c r="F995" s="3"/>
      <c r="G995" s="32"/>
      <c r="H995" s="32"/>
      <c r="I995" s="32"/>
      <c r="J995" s="32"/>
      <c r="K995" s="3"/>
      <c r="L995" s="3"/>
      <c r="M995" s="3"/>
    </row>
    <row r="996" spans="4:13" ht="18" customHeight="1" x14ac:dyDescent="0.25">
      <c r="D996" s="3"/>
      <c r="F996" s="3"/>
      <c r="G996" s="32"/>
      <c r="H996" s="32"/>
      <c r="I996" s="32"/>
      <c r="J996" s="32"/>
      <c r="K996" s="3"/>
      <c r="L996" s="3"/>
      <c r="M996" s="3"/>
    </row>
    <row r="997" spans="4:13" ht="18" customHeight="1" x14ac:dyDescent="0.25">
      <c r="D997" s="3"/>
      <c r="F997" s="3"/>
      <c r="G997" s="32"/>
      <c r="H997" s="32"/>
      <c r="I997" s="32"/>
      <c r="J997" s="32"/>
      <c r="K997" s="3"/>
      <c r="L997" s="3"/>
      <c r="M997" s="3"/>
    </row>
    <row r="998" spans="4:13" ht="18" customHeight="1" x14ac:dyDescent="0.25">
      <c r="D998" s="3"/>
      <c r="F998" s="3"/>
      <c r="G998" s="32"/>
      <c r="H998" s="32"/>
      <c r="I998" s="32"/>
      <c r="J998" s="32"/>
      <c r="K998" s="3"/>
      <c r="L998" s="3"/>
      <c r="M998" s="3"/>
    </row>
    <row r="999" spans="4:13" ht="18" customHeight="1" x14ac:dyDescent="0.25">
      <c r="D999" s="3"/>
      <c r="F999" s="3"/>
      <c r="G999" s="32"/>
      <c r="H999" s="32"/>
      <c r="I999" s="32"/>
      <c r="J999" s="32"/>
      <c r="K999" s="3"/>
      <c r="L999" s="3"/>
      <c r="M999" s="3"/>
    </row>
    <row r="1000" spans="4:13" ht="18" customHeight="1" x14ac:dyDescent="0.25">
      <c r="D1000" s="3"/>
      <c r="F1000" s="3"/>
      <c r="G1000" s="32"/>
      <c r="H1000" s="32"/>
      <c r="I1000" s="32"/>
      <c r="J1000" s="32"/>
      <c r="K1000" s="3"/>
      <c r="L1000" s="3"/>
      <c r="M1000" s="3"/>
    </row>
    <row r="1001" spans="4:13" ht="18" customHeight="1" x14ac:dyDescent="0.25">
      <c r="D1001" s="3"/>
      <c r="F1001" s="3"/>
      <c r="G1001" s="32"/>
      <c r="H1001" s="32"/>
      <c r="I1001" s="32"/>
      <c r="J1001" s="32"/>
      <c r="K1001" s="3"/>
      <c r="L1001" s="3"/>
      <c r="M1001" s="3"/>
    </row>
    <row r="1002" spans="4:13" ht="18" customHeight="1" x14ac:dyDescent="0.25">
      <c r="D1002" s="3"/>
      <c r="F1002" s="3"/>
      <c r="G1002" s="32"/>
      <c r="H1002" s="32"/>
      <c r="I1002" s="32"/>
      <c r="J1002" s="32"/>
      <c r="K1002" s="3"/>
      <c r="L1002" s="3"/>
      <c r="M1002" s="3"/>
    </row>
    <row r="1003" spans="4:13" ht="18" customHeight="1" x14ac:dyDescent="0.25">
      <c r="D1003" s="3"/>
      <c r="F1003" s="3"/>
      <c r="G1003" s="32"/>
      <c r="H1003" s="32"/>
      <c r="I1003" s="32"/>
      <c r="J1003" s="32"/>
      <c r="K1003" s="3"/>
      <c r="L1003" s="3"/>
      <c r="M1003" s="3"/>
    </row>
    <row r="1004" spans="4:13" ht="18" customHeight="1" x14ac:dyDescent="0.25">
      <c r="D1004" s="3"/>
      <c r="F1004" s="3"/>
      <c r="G1004" s="32"/>
      <c r="H1004" s="32"/>
      <c r="I1004" s="32"/>
      <c r="J1004" s="32"/>
      <c r="K1004" s="3"/>
      <c r="L1004" s="3"/>
      <c r="M1004" s="3"/>
    </row>
    <row r="1005" spans="4:13" ht="18" customHeight="1" x14ac:dyDescent="0.25">
      <c r="D1005" s="3"/>
      <c r="F1005" s="3"/>
      <c r="G1005" s="32"/>
      <c r="H1005" s="32"/>
      <c r="I1005" s="32"/>
      <c r="J1005" s="32"/>
      <c r="K1005" s="3"/>
      <c r="L1005" s="3"/>
      <c r="M1005" s="3"/>
    </row>
    <row r="1006" spans="4:13" ht="18" customHeight="1" x14ac:dyDescent="0.25">
      <c r="D1006" s="3"/>
      <c r="F1006" s="3"/>
      <c r="G1006" s="32"/>
      <c r="H1006" s="32"/>
      <c r="I1006" s="32"/>
      <c r="J1006" s="32"/>
      <c r="K1006" s="3"/>
      <c r="L1006" s="3"/>
      <c r="M1006" s="3"/>
    </row>
    <row r="1007" spans="4:13" ht="18" customHeight="1" x14ac:dyDescent="0.25">
      <c r="D1007" s="3"/>
      <c r="F1007" s="3"/>
      <c r="G1007" s="32"/>
      <c r="H1007" s="32"/>
      <c r="I1007" s="32"/>
      <c r="J1007" s="32"/>
      <c r="K1007" s="3"/>
      <c r="L1007" s="3"/>
      <c r="M1007" s="3"/>
    </row>
    <row r="1008" spans="4:13" ht="18" customHeight="1" x14ac:dyDescent="0.25">
      <c r="D1008" s="3"/>
      <c r="F1008" s="3"/>
      <c r="G1008" s="32"/>
      <c r="H1008" s="32"/>
      <c r="I1008" s="32"/>
      <c r="J1008" s="32"/>
      <c r="K1008" s="3"/>
      <c r="L1008" s="3"/>
      <c r="M1008" s="3"/>
    </row>
    <row r="1009" spans="4:13" ht="18" customHeight="1" x14ac:dyDescent="0.25">
      <c r="D1009" s="3"/>
      <c r="F1009" s="3"/>
      <c r="G1009" s="32"/>
      <c r="H1009" s="32"/>
      <c r="I1009" s="32"/>
      <c r="J1009" s="32"/>
      <c r="K1009" s="3"/>
      <c r="L1009" s="3"/>
      <c r="M1009" s="3"/>
    </row>
    <row r="1010" spans="4:13" ht="18" customHeight="1" x14ac:dyDescent="0.25">
      <c r="D1010" s="3"/>
      <c r="F1010" s="3"/>
      <c r="G1010" s="32"/>
      <c r="H1010" s="32"/>
      <c r="I1010" s="32"/>
      <c r="J1010" s="32"/>
      <c r="K1010" s="3"/>
      <c r="L1010" s="3"/>
      <c r="M1010" s="3"/>
    </row>
    <row r="1011" spans="4:13" ht="18" customHeight="1" x14ac:dyDescent="0.25">
      <c r="D1011" s="3"/>
      <c r="F1011" s="3"/>
      <c r="G1011" s="32"/>
      <c r="H1011" s="32"/>
      <c r="I1011" s="32"/>
      <c r="J1011" s="32"/>
      <c r="K1011" s="3"/>
      <c r="L1011" s="3"/>
      <c r="M1011" s="3"/>
    </row>
    <row r="1012" spans="4:13" ht="18" customHeight="1" x14ac:dyDescent="0.25">
      <c r="D1012" s="3"/>
      <c r="F1012" s="3"/>
      <c r="G1012" s="32"/>
      <c r="H1012" s="32"/>
      <c r="I1012" s="32"/>
      <c r="J1012" s="32"/>
      <c r="K1012" s="3"/>
      <c r="L1012" s="3"/>
      <c r="M1012" s="3"/>
    </row>
    <row r="1013" spans="4:13" ht="18" customHeight="1" x14ac:dyDescent="0.25">
      <c r="D1013" s="3"/>
      <c r="F1013" s="3"/>
      <c r="G1013" s="32"/>
      <c r="H1013" s="32"/>
      <c r="I1013" s="32"/>
      <c r="J1013" s="32"/>
      <c r="K1013" s="3"/>
      <c r="L1013" s="3"/>
      <c r="M1013" s="3"/>
    </row>
    <row r="1014" spans="4:13" ht="18" customHeight="1" x14ac:dyDescent="0.25">
      <c r="D1014" s="3"/>
      <c r="F1014" s="3"/>
      <c r="G1014" s="32"/>
      <c r="H1014" s="32"/>
      <c r="I1014" s="32"/>
      <c r="J1014" s="32"/>
      <c r="K1014" s="3"/>
      <c r="L1014" s="3"/>
      <c r="M1014" s="3"/>
    </row>
    <row r="1015" spans="4:13" ht="18" customHeight="1" x14ac:dyDescent="0.25">
      <c r="D1015" s="3"/>
      <c r="F1015" s="3"/>
      <c r="G1015" s="32"/>
      <c r="H1015" s="32"/>
      <c r="I1015" s="32"/>
      <c r="J1015" s="32"/>
      <c r="K1015" s="3"/>
      <c r="L1015" s="3"/>
      <c r="M1015" s="3"/>
    </row>
    <row r="1016" spans="4:13" ht="18" customHeight="1" x14ac:dyDescent="0.25">
      <c r="D1016" s="3"/>
      <c r="F1016" s="3"/>
      <c r="G1016" s="32"/>
      <c r="H1016" s="32"/>
      <c r="I1016" s="32"/>
      <c r="J1016" s="32"/>
      <c r="K1016" s="3"/>
      <c r="L1016" s="3"/>
      <c r="M1016" s="3"/>
    </row>
    <row r="1017" spans="4:13" ht="18" customHeight="1" x14ac:dyDescent="0.25">
      <c r="D1017" s="3"/>
      <c r="F1017" s="3"/>
      <c r="G1017" s="32"/>
      <c r="H1017" s="32"/>
      <c r="I1017" s="32"/>
      <c r="J1017" s="32"/>
      <c r="K1017" s="3"/>
      <c r="L1017" s="3"/>
      <c r="M1017" s="3"/>
    </row>
    <row r="1018" spans="4:13" ht="18" customHeight="1" x14ac:dyDescent="0.25">
      <c r="D1018" s="3"/>
      <c r="F1018" s="3"/>
      <c r="G1018" s="32"/>
      <c r="H1018" s="32"/>
      <c r="I1018" s="32"/>
      <c r="J1018" s="32"/>
      <c r="K1018" s="3"/>
      <c r="L1018" s="3"/>
      <c r="M1018" s="3"/>
    </row>
    <row r="1019" spans="4:13" ht="18" customHeight="1" x14ac:dyDescent="0.25">
      <c r="D1019" s="3"/>
      <c r="F1019" s="3"/>
      <c r="G1019" s="32"/>
      <c r="H1019" s="32"/>
      <c r="I1019" s="32"/>
      <c r="J1019" s="32"/>
      <c r="K1019" s="3"/>
      <c r="L1019" s="3"/>
      <c r="M1019" s="3"/>
    </row>
    <row r="1020" spans="4:13" ht="18" customHeight="1" x14ac:dyDescent="0.25">
      <c r="D1020" s="3"/>
      <c r="F1020" s="3"/>
      <c r="G1020" s="32"/>
      <c r="H1020" s="32"/>
      <c r="I1020" s="32"/>
      <c r="J1020" s="32"/>
      <c r="K1020" s="3"/>
      <c r="L1020" s="3"/>
      <c r="M1020" s="3"/>
    </row>
    <row r="1021" spans="4:13" ht="18" customHeight="1" x14ac:dyDescent="0.25">
      <c r="D1021" s="3"/>
      <c r="F1021" s="3"/>
      <c r="G1021" s="32"/>
      <c r="H1021" s="32"/>
      <c r="I1021" s="32"/>
      <c r="J1021" s="32"/>
      <c r="K1021" s="3"/>
      <c r="L1021" s="3"/>
      <c r="M1021" s="3"/>
    </row>
    <row r="1022" spans="4:13" ht="18" customHeight="1" x14ac:dyDescent="0.25">
      <c r="D1022" s="3"/>
      <c r="F1022" s="3"/>
      <c r="G1022" s="32"/>
      <c r="H1022" s="32"/>
      <c r="I1022" s="32"/>
      <c r="J1022" s="32"/>
      <c r="K1022" s="3"/>
      <c r="L1022" s="3"/>
      <c r="M1022" s="3"/>
    </row>
    <row r="1023" spans="4:13" ht="18" customHeight="1" x14ac:dyDescent="0.25">
      <c r="D1023" s="3"/>
      <c r="F1023" s="3"/>
      <c r="G1023" s="32"/>
      <c r="H1023" s="32"/>
      <c r="I1023" s="32"/>
      <c r="J1023" s="32"/>
      <c r="K1023" s="3"/>
      <c r="L1023" s="3"/>
      <c r="M1023" s="3"/>
    </row>
    <row r="1024" spans="4:13" ht="18" customHeight="1" x14ac:dyDescent="0.25">
      <c r="D1024" s="3"/>
      <c r="F1024" s="3"/>
      <c r="G1024" s="32"/>
      <c r="H1024" s="32"/>
      <c r="I1024" s="32"/>
      <c r="J1024" s="32"/>
      <c r="K1024" s="3"/>
      <c r="L1024" s="3"/>
      <c r="M1024" s="3"/>
    </row>
    <row r="1025" spans="4:13" ht="18" customHeight="1" x14ac:dyDescent="0.25">
      <c r="D1025" s="3"/>
      <c r="F1025" s="3"/>
      <c r="G1025" s="32"/>
      <c r="H1025" s="32"/>
      <c r="I1025" s="32"/>
      <c r="J1025" s="32"/>
      <c r="K1025" s="3"/>
      <c r="L1025" s="3"/>
      <c r="M1025" s="3"/>
    </row>
    <row r="1026" spans="4:13" ht="18" customHeight="1" x14ac:dyDescent="0.25">
      <c r="D1026" s="3"/>
      <c r="F1026" s="3"/>
      <c r="G1026" s="32"/>
      <c r="H1026" s="32"/>
      <c r="I1026" s="32"/>
      <c r="J1026" s="32"/>
      <c r="K1026" s="3"/>
      <c r="L1026" s="3"/>
      <c r="M1026" s="3"/>
    </row>
    <row r="1027" spans="4:13" ht="18" customHeight="1" x14ac:dyDescent="0.25">
      <c r="D1027" s="3"/>
      <c r="F1027" s="3"/>
      <c r="G1027" s="32"/>
      <c r="H1027" s="32"/>
      <c r="I1027" s="32"/>
      <c r="J1027" s="32"/>
      <c r="K1027" s="3"/>
      <c r="L1027" s="3"/>
      <c r="M1027" s="3"/>
    </row>
    <row r="1028" spans="4:13" ht="18" customHeight="1" x14ac:dyDescent="0.25">
      <c r="D1028" s="3"/>
      <c r="F1028" s="3"/>
      <c r="G1028" s="32"/>
      <c r="H1028" s="32"/>
      <c r="I1028" s="32"/>
      <c r="J1028" s="32"/>
      <c r="K1028" s="3"/>
      <c r="L1028" s="3"/>
      <c r="M1028" s="3"/>
    </row>
    <row r="1029" spans="4:13" ht="18" customHeight="1" x14ac:dyDescent="0.25">
      <c r="D1029" s="3"/>
      <c r="F1029" s="3"/>
      <c r="G1029" s="32"/>
      <c r="H1029" s="32"/>
      <c r="I1029" s="32"/>
      <c r="J1029" s="32"/>
      <c r="K1029" s="3"/>
      <c r="L1029" s="3"/>
      <c r="M1029" s="3"/>
    </row>
    <row r="1030" spans="4:13" ht="18" customHeight="1" x14ac:dyDescent="0.25">
      <c r="D1030" s="3"/>
      <c r="F1030" s="3"/>
      <c r="G1030" s="32"/>
      <c r="H1030" s="32"/>
      <c r="I1030" s="32"/>
      <c r="J1030" s="32"/>
      <c r="K1030" s="3"/>
      <c r="L1030" s="3"/>
      <c r="M1030" s="3"/>
    </row>
    <row r="1031" spans="4:13" ht="18" customHeight="1" x14ac:dyDescent="0.25">
      <c r="D1031" s="3"/>
      <c r="F1031" s="3"/>
      <c r="G1031" s="32"/>
      <c r="H1031" s="32"/>
      <c r="I1031" s="32"/>
      <c r="J1031" s="32"/>
      <c r="K1031" s="3"/>
      <c r="L1031" s="3"/>
      <c r="M1031" s="3"/>
    </row>
    <row r="1032" spans="4:13" ht="18" customHeight="1" x14ac:dyDescent="0.25">
      <c r="D1032" s="3"/>
      <c r="F1032" s="3"/>
      <c r="G1032" s="32"/>
      <c r="H1032" s="32"/>
      <c r="I1032" s="32"/>
      <c r="J1032" s="32"/>
      <c r="K1032" s="3"/>
      <c r="L1032" s="3"/>
      <c r="M1032" s="3"/>
    </row>
    <row r="1033" spans="4:13" ht="18" customHeight="1" x14ac:dyDescent="0.25">
      <c r="D1033" s="3"/>
      <c r="F1033" s="3"/>
      <c r="G1033" s="32"/>
      <c r="H1033" s="32"/>
      <c r="I1033" s="32"/>
      <c r="J1033" s="32"/>
      <c r="K1033" s="3"/>
      <c r="L1033" s="3"/>
      <c r="M1033" s="3"/>
    </row>
    <row r="1034" spans="4:13" ht="18" customHeight="1" x14ac:dyDescent="0.25">
      <c r="D1034" s="3"/>
      <c r="F1034" s="3"/>
      <c r="G1034" s="32"/>
      <c r="H1034" s="32"/>
      <c r="I1034" s="32"/>
      <c r="J1034" s="32"/>
      <c r="K1034" s="3"/>
      <c r="L1034" s="3"/>
      <c r="M1034" s="3"/>
    </row>
    <row r="1035" spans="4:13" ht="18" customHeight="1" x14ac:dyDescent="0.25">
      <c r="D1035" s="3"/>
      <c r="F1035" s="3"/>
      <c r="G1035" s="32"/>
      <c r="H1035" s="32"/>
      <c r="I1035" s="32"/>
      <c r="J1035" s="32"/>
      <c r="K1035" s="3"/>
      <c r="L1035" s="3"/>
      <c r="M1035" s="3"/>
    </row>
    <row r="1036" spans="4:13" ht="18" customHeight="1" x14ac:dyDescent="0.25">
      <c r="D1036" s="3"/>
      <c r="F1036" s="3"/>
      <c r="G1036" s="32"/>
      <c r="H1036" s="32"/>
      <c r="I1036" s="32"/>
      <c r="J1036" s="32"/>
      <c r="K1036" s="3"/>
      <c r="L1036" s="3"/>
      <c r="M1036" s="3"/>
    </row>
    <row r="1037" spans="4:13" ht="18" customHeight="1" x14ac:dyDescent="0.25">
      <c r="D1037" s="3"/>
      <c r="F1037" s="3"/>
      <c r="G1037" s="32"/>
      <c r="H1037" s="32"/>
      <c r="I1037" s="32"/>
      <c r="J1037" s="32"/>
      <c r="K1037" s="3"/>
      <c r="L1037" s="3"/>
      <c r="M1037" s="3"/>
    </row>
    <row r="1038" spans="4:13" ht="18" customHeight="1" x14ac:dyDescent="0.25">
      <c r="D1038" s="3"/>
      <c r="F1038" s="3"/>
      <c r="G1038" s="32"/>
      <c r="H1038" s="32"/>
      <c r="I1038" s="32"/>
      <c r="J1038" s="32"/>
      <c r="K1038" s="3"/>
      <c r="L1038" s="3"/>
      <c r="M1038" s="3"/>
    </row>
    <row r="1039" spans="4:13" ht="18" customHeight="1" x14ac:dyDescent="0.25">
      <c r="D1039" s="3"/>
      <c r="F1039" s="3"/>
      <c r="G1039" s="32"/>
      <c r="H1039" s="32"/>
      <c r="I1039" s="32"/>
      <c r="J1039" s="32"/>
      <c r="K1039" s="3"/>
      <c r="L1039" s="3"/>
      <c r="M1039" s="3"/>
    </row>
    <row r="1040" spans="4:13" ht="18" customHeight="1" x14ac:dyDescent="0.25">
      <c r="D1040" s="3"/>
      <c r="F1040" s="3"/>
      <c r="G1040" s="32"/>
      <c r="H1040" s="32"/>
      <c r="I1040" s="32"/>
      <c r="J1040" s="32"/>
      <c r="K1040" s="3"/>
      <c r="L1040" s="3"/>
      <c r="M1040" s="3"/>
    </row>
    <row r="1041" spans="4:13" ht="18" customHeight="1" x14ac:dyDescent="0.25">
      <c r="D1041" s="3"/>
      <c r="F1041" s="3"/>
      <c r="G1041" s="32"/>
      <c r="H1041" s="32"/>
      <c r="I1041" s="32"/>
      <c r="J1041" s="32"/>
      <c r="K1041" s="3"/>
      <c r="L1041" s="3"/>
      <c r="M1041" s="3"/>
    </row>
    <row r="1042" spans="4:13" ht="18" customHeight="1" x14ac:dyDescent="0.25">
      <c r="D1042" s="3"/>
      <c r="F1042" s="3"/>
      <c r="G1042" s="32"/>
      <c r="H1042" s="32"/>
      <c r="I1042" s="32"/>
      <c r="J1042" s="32"/>
      <c r="K1042" s="3"/>
      <c r="L1042" s="3"/>
      <c r="M1042" s="3"/>
    </row>
    <row r="1043" spans="4:13" ht="18" customHeight="1" x14ac:dyDescent="0.25">
      <c r="D1043" s="3"/>
      <c r="F1043" s="3"/>
      <c r="G1043" s="32"/>
      <c r="H1043" s="32"/>
      <c r="I1043" s="32"/>
      <c r="J1043" s="32"/>
      <c r="K1043" s="3"/>
      <c r="L1043" s="3"/>
      <c r="M1043" s="3"/>
    </row>
    <row r="1044" spans="4:13" ht="18" customHeight="1" x14ac:dyDescent="0.25">
      <c r="D1044" s="3"/>
      <c r="F1044" s="3"/>
      <c r="G1044" s="32"/>
      <c r="H1044" s="32"/>
      <c r="I1044" s="32"/>
      <c r="J1044" s="32"/>
      <c r="K1044" s="3"/>
      <c r="L1044" s="3"/>
      <c r="M1044" s="3"/>
    </row>
    <row r="1045" spans="4:13" ht="18" customHeight="1" x14ac:dyDescent="0.25">
      <c r="D1045" s="3"/>
      <c r="F1045" s="3"/>
      <c r="G1045" s="32"/>
      <c r="H1045" s="32"/>
      <c r="I1045" s="32"/>
      <c r="J1045" s="32"/>
      <c r="K1045" s="3"/>
      <c r="L1045" s="3"/>
      <c r="M1045" s="3"/>
    </row>
    <row r="1046" spans="4:13" ht="18" customHeight="1" x14ac:dyDescent="0.25">
      <c r="D1046" s="3"/>
      <c r="F1046" s="3"/>
      <c r="G1046" s="32"/>
      <c r="H1046" s="32"/>
      <c r="I1046" s="32"/>
      <c r="J1046" s="32"/>
      <c r="K1046" s="3"/>
      <c r="L1046" s="3"/>
      <c r="M1046" s="3"/>
    </row>
    <row r="1047" spans="4:13" ht="18" customHeight="1" x14ac:dyDescent="0.25">
      <c r="D1047" s="3"/>
      <c r="F1047" s="3"/>
      <c r="G1047" s="32"/>
      <c r="H1047" s="32"/>
      <c r="I1047" s="32"/>
      <c r="J1047" s="32"/>
      <c r="K1047" s="3"/>
      <c r="L1047" s="3"/>
      <c r="M1047" s="3"/>
    </row>
    <row r="1048" spans="4:13" ht="18" customHeight="1" x14ac:dyDescent="0.25">
      <c r="D1048" s="3"/>
      <c r="F1048" s="3"/>
      <c r="G1048" s="32"/>
      <c r="H1048" s="32"/>
      <c r="I1048" s="32"/>
      <c r="J1048" s="32"/>
      <c r="K1048" s="3"/>
      <c r="L1048" s="3"/>
      <c r="M1048" s="3"/>
    </row>
    <row r="1049" spans="4:13" ht="18" customHeight="1" x14ac:dyDescent="0.25">
      <c r="D1049" s="3"/>
      <c r="F1049" s="3"/>
      <c r="G1049" s="32"/>
      <c r="H1049" s="32"/>
      <c r="I1049" s="32"/>
      <c r="J1049" s="32"/>
      <c r="K1049" s="3"/>
      <c r="L1049" s="3"/>
      <c r="M1049" s="3"/>
    </row>
    <row r="1050" spans="4:13" ht="18" customHeight="1" x14ac:dyDescent="0.25">
      <c r="D1050" s="3"/>
      <c r="F1050" s="3"/>
      <c r="G1050" s="32"/>
      <c r="H1050" s="32"/>
      <c r="I1050" s="32"/>
      <c r="J1050" s="32"/>
      <c r="K1050" s="3"/>
      <c r="L1050" s="3"/>
      <c r="M1050" s="3"/>
    </row>
    <row r="1051" spans="4:13" ht="18" customHeight="1" x14ac:dyDescent="0.25">
      <c r="D1051" s="3"/>
      <c r="F1051" s="3"/>
      <c r="G1051" s="32"/>
      <c r="H1051" s="32"/>
      <c r="I1051" s="32"/>
      <c r="J1051" s="32"/>
      <c r="K1051" s="3"/>
      <c r="L1051" s="3"/>
      <c r="M1051" s="3"/>
    </row>
    <row r="1052" spans="4:13" ht="18" customHeight="1" x14ac:dyDescent="0.25">
      <c r="D1052" s="3"/>
      <c r="F1052" s="3"/>
      <c r="G1052" s="32"/>
      <c r="H1052" s="32"/>
      <c r="I1052" s="32"/>
      <c r="J1052" s="32"/>
      <c r="K1052" s="3"/>
      <c r="L1052" s="3"/>
      <c r="M1052" s="3"/>
    </row>
    <row r="1053" spans="4:13" ht="18" customHeight="1" x14ac:dyDescent="0.25">
      <c r="D1053" s="3"/>
      <c r="F1053" s="3"/>
      <c r="G1053" s="32"/>
      <c r="H1053" s="32"/>
      <c r="I1053" s="32"/>
      <c r="J1053" s="32"/>
      <c r="K1053" s="3"/>
      <c r="L1053" s="3"/>
      <c r="M1053" s="3"/>
    </row>
    <row r="1054" spans="4:13" ht="18" customHeight="1" x14ac:dyDescent="0.25">
      <c r="D1054" s="3"/>
      <c r="F1054" s="3"/>
      <c r="G1054" s="32"/>
      <c r="H1054" s="32"/>
      <c r="I1054" s="32"/>
      <c r="J1054" s="32"/>
      <c r="K1054" s="3"/>
      <c r="L1054" s="3"/>
      <c r="M1054" s="3"/>
    </row>
    <row r="1055" spans="4:13" ht="18" customHeight="1" x14ac:dyDescent="0.25">
      <c r="D1055" s="3"/>
      <c r="F1055" s="3"/>
      <c r="G1055" s="32"/>
      <c r="H1055" s="32"/>
      <c r="I1055" s="32"/>
      <c r="J1055" s="32"/>
      <c r="K1055" s="3"/>
      <c r="L1055" s="3"/>
      <c r="M1055" s="3"/>
    </row>
    <row r="1056" spans="4:13" ht="18" customHeight="1" x14ac:dyDescent="0.25">
      <c r="D1056" s="3"/>
      <c r="F1056" s="3"/>
      <c r="G1056" s="32"/>
      <c r="H1056" s="32"/>
      <c r="I1056" s="32"/>
      <c r="J1056" s="32"/>
      <c r="K1056" s="3"/>
      <c r="L1056" s="3"/>
      <c r="M1056" s="3"/>
    </row>
    <row r="1057" spans="4:13" ht="18" customHeight="1" x14ac:dyDescent="0.25">
      <c r="D1057" s="3"/>
      <c r="F1057" s="3"/>
      <c r="G1057" s="32"/>
      <c r="H1057" s="32"/>
      <c r="I1057" s="32"/>
      <c r="J1057" s="32"/>
      <c r="K1057" s="3"/>
      <c r="L1057" s="3"/>
      <c r="M1057" s="3"/>
    </row>
    <row r="1058" spans="4:13" ht="18" customHeight="1" x14ac:dyDescent="0.25">
      <c r="D1058" s="3"/>
      <c r="F1058" s="3"/>
      <c r="G1058" s="32"/>
      <c r="H1058" s="32"/>
      <c r="I1058" s="32"/>
      <c r="J1058" s="32"/>
      <c r="K1058" s="3"/>
      <c r="L1058" s="3"/>
      <c r="M1058" s="3"/>
    </row>
    <row r="1059" spans="4:13" ht="18" customHeight="1" x14ac:dyDescent="0.25">
      <c r="D1059" s="3"/>
      <c r="F1059" s="3"/>
      <c r="G1059" s="32"/>
      <c r="H1059" s="32"/>
      <c r="I1059" s="32"/>
      <c r="J1059" s="32"/>
      <c r="K1059" s="3"/>
      <c r="L1059" s="3"/>
      <c r="M1059" s="3"/>
    </row>
    <row r="1060" spans="4:13" ht="18" customHeight="1" x14ac:dyDescent="0.25">
      <c r="D1060" s="3"/>
      <c r="F1060" s="3"/>
      <c r="G1060" s="32"/>
      <c r="H1060" s="32"/>
      <c r="I1060" s="32"/>
      <c r="J1060" s="32"/>
      <c r="K1060" s="3"/>
      <c r="L1060" s="3"/>
      <c r="M1060" s="3"/>
    </row>
    <row r="1061" spans="4:13" ht="18" customHeight="1" x14ac:dyDescent="0.25">
      <c r="D1061" s="3"/>
      <c r="F1061" s="3"/>
      <c r="G1061" s="32"/>
      <c r="H1061" s="32"/>
      <c r="I1061" s="32"/>
      <c r="J1061" s="32"/>
      <c r="K1061" s="3"/>
      <c r="L1061" s="3"/>
      <c r="M1061" s="3"/>
    </row>
    <row r="1062" spans="4:13" ht="18" customHeight="1" x14ac:dyDescent="0.25">
      <c r="D1062" s="3"/>
      <c r="F1062" s="3"/>
      <c r="G1062" s="32"/>
      <c r="H1062" s="32"/>
      <c r="I1062" s="32"/>
      <c r="J1062" s="32"/>
      <c r="K1062" s="3"/>
      <c r="L1062" s="3"/>
      <c r="M1062" s="3"/>
    </row>
    <row r="1063" spans="4:13" ht="18" customHeight="1" x14ac:dyDescent="0.25">
      <c r="D1063" s="3"/>
      <c r="F1063" s="3"/>
      <c r="G1063" s="32"/>
      <c r="H1063" s="32"/>
      <c r="I1063" s="32"/>
      <c r="J1063" s="32"/>
      <c r="K1063" s="3"/>
      <c r="L1063" s="3"/>
      <c r="M1063" s="3"/>
    </row>
    <row r="1064" spans="4:13" ht="18" customHeight="1" x14ac:dyDescent="0.25">
      <c r="D1064" s="3"/>
      <c r="F1064" s="3"/>
      <c r="G1064" s="32"/>
      <c r="H1064" s="32"/>
      <c r="I1064" s="32"/>
      <c r="J1064" s="32"/>
      <c r="K1064" s="3"/>
      <c r="L1064" s="3"/>
      <c r="M1064" s="3"/>
    </row>
    <row r="1065" spans="4:13" ht="18" customHeight="1" x14ac:dyDescent="0.25">
      <c r="D1065" s="3"/>
      <c r="F1065" s="3"/>
      <c r="G1065" s="32"/>
      <c r="H1065" s="32"/>
      <c r="I1065" s="32"/>
      <c r="J1065" s="32"/>
      <c r="K1065" s="3"/>
      <c r="L1065" s="3"/>
      <c r="M1065" s="3"/>
    </row>
    <row r="1066" spans="4:13" ht="18" customHeight="1" x14ac:dyDescent="0.25">
      <c r="D1066" s="3"/>
      <c r="F1066" s="3"/>
      <c r="G1066" s="32"/>
      <c r="H1066" s="32"/>
      <c r="I1066" s="32"/>
      <c r="J1066" s="32"/>
      <c r="K1066" s="3"/>
      <c r="L1066" s="3"/>
      <c r="M1066" s="3"/>
    </row>
    <row r="1067" spans="4:13" ht="18" customHeight="1" x14ac:dyDescent="0.25">
      <c r="D1067" s="3"/>
      <c r="F1067" s="3"/>
      <c r="G1067" s="32"/>
      <c r="H1067" s="32"/>
      <c r="I1067" s="32"/>
      <c r="J1067" s="32"/>
      <c r="K1067" s="3"/>
      <c r="L1067" s="3"/>
      <c r="M1067" s="3"/>
    </row>
    <row r="1068" spans="4:13" ht="18" customHeight="1" x14ac:dyDescent="0.25">
      <c r="D1068" s="3"/>
      <c r="F1068" s="3"/>
      <c r="G1068" s="32"/>
      <c r="H1068" s="32"/>
      <c r="I1068" s="32"/>
      <c r="J1068" s="32"/>
      <c r="K1068" s="3"/>
      <c r="L1068" s="3"/>
      <c r="M1068" s="3"/>
    </row>
    <row r="1069" spans="4:13" ht="18" customHeight="1" x14ac:dyDescent="0.25">
      <c r="D1069" s="3"/>
      <c r="F1069" s="3"/>
      <c r="G1069" s="32"/>
      <c r="H1069" s="32"/>
      <c r="I1069" s="32"/>
      <c r="J1069" s="32"/>
      <c r="K1069" s="3"/>
      <c r="L1069" s="3"/>
      <c r="M1069" s="3"/>
    </row>
    <row r="1070" spans="4:13" ht="18" customHeight="1" x14ac:dyDescent="0.25">
      <c r="D1070" s="3"/>
      <c r="F1070" s="3"/>
      <c r="G1070" s="32"/>
      <c r="H1070" s="32"/>
      <c r="I1070" s="32"/>
      <c r="J1070" s="32"/>
      <c r="K1070" s="3"/>
      <c r="L1070" s="3"/>
      <c r="M1070" s="3"/>
    </row>
    <row r="1071" spans="4:13" ht="18" customHeight="1" x14ac:dyDescent="0.25">
      <c r="D1071" s="3"/>
      <c r="F1071" s="3"/>
      <c r="G1071" s="32"/>
      <c r="H1071" s="32"/>
      <c r="I1071" s="32"/>
      <c r="J1071" s="32"/>
      <c r="K1071" s="3"/>
      <c r="L1071" s="3"/>
      <c r="M1071" s="3"/>
    </row>
    <row r="1072" spans="4:13" ht="18" customHeight="1" x14ac:dyDescent="0.25">
      <c r="D1072" s="3"/>
      <c r="F1072" s="3"/>
      <c r="G1072" s="32"/>
      <c r="H1072" s="32"/>
      <c r="I1072" s="32"/>
      <c r="J1072" s="32"/>
      <c r="K1072" s="3"/>
      <c r="L1072" s="3"/>
      <c r="M1072" s="3"/>
    </row>
    <row r="1073" spans="4:13" ht="18" customHeight="1" x14ac:dyDescent="0.25">
      <c r="D1073" s="3"/>
      <c r="F1073" s="3"/>
      <c r="G1073" s="32"/>
      <c r="H1073" s="32"/>
      <c r="I1073" s="32"/>
      <c r="J1073" s="32"/>
      <c r="K1073" s="3"/>
      <c r="L1073" s="3"/>
      <c r="M1073" s="3"/>
    </row>
    <row r="1074" spans="4:13" ht="18" customHeight="1" x14ac:dyDescent="0.25">
      <c r="D1074" s="3"/>
      <c r="F1074" s="3"/>
      <c r="G1074" s="32"/>
      <c r="H1074" s="32"/>
      <c r="I1074" s="32"/>
      <c r="J1074" s="32"/>
      <c r="K1074" s="3"/>
      <c r="L1074" s="3"/>
      <c r="M1074" s="3"/>
    </row>
    <row r="1075" spans="4:13" ht="18" customHeight="1" x14ac:dyDescent="0.25">
      <c r="D1075" s="3"/>
      <c r="F1075" s="3"/>
      <c r="G1075" s="32"/>
      <c r="H1075" s="32"/>
      <c r="I1075" s="32"/>
      <c r="J1075" s="32"/>
      <c r="K1075" s="3"/>
      <c r="L1075" s="3"/>
      <c r="M1075" s="3"/>
    </row>
    <row r="1076" spans="4:13" ht="18" customHeight="1" x14ac:dyDescent="0.25">
      <c r="D1076" s="3"/>
      <c r="F1076" s="3"/>
      <c r="G1076" s="32"/>
      <c r="H1076" s="32"/>
      <c r="I1076" s="32"/>
      <c r="J1076" s="32"/>
      <c r="K1076" s="3"/>
      <c r="L1076" s="3"/>
      <c r="M1076" s="3"/>
    </row>
    <row r="1077" spans="4:13" ht="18" customHeight="1" x14ac:dyDescent="0.25">
      <c r="D1077" s="3"/>
      <c r="F1077" s="3"/>
      <c r="G1077" s="32"/>
      <c r="H1077" s="32"/>
      <c r="I1077" s="32"/>
      <c r="J1077" s="32"/>
      <c r="K1077" s="3"/>
      <c r="L1077" s="3"/>
      <c r="M1077" s="3"/>
    </row>
    <row r="1078" spans="4:13" ht="18" customHeight="1" x14ac:dyDescent="0.25">
      <c r="D1078" s="3"/>
      <c r="F1078" s="3"/>
      <c r="G1078" s="32"/>
      <c r="H1078" s="32"/>
      <c r="I1078" s="32"/>
      <c r="J1078" s="32"/>
      <c r="K1078" s="3"/>
      <c r="L1078" s="3"/>
      <c r="M1078" s="3"/>
    </row>
    <row r="1079" spans="4:13" ht="18" customHeight="1" x14ac:dyDescent="0.25">
      <c r="D1079" s="3"/>
      <c r="F1079" s="3"/>
      <c r="G1079" s="32"/>
      <c r="H1079" s="32"/>
      <c r="I1079" s="32"/>
      <c r="J1079" s="32"/>
      <c r="K1079" s="3"/>
      <c r="L1079" s="3"/>
      <c r="M1079" s="3"/>
    </row>
    <row r="1080" spans="4:13" ht="18" customHeight="1" x14ac:dyDescent="0.25">
      <c r="D1080" s="3"/>
      <c r="F1080" s="3"/>
      <c r="G1080" s="32"/>
      <c r="H1080" s="32"/>
      <c r="I1080" s="32"/>
      <c r="J1080" s="32"/>
      <c r="K1080" s="3"/>
      <c r="L1080" s="3"/>
      <c r="M1080" s="3"/>
    </row>
    <row r="1081" spans="4:13" ht="18" customHeight="1" x14ac:dyDescent="0.25">
      <c r="D1081" s="3"/>
      <c r="F1081" s="3"/>
      <c r="G1081" s="32"/>
      <c r="H1081" s="32"/>
      <c r="I1081" s="32"/>
      <c r="J1081" s="32"/>
      <c r="K1081" s="3"/>
      <c r="L1081" s="3"/>
      <c r="M1081" s="3"/>
    </row>
    <row r="1082" spans="4:13" ht="18" customHeight="1" x14ac:dyDescent="0.25">
      <c r="D1082" s="3"/>
      <c r="F1082" s="3"/>
      <c r="G1082" s="32"/>
      <c r="H1082" s="32"/>
      <c r="I1082" s="32"/>
      <c r="J1082" s="32"/>
      <c r="K1082" s="3"/>
      <c r="L1082" s="3"/>
      <c r="M1082" s="3"/>
    </row>
    <row r="1083" spans="4:13" ht="18" customHeight="1" x14ac:dyDescent="0.25">
      <c r="D1083" s="3"/>
      <c r="F1083" s="3"/>
      <c r="G1083" s="32"/>
      <c r="H1083" s="32"/>
      <c r="I1083" s="32"/>
      <c r="J1083" s="32"/>
      <c r="K1083" s="3"/>
      <c r="L1083" s="3"/>
      <c r="M1083" s="3"/>
    </row>
    <row r="1084" spans="4:13" ht="18" customHeight="1" x14ac:dyDescent="0.25">
      <c r="D1084" s="3"/>
      <c r="F1084" s="3"/>
      <c r="G1084" s="32"/>
      <c r="H1084" s="32"/>
      <c r="I1084" s="32"/>
      <c r="J1084" s="32"/>
      <c r="K1084" s="3"/>
      <c r="L1084" s="3"/>
      <c r="M1084" s="3"/>
    </row>
    <row r="1085" spans="4:13" ht="18" customHeight="1" x14ac:dyDescent="0.25">
      <c r="D1085" s="3"/>
      <c r="F1085" s="3"/>
      <c r="G1085" s="32"/>
      <c r="H1085" s="32"/>
      <c r="I1085" s="32"/>
      <c r="J1085" s="32"/>
      <c r="K1085" s="3"/>
      <c r="L1085" s="3"/>
      <c r="M1085" s="3"/>
    </row>
    <row r="1086" spans="4:13" ht="18" customHeight="1" x14ac:dyDescent="0.25">
      <c r="D1086" s="3"/>
      <c r="F1086" s="3"/>
      <c r="G1086" s="32"/>
      <c r="H1086" s="32"/>
      <c r="I1086" s="32"/>
      <c r="J1086" s="32"/>
      <c r="K1086" s="3"/>
      <c r="L1086" s="3"/>
      <c r="M1086" s="3"/>
    </row>
    <row r="1087" spans="4:13" ht="18" customHeight="1" x14ac:dyDescent="0.25">
      <c r="D1087" s="3"/>
      <c r="F1087" s="3"/>
      <c r="G1087" s="32"/>
      <c r="H1087" s="32"/>
      <c r="I1087" s="32"/>
      <c r="J1087" s="32"/>
      <c r="K1087" s="3"/>
      <c r="L1087" s="3"/>
      <c r="M1087" s="3"/>
    </row>
    <row r="1088" spans="4:13" ht="18" customHeight="1" x14ac:dyDescent="0.25">
      <c r="D1088" s="3"/>
      <c r="F1088" s="3"/>
      <c r="G1088" s="32"/>
      <c r="H1088" s="32"/>
      <c r="I1088" s="32"/>
      <c r="J1088" s="32"/>
      <c r="K1088" s="3"/>
      <c r="L1088" s="3"/>
      <c r="M1088" s="3"/>
    </row>
    <row r="1089" spans="4:13" ht="18" customHeight="1" x14ac:dyDescent="0.25">
      <c r="D1089" s="3"/>
      <c r="F1089" s="3"/>
      <c r="G1089" s="32"/>
      <c r="H1089" s="32"/>
      <c r="I1089" s="32"/>
      <c r="J1089" s="32"/>
      <c r="K1089" s="3"/>
      <c r="L1089" s="3"/>
      <c r="M1089" s="3"/>
    </row>
    <row r="1090" spans="4:13" ht="18" customHeight="1" x14ac:dyDescent="0.25">
      <c r="D1090" s="3"/>
      <c r="F1090" s="3"/>
      <c r="G1090" s="32"/>
      <c r="H1090" s="32"/>
      <c r="I1090" s="32"/>
      <c r="J1090" s="32"/>
      <c r="K1090" s="3"/>
      <c r="L1090" s="3"/>
      <c r="M1090" s="3"/>
    </row>
    <row r="1091" spans="4:13" ht="18" customHeight="1" x14ac:dyDescent="0.25">
      <c r="D1091" s="3"/>
      <c r="F1091" s="3"/>
      <c r="G1091" s="32"/>
      <c r="H1091" s="32"/>
      <c r="I1091" s="32"/>
      <c r="J1091" s="32"/>
      <c r="K1091" s="3"/>
      <c r="L1091" s="3"/>
      <c r="M1091" s="3"/>
    </row>
    <row r="1092" spans="4:13" ht="18" customHeight="1" x14ac:dyDescent="0.25">
      <c r="D1092" s="3"/>
      <c r="F1092" s="3"/>
      <c r="G1092" s="32"/>
      <c r="H1092" s="32"/>
      <c r="I1092" s="32"/>
      <c r="J1092" s="32"/>
      <c r="K1092" s="3"/>
      <c r="L1092" s="3"/>
      <c r="M1092" s="3"/>
    </row>
    <row r="1093" spans="4:13" ht="18" customHeight="1" x14ac:dyDescent="0.25">
      <c r="D1093" s="3"/>
      <c r="F1093" s="3"/>
      <c r="G1093" s="32"/>
      <c r="H1093" s="32"/>
      <c r="I1093" s="32"/>
      <c r="J1093" s="32"/>
      <c r="K1093" s="3"/>
      <c r="L1093" s="3"/>
      <c r="M1093" s="3"/>
    </row>
    <row r="1094" spans="4:13" ht="18" customHeight="1" x14ac:dyDescent="0.25">
      <c r="D1094" s="3"/>
      <c r="F1094" s="3"/>
      <c r="G1094" s="32"/>
      <c r="H1094" s="32"/>
      <c r="I1094" s="32"/>
      <c r="J1094" s="32"/>
      <c r="K1094" s="3"/>
      <c r="L1094" s="3"/>
      <c r="M1094" s="3"/>
    </row>
    <row r="1095" spans="4:13" ht="18" customHeight="1" x14ac:dyDescent="0.25">
      <c r="D1095" s="3"/>
      <c r="F1095" s="3"/>
      <c r="G1095" s="32"/>
      <c r="H1095" s="32"/>
      <c r="I1095" s="32"/>
      <c r="J1095" s="32"/>
      <c r="K1095" s="3"/>
      <c r="L1095" s="3"/>
      <c r="M1095" s="3"/>
    </row>
    <row r="1096" spans="4:13" ht="18" customHeight="1" x14ac:dyDescent="0.25">
      <c r="D1096" s="3"/>
      <c r="F1096" s="3"/>
      <c r="G1096" s="32"/>
      <c r="H1096" s="32"/>
      <c r="I1096" s="32"/>
      <c r="J1096" s="32"/>
      <c r="K1096" s="3"/>
      <c r="L1096" s="3"/>
      <c r="M1096" s="3"/>
    </row>
    <row r="1097" spans="4:13" ht="18" customHeight="1" x14ac:dyDescent="0.25">
      <c r="D1097" s="3"/>
      <c r="F1097" s="3"/>
      <c r="G1097" s="32"/>
      <c r="H1097" s="32"/>
      <c r="I1097" s="32"/>
      <c r="J1097" s="32"/>
      <c r="K1097" s="3"/>
      <c r="L1097" s="3"/>
      <c r="M1097" s="3"/>
    </row>
    <row r="1098" spans="4:13" ht="18" customHeight="1" x14ac:dyDescent="0.25">
      <c r="D1098" s="3"/>
      <c r="F1098" s="3"/>
      <c r="G1098" s="32"/>
      <c r="H1098" s="32"/>
      <c r="I1098" s="32"/>
      <c r="J1098" s="32"/>
      <c r="K1098" s="3"/>
      <c r="L1098" s="3"/>
      <c r="M1098" s="3"/>
    </row>
    <row r="1099" spans="4:13" ht="18" customHeight="1" x14ac:dyDescent="0.25">
      <c r="D1099" s="3"/>
      <c r="F1099" s="3"/>
      <c r="G1099" s="32"/>
      <c r="H1099" s="32"/>
      <c r="I1099" s="32"/>
      <c r="J1099" s="32"/>
      <c r="K1099" s="3"/>
      <c r="L1099" s="3"/>
      <c r="M1099" s="3"/>
    </row>
    <row r="1100" spans="4:13" ht="18" customHeight="1" x14ac:dyDescent="0.25">
      <c r="D1100" s="3"/>
      <c r="F1100" s="3"/>
      <c r="G1100" s="32"/>
      <c r="H1100" s="32"/>
      <c r="I1100" s="32"/>
      <c r="J1100" s="32"/>
      <c r="K1100" s="3"/>
      <c r="L1100" s="3"/>
      <c r="M1100" s="3"/>
    </row>
    <row r="1101" spans="4:13" ht="18" customHeight="1" x14ac:dyDescent="0.25">
      <c r="D1101" s="3"/>
      <c r="F1101" s="3"/>
      <c r="G1101" s="32"/>
      <c r="H1101" s="32"/>
      <c r="I1101" s="32"/>
      <c r="J1101" s="32"/>
      <c r="K1101" s="3"/>
      <c r="L1101" s="3"/>
      <c r="M1101" s="3"/>
    </row>
    <row r="1102" spans="4:13" ht="18" customHeight="1" x14ac:dyDescent="0.25">
      <c r="D1102" s="3"/>
      <c r="F1102" s="3"/>
      <c r="G1102" s="32"/>
      <c r="H1102" s="32"/>
      <c r="I1102" s="32"/>
      <c r="J1102" s="32"/>
      <c r="K1102" s="3"/>
      <c r="L1102" s="3"/>
      <c r="M1102" s="3"/>
    </row>
    <row r="1103" spans="4:13" ht="18" customHeight="1" x14ac:dyDescent="0.25">
      <c r="D1103" s="3"/>
      <c r="F1103" s="3"/>
      <c r="G1103" s="32"/>
      <c r="H1103" s="32"/>
      <c r="I1103" s="32"/>
      <c r="J1103" s="32"/>
      <c r="K1103" s="3"/>
      <c r="L1103" s="3"/>
      <c r="M1103" s="3"/>
    </row>
    <row r="1104" spans="4:13" ht="18" customHeight="1" x14ac:dyDescent="0.25">
      <c r="D1104" s="3"/>
      <c r="F1104" s="3"/>
      <c r="G1104" s="32"/>
      <c r="H1104" s="32"/>
      <c r="I1104" s="32"/>
      <c r="J1104" s="32"/>
      <c r="K1104" s="3"/>
      <c r="L1104" s="3"/>
      <c r="M1104" s="3"/>
    </row>
    <row r="1105" spans="4:13" ht="18" customHeight="1" x14ac:dyDescent="0.25">
      <c r="D1105" s="3"/>
      <c r="F1105" s="3"/>
      <c r="G1105" s="32"/>
      <c r="H1105" s="32"/>
      <c r="I1105" s="32"/>
      <c r="J1105" s="32"/>
      <c r="K1105" s="3"/>
      <c r="L1105" s="3"/>
      <c r="M1105" s="3"/>
    </row>
    <row r="1106" spans="4:13" ht="18" customHeight="1" x14ac:dyDescent="0.25">
      <c r="D1106" s="3"/>
      <c r="F1106" s="3"/>
      <c r="G1106" s="32"/>
      <c r="H1106" s="32"/>
      <c r="I1106" s="32"/>
      <c r="J1106" s="32"/>
      <c r="K1106" s="3"/>
      <c r="L1106" s="3"/>
      <c r="M1106" s="3"/>
    </row>
    <row r="1107" spans="4:13" ht="18" customHeight="1" x14ac:dyDescent="0.25">
      <c r="D1107" s="3"/>
      <c r="F1107" s="3"/>
      <c r="G1107" s="32"/>
      <c r="H1107" s="32"/>
      <c r="I1107" s="32"/>
      <c r="J1107" s="32"/>
      <c r="K1107" s="3"/>
      <c r="L1107" s="3"/>
      <c r="M1107" s="3"/>
    </row>
    <row r="1108" spans="4:13" ht="18" customHeight="1" x14ac:dyDescent="0.25">
      <c r="D1108" s="3"/>
      <c r="F1108" s="3"/>
      <c r="G1108" s="32"/>
      <c r="H1108" s="32"/>
      <c r="I1108" s="32"/>
      <c r="J1108" s="32"/>
      <c r="K1108" s="3"/>
      <c r="L1108" s="3"/>
      <c r="M1108" s="3"/>
    </row>
    <row r="1109" spans="4:13" ht="18" customHeight="1" x14ac:dyDescent="0.25">
      <c r="D1109" s="3"/>
      <c r="F1109" s="3"/>
      <c r="G1109" s="32"/>
      <c r="H1109" s="32"/>
      <c r="I1109" s="32"/>
      <c r="J1109" s="32"/>
      <c r="K1109" s="3"/>
      <c r="L1109" s="3"/>
      <c r="M1109" s="3"/>
    </row>
    <row r="1110" spans="4:13" ht="18" customHeight="1" x14ac:dyDescent="0.25">
      <c r="D1110" s="3"/>
      <c r="F1110" s="3"/>
      <c r="G1110" s="32"/>
      <c r="H1110" s="32"/>
      <c r="I1110" s="32"/>
      <c r="J1110" s="32"/>
      <c r="K1110" s="3"/>
      <c r="L1110" s="3"/>
      <c r="M1110" s="3"/>
    </row>
    <row r="1111" spans="4:13" ht="18" customHeight="1" x14ac:dyDescent="0.25">
      <c r="D1111" s="3"/>
      <c r="F1111" s="3"/>
      <c r="G1111" s="32"/>
      <c r="H1111" s="32"/>
      <c r="I1111" s="32"/>
      <c r="J1111" s="32"/>
      <c r="K1111" s="3"/>
      <c r="L1111" s="3"/>
      <c r="M1111" s="3"/>
    </row>
    <row r="1112" spans="4:13" ht="18" customHeight="1" x14ac:dyDescent="0.25">
      <c r="D1112" s="3"/>
      <c r="F1112" s="3"/>
      <c r="G1112" s="32"/>
      <c r="H1112" s="32"/>
      <c r="I1112" s="32"/>
      <c r="J1112" s="32"/>
      <c r="K1112" s="3"/>
      <c r="L1112" s="3"/>
      <c r="M1112" s="3"/>
    </row>
    <row r="1113" spans="4:13" ht="18" customHeight="1" x14ac:dyDescent="0.25">
      <c r="D1113" s="3"/>
      <c r="F1113" s="3"/>
      <c r="G1113" s="32"/>
      <c r="H1113" s="32"/>
      <c r="I1113" s="32"/>
      <c r="J1113" s="32"/>
      <c r="K1113" s="3"/>
      <c r="L1113" s="3"/>
      <c r="M1113" s="3"/>
    </row>
    <row r="1114" spans="4:13" ht="18" customHeight="1" x14ac:dyDescent="0.25">
      <c r="D1114" s="3"/>
      <c r="F1114" s="3"/>
      <c r="G1114" s="32"/>
      <c r="H1114" s="32"/>
      <c r="I1114" s="32"/>
      <c r="J1114" s="32"/>
      <c r="K1114" s="3"/>
      <c r="L1114" s="3"/>
      <c r="M1114" s="3"/>
    </row>
    <row r="1115" spans="4:13" ht="18" customHeight="1" x14ac:dyDescent="0.25">
      <c r="D1115" s="3"/>
      <c r="F1115" s="3"/>
      <c r="G1115" s="32"/>
      <c r="H1115" s="32"/>
      <c r="I1115" s="32"/>
      <c r="J1115" s="32"/>
      <c r="K1115" s="3"/>
      <c r="L1115" s="3"/>
      <c r="M1115" s="3"/>
    </row>
  </sheetData>
  <mergeCells count="8">
    <mergeCell ref="K1:N1"/>
    <mergeCell ref="G1:J1"/>
    <mergeCell ref="A23:C23"/>
    <mergeCell ref="A36:C36"/>
    <mergeCell ref="A59:C59"/>
    <mergeCell ref="D1:F1"/>
    <mergeCell ref="A1:A2"/>
    <mergeCell ref="B1:B2"/>
  </mergeCells>
  <pageMargins left="0.7" right="0.7" top="0.75" bottom="0.75" header="0.3" footer="0.3"/>
  <pageSetup paperSize="9" scale="21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árok21">
    <tabColor rgb="FF00B050"/>
  </sheetPr>
  <dimension ref="A1:BC1250"/>
  <sheetViews>
    <sheetView showGridLines="0" workbookViewId="0">
      <pane ySplit="1" topLeftCell="A2" activePane="bottomLeft" state="frozen"/>
      <selection activeCell="AC1" sqref="AC1"/>
      <selection pane="bottomLeft"/>
    </sheetView>
  </sheetViews>
  <sheetFormatPr defaultRowHeight="15" x14ac:dyDescent="0.25"/>
  <cols>
    <col min="1" max="1" width="9.28515625" bestFit="1" customWidth="1"/>
    <col min="2" max="2" width="63.5703125" customWidth="1"/>
    <col min="4" max="5" width="9.140625" customWidth="1"/>
    <col min="6" max="6" width="10" bestFit="1" customWidth="1"/>
    <col min="7" max="7" width="10.5703125" bestFit="1" customWidth="1"/>
    <col min="8" max="8" width="10" bestFit="1" customWidth="1"/>
    <col min="9" max="9" width="10.5703125" bestFit="1" customWidth="1"/>
    <col min="10" max="10" width="10" bestFit="1" customWidth="1"/>
    <col min="11" max="11" width="10.28515625" bestFit="1" customWidth="1"/>
    <col min="12" max="13" width="10.140625" bestFit="1" customWidth="1"/>
    <col min="14" max="14" width="10" bestFit="1" customWidth="1"/>
    <col min="15" max="15" width="10.42578125" bestFit="1" customWidth="1"/>
    <col min="16" max="16" width="10.140625" bestFit="1" customWidth="1"/>
    <col min="17" max="17" width="10.5703125" bestFit="1" customWidth="1"/>
    <col min="18" max="18" width="11.42578125" bestFit="1" customWidth="1"/>
    <col min="19" max="21" width="11" bestFit="1" customWidth="1"/>
    <col min="22" max="22" width="11.140625" bestFit="1" customWidth="1"/>
    <col min="23" max="23" width="11" bestFit="1" customWidth="1"/>
    <col min="24" max="24" width="10.85546875" bestFit="1" customWidth="1"/>
    <col min="25" max="26" width="11" bestFit="1" customWidth="1"/>
    <col min="27" max="27" width="10.5703125" bestFit="1" customWidth="1"/>
    <col min="28" max="29" width="10.85546875" bestFit="1" customWidth="1"/>
    <col min="30" max="30" width="10.7109375" bestFit="1" customWidth="1"/>
    <col min="31" max="31" width="10.5703125" bestFit="1" customWidth="1"/>
    <col min="32" max="32" width="11" bestFit="1" customWidth="1"/>
    <col min="33" max="33" width="10.85546875" bestFit="1" customWidth="1"/>
    <col min="34" max="34" width="10.5703125" bestFit="1" customWidth="1"/>
    <col min="35" max="35" width="11.7109375" bestFit="1" customWidth="1"/>
    <col min="36" max="37" width="11" bestFit="1" customWidth="1"/>
    <col min="38" max="38" width="10.85546875" bestFit="1" customWidth="1"/>
    <col min="39" max="39" width="10.7109375" bestFit="1" customWidth="1"/>
    <col min="40" max="40" width="10.85546875" bestFit="1" customWidth="1"/>
    <col min="41" max="41" width="10.7109375" bestFit="1" customWidth="1"/>
    <col min="42" max="42" width="11" bestFit="1" customWidth="1"/>
    <col min="43" max="45" width="11.28515625" bestFit="1" customWidth="1"/>
    <col min="46" max="46" width="10.5703125" bestFit="1" customWidth="1"/>
    <col min="47" max="48" width="11.140625" bestFit="1" customWidth="1"/>
    <col min="49" max="49" width="10.5703125" bestFit="1" customWidth="1"/>
    <col min="50" max="50" width="11.28515625" bestFit="1" customWidth="1"/>
    <col min="51" max="51" width="11.140625" bestFit="1" customWidth="1"/>
    <col min="52" max="52" width="11.28515625" bestFit="1" customWidth="1"/>
    <col min="53" max="53" width="11" bestFit="1" customWidth="1"/>
    <col min="54" max="54" width="11.42578125" bestFit="1" customWidth="1"/>
    <col min="55" max="55" width="11.28515625" bestFit="1" customWidth="1"/>
  </cols>
  <sheetData>
    <row r="1" spans="1:55" x14ac:dyDescent="0.25">
      <c r="A1" s="149" t="s">
        <v>572</v>
      </c>
      <c r="B1" s="155" t="s">
        <v>138</v>
      </c>
      <c r="C1" s="155" t="s">
        <v>1054</v>
      </c>
      <c r="D1" s="155">
        <v>2012</v>
      </c>
      <c r="E1" s="155">
        <v>2013</v>
      </c>
      <c r="F1" s="155">
        <f>E1+1</f>
        <v>2014</v>
      </c>
      <c r="G1" s="155">
        <f t="shared" ref="G1:BB1" si="0">F1+1</f>
        <v>2015</v>
      </c>
      <c r="H1" s="155">
        <f t="shared" si="0"/>
        <v>2016</v>
      </c>
      <c r="I1" s="155">
        <f t="shared" si="0"/>
        <v>2017</v>
      </c>
      <c r="J1" s="155">
        <f t="shared" si="0"/>
        <v>2018</v>
      </c>
      <c r="K1" s="155">
        <f t="shared" si="0"/>
        <v>2019</v>
      </c>
      <c r="L1" s="155">
        <f t="shared" si="0"/>
        <v>2020</v>
      </c>
      <c r="M1" s="155">
        <f t="shared" si="0"/>
        <v>2021</v>
      </c>
      <c r="N1" s="155">
        <f t="shared" si="0"/>
        <v>2022</v>
      </c>
      <c r="O1" s="155">
        <f t="shared" si="0"/>
        <v>2023</v>
      </c>
      <c r="P1" s="155">
        <f t="shared" si="0"/>
        <v>2024</v>
      </c>
      <c r="Q1" s="155">
        <f t="shared" si="0"/>
        <v>2025</v>
      </c>
      <c r="R1" s="155">
        <f t="shared" si="0"/>
        <v>2026</v>
      </c>
      <c r="S1" s="155">
        <f t="shared" si="0"/>
        <v>2027</v>
      </c>
      <c r="T1" s="155">
        <f t="shared" si="0"/>
        <v>2028</v>
      </c>
      <c r="U1" s="155">
        <f t="shared" si="0"/>
        <v>2029</v>
      </c>
      <c r="V1" s="155">
        <f t="shared" si="0"/>
        <v>2030</v>
      </c>
      <c r="W1" s="155">
        <f t="shared" si="0"/>
        <v>2031</v>
      </c>
      <c r="X1" s="155">
        <f t="shared" si="0"/>
        <v>2032</v>
      </c>
      <c r="Y1" s="155">
        <f t="shared" si="0"/>
        <v>2033</v>
      </c>
      <c r="Z1" s="155">
        <f t="shared" si="0"/>
        <v>2034</v>
      </c>
      <c r="AA1" s="155">
        <f t="shared" si="0"/>
        <v>2035</v>
      </c>
      <c r="AB1" s="155">
        <f t="shared" si="0"/>
        <v>2036</v>
      </c>
      <c r="AC1" s="155">
        <f t="shared" si="0"/>
        <v>2037</v>
      </c>
      <c r="AD1" s="155">
        <f t="shared" si="0"/>
        <v>2038</v>
      </c>
      <c r="AE1" s="155">
        <f t="shared" si="0"/>
        <v>2039</v>
      </c>
      <c r="AF1" s="155">
        <f t="shared" si="0"/>
        <v>2040</v>
      </c>
      <c r="AG1" s="155">
        <f t="shared" si="0"/>
        <v>2041</v>
      </c>
      <c r="AH1" s="155">
        <f t="shared" si="0"/>
        <v>2042</v>
      </c>
      <c r="AI1" s="155">
        <f t="shared" si="0"/>
        <v>2043</v>
      </c>
      <c r="AJ1" s="155">
        <f t="shared" si="0"/>
        <v>2044</v>
      </c>
      <c r="AK1" s="155">
        <f t="shared" si="0"/>
        <v>2045</v>
      </c>
      <c r="AL1" s="155">
        <f t="shared" si="0"/>
        <v>2046</v>
      </c>
      <c r="AM1" s="155">
        <f t="shared" si="0"/>
        <v>2047</v>
      </c>
      <c r="AN1" s="155">
        <f t="shared" si="0"/>
        <v>2048</v>
      </c>
      <c r="AO1" s="155">
        <f t="shared" si="0"/>
        <v>2049</v>
      </c>
      <c r="AP1" s="155">
        <f t="shared" si="0"/>
        <v>2050</v>
      </c>
      <c r="AQ1" s="155">
        <f t="shared" si="0"/>
        <v>2051</v>
      </c>
      <c r="AR1" s="155">
        <f t="shared" si="0"/>
        <v>2052</v>
      </c>
      <c r="AS1" s="155">
        <f t="shared" si="0"/>
        <v>2053</v>
      </c>
      <c r="AT1" s="155">
        <f t="shared" si="0"/>
        <v>2054</v>
      </c>
      <c r="AU1" s="155">
        <f>AT1+1</f>
        <v>2055</v>
      </c>
      <c r="AV1" s="155">
        <f t="shared" si="0"/>
        <v>2056</v>
      </c>
      <c r="AW1" s="155">
        <f t="shared" si="0"/>
        <v>2057</v>
      </c>
      <c r="AX1" s="155">
        <f t="shared" si="0"/>
        <v>2058</v>
      </c>
      <c r="AY1" s="155">
        <f t="shared" si="0"/>
        <v>2059</v>
      </c>
      <c r="AZ1" s="155">
        <f t="shared" si="0"/>
        <v>2060</v>
      </c>
      <c r="BA1" s="155">
        <f t="shared" si="0"/>
        <v>2061</v>
      </c>
      <c r="BB1" s="155">
        <f t="shared" si="0"/>
        <v>2062</v>
      </c>
      <c r="BC1" s="155">
        <f>BB1+1</f>
        <v>2063</v>
      </c>
    </row>
    <row r="2" spans="1:55" x14ac:dyDescent="0.25">
      <c r="A2" s="172"/>
      <c r="B2" s="173" t="s">
        <v>1065</v>
      </c>
      <c r="C2" s="174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2"/>
      <c r="BB2" s="172"/>
      <c r="BC2" s="172"/>
    </row>
    <row r="3" spans="1:55" x14ac:dyDescent="0.25">
      <c r="A3" s="69">
        <v>636001</v>
      </c>
      <c r="B3" s="69" t="s">
        <v>130</v>
      </c>
      <c r="C3" s="156" t="s">
        <v>139</v>
      </c>
      <c r="D3" s="157">
        <v>52921.214</v>
      </c>
      <c r="E3" s="157">
        <v>119173.561</v>
      </c>
      <c r="F3" s="157">
        <v>125689.777</v>
      </c>
      <c r="G3" s="157">
        <v>126184.52237999999</v>
      </c>
      <c r="H3" s="157">
        <v>126694.11126000001</v>
      </c>
      <c r="I3" s="157">
        <v>127218.98670000001</v>
      </c>
      <c r="J3" s="157">
        <v>127300.69961999998</v>
      </c>
      <c r="K3" s="157">
        <v>127668.51486</v>
      </c>
      <c r="L3" s="157">
        <v>128044.05402</v>
      </c>
      <c r="M3" s="157">
        <v>128427.47916</v>
      </c>
      <c r="N3" s="157">
        <v>128818.95522</v>
      </c>
      <c r="O3" s="157">
        <v>129218.65260000002</v>
      </c>
      <c r="P3" s="157">
        <v>129626.74475999999</v>
      </c>
      <c r="Q3" s="157">
        <v>130043.40617999999</v>
      </c>
      <c r="R3" s="157">
        <v>130468.81865999999</v>
      </c>
      <c r="S3" s="157">
        <v>130903.16381999999</v>
      </c>
      <c r="T3" s="157">
        <v>131346.62993999998</v>
      </c>
      <c r="U3" s="157">
        <v>131799.41021999999</v>
      </c>
      <c r="V3" s="157">
        <v>132261.69785999999</v>
      </c>
      <c r="W3" s="157">
        <v>132733.69235999999</v>
      </c>
      <c r="X3" s="157">
        <v>133215.60090000002</v>
      </c>
      <c r="Y3" s="157">
        <v>133707.62789999999</v>
      </c>
      <c r="Z3" s="157">
        <v>134209.98887999999</v>
      </c>
      <c r="AA3" s="157">
        <v>134722.89779999998</v>
      </c>
      <c r="AB3" s="157">
        <v>135246.57935999997</v>
      </c>
      <c r="AC3" s="157">
        <v>135781.25724000001</v>
      </c>
      <c r="AD3" s="157">
        <v>136327.1643</v>
      </c>
      <c r="AE3" s="157">
        <v>136884.53460000001</v>
      </c>
      <c r="AF3" s="157">
        <v>137453.60934</v>
      </c>
      <c r="AG3" s="157">
        <v>76483.844219999999</v>
      </c>
      <c r="AH3" s="157"/>
      <c r="AI3" s="157"/>
      <c r="AJ3" s="157"/>
      <c r="AK3" s="157"/>
      <c r="AL3" s="157"/>
      <c r="AM3" s="157"/>
      <c r="AN3" s="157"/>
      <c r="AO3" s="157"/>
      <c r="AP3" s="157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</row>
    <row r="4" spans="1:55" x14ac:dyDescent="0.25">
      <c r="A4" s="135">
        <v>637004</v>
      </c>
      <c r="B4" s="135" t="s">
        <v>131</v>
      </c>
      <c r="C4" s="158" t="s">
        <v>139</v>
      </c>
      <c r="D4" s="159">
        <v>5788</v>
      </c>
      <c r="E4" s="159">
        <v>5788</v>
      </c>
      <c r="F4" s="159">
        <v>5788</v>
      </c>
      <c r="G4" s="159">
        <v>5788</v>
      </c>
      <c r="H4" s="159">
        <v>5788</v>
      </c>
      <c r="I4" s="159">
        <v>5788</v>
      </c>
      <c r="J4" s="159">
        <v>5788</v>
      </c>
      <c r="K4" s="159">
        <v>5788</v>
      </c>
      <c r="L4" s="159">
        <v>5788</v>
      </c>
      <c r="M4" s="159">
        <v>5788</v>
      </c>
      <c r="N4" s="159">
        <v>5788</v>
      </c>
      <c r="O4" s="159">
        <v>5788</v>
      </c>
      <c r="P4" s="159">
        <v>5788</v>
      </c>
      <c r="Q4" s="159">
        <v>5788</v>
      </c>
      <c r="R4" s="159">
        <v>5788</v>
      </c>
      <c r="S4" s="159">
        <v>5788</v>
      </c>
      <c r="T4" s="159">
        <v>5788</v>
      </c>
      <c r="U4" s="159">
        <v>5788</v>
      </c>
      <c r="V4" s="159">
        <v>5788</v>
      </c>
      <c r="W4" s="159">
        <v>5788</v>
      </c>
      <c r="X4" s="159">
        <v>5788</v>
      </c>
      <c r="Y4" s="159">
        <v>5788</v>
      </c>
      <c r="Z4" s="159">
        <v>5788</v>
      </c>
      <c r="AA4" s="159">
        <v>5788</v>
      </c>
      <c r="AB4" s="159">
        <v>5788</v>
      </c>
      <c r="AC4" s="159">
        <v>5788</v>
      </c>
      <c r="AD4" s="159">
        <v>5788</v>
      </c>
      <c r="AE4" s="159">
        <v>5788</v>
      </c>
      <c r="AF4" s="159">
        <v>5788</v>
      </c>
      <c r="AG4" s="159">
        <v>5788</v>
      </c>
      <c r="AH4" s="159"/>
      <c r="AI4" s="159"/>
      <c r="AJ4" s="159"/>
      <c r="AK4" s="159"/>
      <c r="AL4" s="159"/>
      <c r="AM4" s="159"/>
      <c r="AN4" s="159"/>
      <c r="AO4" s="159"/>
      <c r="AP4" s="159"/>
      <c r="AQ4" s="135"/>
      <c r="AR4" s="135"/>
      <c r="AS4" s="135"/>
      <c r="AT4" s="135"/>
      <c r="AU4" s="135"/>
      <c r="AV4" s="135"/>
      <c r="AW4" s="135"/>
      <c r="AX4" s="135"/>
      <c r="AY4" s="135"/>
      <c r="AZ4" s="135"/>
      <c r="BA4" s="135"/>
      <c r="BB4" s="135"/>
      <c r="BC4" s="135"/>
    </row>
    <row r="5" spans="1:55" x14ac:dyDescent="0.25">
      <c r="A5" s="172"/>
      <c r="B5" s="173" t="s">
        <v>1064</v>
      </c>
      <c r="C5" s="174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A5" s="172"/>
      <c r="BB5" s="172"/>
      <c r="BC5" s="172"/>
    </row>
    <row r="6" spans="1:55" x14ac:dyDescent="0.25">
      <c r="A6" s="69">
        <v>292009</v>
      </c>
      <c r="B6" s="69" t="s">
        <v>133</v>
      </c>
      <c r="C6" s="156" t="s">
        <v>139</v>
      </c>
      <c r="D6" s="160"/>
      <c r="E6" s="157">
        <v>72784.899999999994</v>
      </c>
      <c r="F6" s="157">
        <v>72596.61</v>
      </c>
      <c r="G6" s="157">
        <v>89206.9</v>
      </c>
      <c r="H6" s="157">
        <v>106119.8</v>
      </c>
      <c r="I6" s="157">
        <v>114332.95</v>
      </c>
      <c r="J6" s="157">
        <v>121264.38749467125</v>
      </c>
      <c r="K6" s="157">
        <v>126888.59615825939</v>
      </c>
      <c r="L6" s="157">
        <v>130187.49631850564</v>
      </c>
      <c r="M6" s="157">
        <v>133293.42406193429</v>
      </c>
      <c r="N6" s="157">
        <v>134950.2006658774</v>
      </c>
      <c r="O6" s="157">
        <v>137835.34335451919</v>
      </c>
      <c r="P6" s="157">
        <v>140919.13284503209</v>
      </c>
      <c r="Q6" s="157">
        <v>144281.08892115552</v>
      </c>
      <c r="R6" s="157">
        <v>127604.87129134109</v>
      </c>
      <c r="S6" s="157">
        <v>106030.0037344906</v>
      </c>
      <c r="T6" s="157">
        <v>102386.81604033834</v>
      </c>
      <c r="U6" s="157">
        <v>104463.39942220881</v>
      </c>
      <c r="V6" s="157">
        <v>105172.09322344209</v>
      </c>
      <c r="W6" s="157">
        <v>108131.69116719723</v>
      </c>
      <c r="X6" s="157">
        <v>110826.78244206609</v>
      </c>
      <c r="Y6" s="157">
        <v>113074.54307752423</v>
      </c>
      <c r="Z6" s="157">
        <v>113841.65603957175</v>
      </c>
      <c r="AA6" s="157">
        <v>117045.22003456221</v>
      </c>
      <c r="AB6" s="157">
        <v>119962.47350461566</v>
      </c>
      <c r="AC6" s="157">
        <v>122395.5219044176</v>
      </c>
      <c r="AD6" s="157">
        <v>123225.86964489073</v>
      </c>
      <c r="AE6" s="157">
        <v>102538.36459893061</v>
      </c>
      <c r="AF6" s="157">
        <v>97161.27541205434</v>
      </c>
      <c r="AG6" s="157">
        <v>73972.755590643224</v>
      </c>
      <c r="AH6" s="157">
        <v>65311.865358359821</v>
      </c>
      <c r="AI6" s="157">
        <v>67820.388626364715</v>
      </c>
      <c r="AJ6" s="157">
        <v>69772.103039695139</v>
      </c>
      <c r="AK6" s="157">
        <v>71167.545100489049</v>
      </c>
      <c r="AL6" s="157">
        <v>70695.663493478598</v>
      </c>
      <c r="AM6" s="157">
        <v>73410.969752875404</v>
      </c>
      <c r="AN6" s="157">
        <v>75523.568200999784</v>
      </c>
      <c r="AO6" s="157">
        <v>77034.039565019775</v>
      </c>
      <c r="AP6" s="157">
        <v>76523.259737879183</v>
      </c>
      <c r="AQ6" s="157">
        <v>79462.394557299587</v>
      </c>
      <c r="AR6" s="157">
        <v>81749.139058715504</v>
      </c>
      <c r="AS6" s="157">
        <v>83384.12183988982</v>
      </c>
      <c r="AT6" s="157">
        <v>53000.26227094081</v>
      </c>
      <c r="AU6" s="157">
        <v>10683.847335248938</v>
      </c>
      <c r="AV6" s="157">
        <v>0</v>
      </c>
      <c r="AW6" s="157">
        <v>0</v>
      </c>
      <c r="AX6" s="157">
        <v>0</v>
      </c>
      <c r="AY6" s="157">
        <v>0</v>
      </c>
      <c r="AZ6" s="157">
        <v>0</v>
      </c>
      <c r="BA6" s="157">
        <v>0</v>
      </c>
      <c r="BB6" s="157">
        <v>0</v>
      </c>
      <c r="BC6" s="157">
        <v>0</v>
      </c>
    </row>
    <row r="7" spans="1:55" x14ac:dyDescent="0.25">
      <c r="A7" s="69">
        <v>292027</v>
      </c>
      <c r="B7" s="69" t="s">
        <v>132</v>
      </c>
      <c r="C7" s="156" t="s">
        <v>139</v>
      </c>
      <c r="D7" s="160"/>
      <c r="E7" s="157">
        <v>68231.195781666669</v>
      </c>
      <c r="F7" s="157">
        <v>73695.620306199999</v>
      </c>
      <c r="G7" s="157">
        <v>77214.650108321992</v>
      </c>
      <c r="H7" s="157">
        <v>78818.299333883973</v>
      </c>
      <c r="I7" s="157">
        <v>80394.16505830246</v>
      </c>
      <c r="J7" s="157">
        <v>82002.014940782727</v>
      </c>
      <c r="K7" s="157">
        <v>84642.324155923008</v>
      </c>
      <c r="L7" s="157">
        <v>86426.458220630433</v>
      </c>
      <c r="M7" s="157">
        <v>88154.987385043045</v>
      </c>
      <c r="N7" s="157">
        <v>89918.087132743924</v>
      </c>
      <c r="O7" s="157">
        <v>91716.448875398783</v>
      </c>
      <c r="P7" s="157">
        <v>93550.777852906773</v>
      </c>
      <c r="Q7" s="157">
        <v>95421.793409964914</v>
      </c>
      <c r="R7" s="157">
        <v>97330.229278164217</v>
      </c>
      <c r="S7" s="157">
        <v>99276.833863727457</v>
      </c>
      <c r="T7" s="157">
        <v>101262.37054100203</v>
      </c>
      <c r="U7" s="157">
        <v>103287.61795182207</v>
      </c>
      <c r="V7" s="157">
        <v>105353.3703108585</v>
      </c>
      <c r="W7" s="157">
        <v>107460.43771707569</v>
      </c>
      <c r="X7" s="157">
        <v>109609.64647141722</v>
      </c>
      <c r="Y7" s="157">
        <v>111801.83940084554</v>
      </c>
      <c r="Z7" s="157">
        <v>114037.87618886244</v>
      </c>
      <c r="AA7" s="157">
        <v>116318.6337126397</v>
      </c>
      <c r="AB7" s="157">
        <v>118645.00638689248</v>
      </c>
      <c r="AC7" s="157">
        <v>121017.90651463033</v>
      </c>
      <c r="AD7" s="157">
        <v>123438.26464492294</v>
      </c>
      <c r="AE7" s="157">
        <v>125907.02993782138</v>
      </c>
      <c r="AF7" s="157">
        <v>128425.17053657785</v>
      </c>
      <c r="AG7" s="157">
        <v>129132.86988728699</v>
      </c>
      <c r="AH7" s="157">
        <v>23636.604123928384</v>
      </c>
      <c r="AI7" s="157">
        <v>1748.3747252763669</v>
      </c>
      <c r="AJ7" s="157">
        <v>642.34373104810345</v>
      </c>
      <c r="AK7" s="157">
        <v>655.19060566906558</v>
      </c>
      <c r="AL7" s="157">
        <v>668.29441778244677</v>
      </c>
      <c r="AM7" s="157">
        <v>681.66030613809573</v>
      </c>
      <c r="AN7" s="157">
        <v>695.2935122608576</v>
      </c>
      <c r="AO7" s="157">
        <v>709.19938250607493</v>
      </c>
      <c r="AP7" s="157">
        <v>723.38337015619641</v>
      </c>
      <c r="AQ7" s="157">
        <v>737.85103755932005</v>
      </c>
      <c r="AR7" s="157">
        <v>752.60805831050664</v>
      </c>
      <c r="AS7" s="157">
        <v>767.66021947671675</v>
      </c>
      <c r="AT7" s="157">
        <v>783.01342386625106</v>
      </c>
      <c r="AU7" s="157">
        <v>798.67369234357602</v>
      </c>
      <c r="AV7" s="157">
        <v>814.64716619044771</v>
      </c>
      <c r="AW7" s="157">
        <v>830.94010951425662</v>
      </c>
      <c r="AX7" s="157">
        <v>847.55891170454186</v>
      </c>
      <c r="AY7" s="157">
        <v>864.5100899386324</v>
      </c>
      <c r="AZ7" s="157">
        <v>881.80029173740513</v>
      </c>
      <c r="BA7" s="157">
        <v>899.43629757215331</v>
      </c>
      <c r="BB7" s="157">
        <v>917.42502352359634</v>
      </c>
      <c r="BC7" s="157">
        <v>935.77352399406823</v>
      </c>
    </row>
    <row r="8" spans="1:55" x14ac:dyDescent="0.25">
      <c r="A8" s="126">
        <v>644001</v>
      </c>
      <c r="B8" s="69" t="s">
        <v>134</v>
      </c>
      <c r="C8" s="156" t="s">
        <v>139</v>
      </c>
      <c r="D8" s="160"/>
      <c r="E8" s="157">
        <v>59221.51491611667</v>
      </c>
      <c r="F8" s="157">
        <v>58115.207666514005</v>
      </c>
      <c r="G8" s="157">
        <v>70188.61567286255</v>
      </c>
      <c r="H8" s="157">
        <v>75370.05140472723</v>
      </c>
      <c r="I8" s="157">
        <v>79000.264638540713</v>
      </c>
      <c r="J8" s="157">
        <v>78838.299624781255</v>
      </c>
      <c r="K8" s="157">
        <v>64973.45025927775</v>
      </c>
      <c r="L8" s="157">
        <v>62542.062346138271</v>
      </c>
      <c r="M8" s="157">
        <v>59204.537207229012</v>
      </c>
      <c r="N8" s="157">
        <v>58125.133823683333</v>
      </c>
      <c r="O8" s="157">
        <v>57666.823295770904</v>
      </c>
      <c r="P8" s="157">
        <v>58168.580287400415</v>
      </c>
      <c r="Q8" s="157">
        <v>56593.375121649493</v>
      </c>
      <c r="R8" s="157">
        <v>52908.065076090323</v>
      </c>
      <c r="S8" s="157">
        <v>53989.868206390427</v>
      </c>
      <c r="T8" s="157">
        <v>57266.873681307501</v>
      </c>
      <c r="U8" s="157">
        <v>59515.794155593248</v>
      </c>
      <c r="V8" s="157">
        <v>67947.166599904915</v>
      </c>
      <c r="W8" s="157">
        <v>105872.23871692477</v>
      </c>
      <c r="X8" s="157">
        <v>120410.02786093764</v>
      </c>
      <c r="Y8" s="157">
        <v>124271.04140369309</v>
      </c>
      <c r="Z8" s="157">
        <v>82596.328653255157</v>
      </c>
      <c r="AA8" s="157">
        <v>86925.137737956349</v>
      </c>
      <c r="AB8" s="157">
        <v>96913.902535834495</v>
      </c>
      <c r="AC8" s="157">
        <v>103235.78476988942</v>
      </c>
      <c r="AD8" s="157">
        <v>105063.26806691063</v>
      </c>
      <c r="AE8" s="157">
        <v>99464.957431322735</v>
      </c>
      <c r="AF8" s="157">
        <v>94676.842858347372</v>
      </c>
      <c r="AG8" s="157">
        <v>105609.52284874399</v>
      </c>
      <c r="AH8" s="157">
        <v>104002.73431314225</v>
      </c>
      <c r="AI8" s="157">
        <v>116319.33359423449</v>
      </c>
      <c r="AJ8" s="157">
        <v>102610.07677075802</v>
      </c>
      <c r="AK8" s="157">
        <v>95699.108260677051</v>
      </c>
      <c r="AL8" s="157">
        <v>69300.815892938612</v>
      </c>
      <c r="AM8" s="157">
        <v>120491.39477290922</v>
      </c>
      <c r="AN8" s="157">
        <v>112317.8658575358</v>
      </c>
      <c r="AO8" s="157">
        <v>116896.23458390267</v>
      </c>
      <c r="AP8" s="157">
        <v>128266.61144532895</v>
      </c>
      <c r="AQ8" s="157">
        <v>136330.18025399782</v>
      </c>
      <c r="AR8" s="157">
        <v>136092.93650996152</v>
      </c>
      <c r="AS8" s="157">
        <v>134530.87270051843</v>
      </c>
      <c r="AT8" s="157">
        <v>125200.66069626283</v>
      </c>
      <c r="AU8" s="157">
        <v>138424.10179567503</v>
      </c>
      <c r="AV8" s="157">
        <v>134960.6417422111</v>
      </c>
      <c r="AW8" s="157">
        <v>150659.84357926954</v>
      </c>
      <c r="AX8" s="157">
        <v>130588.39665290446</v>
      </c>
      <c r="AY8" s="157">
        <v>121703.83268632556</v>
      </c>
      <c r="AZ8" s="157">
        <v>150078.57901920858</v>
      </c>
      <c r="BA8" s="157">
        <v>164325.68458835155</v>
      </c>
      <c r="BB8" s="157">
        <v>135767.77497359421</v>
      </c>
      <c r="BC8" s="157">
        <v>124695.05927051383</v>
      </c>
    </row>
    <row r="9" spans="1:55" x14ac:dyDescent="0.25">
      <c r="A9" s="135">
        <v>723001</v>
      </c>
      <c r="B9" s="135" t="s">
        <v>653</v>
      </c>
      <c r="C9" s="158" t="s">
        <v>139</v>
      </c>
      <c r="D9" s="161"/>
      <c r="E9" s="159">
        <v>58.545449999999995</v>
      </c>
      <c r="F9" s="159">
        <v>107.07909000000001</v>
      </c>
      <c r="G9" s="159">
        <v>263.99992205999996</v>
      </c>
      <c r="H9" s="159">
        <v>346.64049800999999</v>
      </c>
      <c r="I9" s="159">
        <v>809.38594155959993</v>
      </c>
      <c r="J9" s="159">
        <v>2574.9740519164798</v>
      </c>
      <c r="K9" s="159">
        <v>4250.7751290065853</v>
      </c>
      <c r="L9" s="159">
        <v>6873.1224028572105</v>
      </c>
      <c r="M9" s="159">
        <v>11141.269998637843</v>
      </c>
      <c r="N9" s="159">
        <v>14812.355741484986</v>
      </c>
      <c r="O9" s="159">
        <v>17571.23570016176</v>
      </c>
      <c r="P9" s="159">
        <v>21584.004017189589</v>
      </c>
      <c r="Q9" s="159">
        <v>27038.043292261864</v>
      </c>
      <c r="R9" s="159">
        <v>30706.974454047126</v>
      </c>
      <c r="S9" s="159">
        <v>34687.980914011983</v>
      </c>
      <c r="T9" s="159">
        <v>38368.718048229333</v>
      </c>
      <c r="U9" s="159">
        <v>41803.702346782142</v>
      </c>
      <c r="V9" s="159">
        <v>46282.793880916877</v>
      </c>
      <c r="W9" s="159">
        <v>49967.248904389249</v>
      </c>
      <c r="X9" s="159">
        <v>55418.413571348508</v>
      </c>
      <c r="Y9" s="159">
        <v>61717.370165041983</v>
      </c>
      <c r="Z9" s="159">
        <v>68459.590823534221</v>
      </c>
      <c r="AA9" s="159">
        <v>77262.888529594318</v>
      </c>
      <c r="AB9" s="159">
        <v>91375.975788977201</v>
      </c>
      <c r="AC9" s="159">
        <v>102817.91373592065</v>
      </c>
      <c r="AD9" s="159">
        <v>107859.21737415527</v>
      </c>
      <c r="AE9" s="159">
        <v>111996.74223818359</v>
      </c>
      <c r="AF9" s="159">
        <v>116469.50364413447</v>
      </c>
      <c r="AG9" s="159">
        <v>124282.11531688595</v>
      </c>
      <c r="AH9" s="159">
        <v>132109.97789180485</v>
      </c>
      <c r="AI9" s="159">
        <v>141121.47552689011</v>
      </c>
      <c r="AJ9" s="159">
        <v>149457.47501127928</v>
      </c>
      <c r="AK9" s="159">
        <v>157592.1211747005</v>
      </c>
      <c r="AL9" s="159">
        <v>166367.35646394003</v>
      </c>
      <c r="AM9" s="159">
        <v>176581.43988709789</v>
      </c>
      <c r="AN9" s="159">
        <v>179879.76172840252</v>
      </c>
      <c r="AO9" s="159">
        <v>181869.25734175043</v>
      </c>
      <c r="AP9" s="159">
        <v>185195.96781185988</v>
      </c>
      <c r="AQ9" s="159">
        <v>182297.54322617338</v>
      </c>
      <c r="AR9" s="159">
        <v>177609.61594287137</v>
      </c>
      <c r="AS9" s="159">
        <v>179758.75960866449</v>
      </c>
      <c r="AT9" s="159">
        <v>183353.93480083777</v>
      </c>
      <c r="AU9" s="159">
        <v>187021.01349685452</v>
      </c>
      <c r="AV9" s="159">
        <v>183954.34634319786</v>
      </c>
      <c r="AW9" s="159">
        <v>180148.86271080642</v>
      </c>
      <c r="AX9" s="159">
        <v>172305.74436231653</v>
      </c>
      <c r="AY9" s="159">
        <v>167634.12295279116</v>
      </c>
      <c r="AZ9" s="159">
        <v>158816.25043309585</v>
      </c>
      <c r="BA9" s="159">
        <v>147985.44960309964</v>
      </c>
      <c r="BB9" s="159">
        <v>139269.38078922496</v>
      </c>
      <c r="BC9" s="159">
        <v>135500.7380514153</v>
      </c>
    </row>
    <row r="10" spans="1:55" x14ac:dyDescent="0.25">
      <c r="A10" s="172"/>
      <c r="B10" s="173" t="s">
        <v>136</v>
      </c>
      <c r="C10" s="174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</row>
    <row r="11" spans="1:55" x14ac:dyDescent="0.25">
      <c r="A11" s="69"/>
      <c r="B11" s="162" t="s">
        <v>1063</v>
      </c>
      <c r="C11" s="156"/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</row>
    <row r="12" spans="1:55" s="39" customFormat="1" x14ac:dyDescent="0.25">
      <c r="A12" s="69"/>
      <c r="B12" s="162" t="s">
        <v>984</v>
      </c>
      <c r="C12" s="163" t="s">
        <v>139</v>
      </c>
      <c r="D12" s="157"/>
      <c r="E12" s="164">
        <f>SUM(E13:E16)</f>
        <v>5980723</v>
      </c>
      <c r="F12" s="164">
        <f t="shared" ref="F12:BC12" si="1">SUM(F13:F16)</f>
        <v>6230461.35674165</v>
      </c>
      <c r="G12" s="164">
        <f t="shared" si="1"/>
        <v>6482800.3907048199</v>
      </c>
      <c r="H12" s="164">
        <f t="shared" si="1"/>
        <v>6794535.5984163061</v>
      </c>
      <c r="I12" s="164">
        <f t="shared" si="1"/>
        <v>7145589.8064667014</v>
      </c>
      <c r="J12" s="164">
        <f t="shared" si="1"/>
        <v>7511784.4213961251</v>
      </c>
      <c r="K12" s="164">
        <f t="shared" si="1"/>
        <v>7843450.1518079024</v>
      </c>
      <c r="L12" s="164">
        <f t="shared" si="1"/>
        <v>8193153.954653115</v>
      </c>
      <c r="M12" s="164">
        <f t="shared" si="1"/>
        <v>8564864.7690243199</v>
      </c>
      <c r="N12" s="164">
        <f t="shared" si="1"/>
        <v>8877662.1425532512</v>
      </c>
      <c r="O12" s="164">
        <f t="shared" si="1"/>
        <v>9216051.6864142511</v>
      </c>
      <c r="P12" s="164">
        <f t="shared" si="1"/>
        <v>9583219.2536579315</v>
      </c>
      <c r="Q12" s="164">
        <f t="shared" si="1"/>
        <v>10011966.121893125</v>
      </c>
      <c r="R12" s="164">
        <f t="shared" si="1"/>
        <v>10442039.745243618</v>
      </c>
      <c r="S12" s="164">
        <f t="shared" si="1"/>
        <v>10888100.909163002</v>
      </c>
      <c r="T12" s="164">
        <f t="shared" si="1"/>
        <v>11352664.007062126</v>
      </c>
      <c r="U12" s="164">
        <f t="shared" si="1"/>
        <v>11764686.153933188</v>
      </c>
      <c r="V12" s="164">
        <f t="shared" si="1"/>
        <v>12173443.863668086</v>
      </c>
      <c r="W12" s="164">
        <f t="shared" si="1"/>
        <v>12624341.458724312</v>
      </c>
      <c r="X12" s="164">
        <f t="shared" si="1"/>
        <v>13135468.616738779</v>
      </c>
      <c r="Y12" s="164">
        <f t="shared" si="1"/>
        <v>13658895.975821495</v>
      </c>
      <c r="Z12" s="164">
        <f t="shared" si="1"/>
        <v>14216201.12051115</v>
      </c>
      <c r="AA12" s="164">
        <f t="shared" si="1"/>
        <v>14833334.044584053</v>
      </c>
      <c r="AB12" s="164">
        <f t="shared" si="1"/>
        <v>15406972.20457839</v>
      </c>
      <c r="AC12" s="164">
        <f t="shared" si="1"/>
        <v>15949561.545636492</v>
      </c>
      <c r="AD12" s="164">
        <f t="shared" si="1"/>
        <v>16624733.914364843</v>
      </c>
      <c r="AE12" s="164">
        <f t="shared" si="1"/>
        <v>17326485.051256653</v>
      </c>
      <c r="AF12" s="164">
        <f t="shared" si="1"/>
        <v>18066281.912672613</v>
      </c>
      <c r="AG12" s="164">
        <f t="shared" si="1"/>
        <v>18816436.300778314</v>
      </c>
      <c r="AH12" s="164">
        <f t="shared" si="1"/>
        <v>19598300.977189198</v>
      </c>
      <c r="AI12" s="164">
        <f t="shared" si="1"/>
        <v>20450047.672876343</v>
      </c>
      <c r="AJ12" s="164">
        <f t="shared" si="1"/>
        <v>21220950.012427323</v>
      </c>
      <c r="AK12" s="164">
        <f t="shared" si="1"/>
        <v>21907192.687179852</v>
      </c>
      <c r="AL12" s="164">
        <f t="shared" si="1"/>
        <v>22711076.739383224</v>
      </c>
      <c r="AM12" s="164">
        <f t="shared" si="1"/>
        <v>23615028.973783087</v>
      </c>
      <c r="AN12" s="164">
        <f t="shared" si="1"/>
        <v>24532860.755801402</v>
      </c>
      <c r="AO12" s="164">
        <f t="shared" si="1"/>
        <v>25511691.432340205</v>
      </c>
      <c r="AP12" s="164">
        <f t="shared" si="1"/>
        <v>26561357.892468166</v>
      </c>
      <c r="AQ12" s="164">
        <f t="shared" si="1"/>
        <v>27685256.910415616</v>
      </c>
      <c r="AR12" s="164">
        <f t="shared" si="1"/>
        <v>28677043.654136088</v>
      </c>
      <c r="AS12" s="164">
        <f t="shared" si="1"/>
        <v>29602160.899778202</v>
      </c>
      <c r="AT12" s="164">
        <f t="shared" si="1"/>
        <v>30772310.639542099</v>
      </c>
      <c r="AU12" s="164">
        <f t="shared" si="1"/>
        <v>32039430.559935365</v>
      </c>
      <c r="AV12" s="164">
        <f t="shared" si="1"/>
        <v>33369488.225276697</v>
      </c>
      <c r="AW12" s="164">
        <f t="shared" si="1"/>
        <v>34692512.569426551</v>
      </c>
      <c r="AX12" s="164">
        <f t="shared" si="1"/>
        <v>36040168.198855184</v>
      </c>
      <c r="AY12" s="164">
        <f t="shared" si="1"/>
        <v>37432851.110084139</v>
      </c>
      <c r="AZ12" s="164">
        <f t="shared" si="1"/>
        <v>38845524.920163512</v>
      </c>
      <c r="BA12" s="164">
        <f t="shared" si="1"/>
        <v>40014818.826682411</v>
      </c>
      <c r="BB12" s="164">
        <f t="shared" si="1"/>
        <v>41052610.549129628</v>
      </c>
      <c r="BC12" s="164">
        <f t="shared" si="1"/>
        <v>42197709.549246661</v>
      </c>
    </row>
    <row r="13" spans="1:55" x14ac:dyDescent="0.25">
      <c r="A13" s="165">
        <v>642016</v>
      </c>
      <c r="B13" s="166" t="s">
        <v>137</v>
      </c>
      <c r="C13" s="156" t="s">
        <v>139</v>
      </c>
      <c r="D13" s="157"/>
      <c r="E13" s="157">
        <v>4992567</v>
      </c>
      <c r="F13" s="157">
        <v>5282517.8918284886</v>
      </c>
      <c r="G13" s="157">
        <v>5493762.2917383108</v>
      </c>
      <c r="H13" s="157">
        <v>5733734.9883155823</v>
      </c>
      <c r="I13" s="157">
        <v>6029601.5804963121</v>
      </c>
      <c r="J13" s="157">
        <v>6340097.8326314026</v>
      </c>
      <c r="K13" s="157">
        <v>6614200.438472514</v>
      </c>
      <c r="L13" s="157">
        <v>6901951.9058538368</v>
      </c>
      <c r="M13" s="157">
        <v>7206191.6825145222</v>
      </c>
      <c r="N13" s="157">
        <v>7381209.9256149447</v>
      </c>
      <c r="O13" s="157">
        <v>7645310.7521577505</v>
      </c>
      <c r="P13" s="157">
        <v>7934687.8925032737</v>
      </c>
      <c r="Q13" s="157">
        <v>8280192.4635045398</v>
      </c>
      <c r="R13" s="157">
        <v>8626616.4213484675</v>
      </c>
      <c r="S13" s="157">
        <v>8984360.8755663652</v>
      </c>
      <c r="T13" s="157">
        <v>9353146.7259024102</v>
      </c>
      <c r="U13" s="157">
        <v>9565469.8083839677</v>
      </c>
      <c r="V13" s="157">
        <v>9861641.1024760939</v>
      </c>
      <c r="W13" s="157">
        <v>10192834.344201589</v>
      </c>
      <c r="X13" s="157">
        <v>10578263.588878546</v>
      </c>
      <c r="Y13" s="157">
        <v>10973470.166444136</v>
      </c>
      <c r="Z13" s="157">
        <v>11403130.272590876</v>
      </c>
      <c r="AA13" s="157">
        <v>11891545.906162262</v>
      </c>
      <c r="AB13" s="157">
        <v>12198419.807122227</v>
      </c>
      <c r="AC13" s="157">
        <v>12610905.184713997</v>
      </c>
      <c r="AD13" s="157">
        <v>13162054.796011461</v>
      </c>
      <c r="AE13" s="157">
        <v>13747937.195986127</v>
      </c>
      <c r="AF13" s="157">
        <v>14371957.383529719</v>
      </c>
      <c r="AG13" s="157">
        <v>15008242.796803674</v>
      </c>
      <c r="AH13" s="157">
        <v>15678013.247852255</v>
      </c>
      <c r="AI13" s="157">
        <v>16418360.38731581</v>
      </c>
      <c r="AJ13" s="157">
        <v>16855034.004298687</v>
      </c>
      <c r="AK13" s="157">
        <v>17434339.608936571</v>
      </c>
      <c r="AL13" s="157">
        <v>18122592.131624378</v>
      </c>
      <c r="AM13" s="157">
        <v>18906958.662009247</v>
      </c>
      <c r="AN13" s="157">
        <v>19710311.018424116</v>
      </c>
      <c r="AO13" s="157">
        <v>20574160.854869895</v>
      </c>
      <c r="AP13" s="157">
        <v>21509766.948195878</v>
      </c>
      <c r="AQ13" s="157">
        <v>22520244.566580407</v>
      </c>
      <c r="AR13" s="157">
        <v>23114742.30500479</v>
      </c>
      <c r="AS13" s="157">
        <v>23920217.818105124</v>
      </c>
      <c r="AT13" s="157">
        <v>24961010.669295803</v>
      </c>
      <c r="AU13" s="157">
        <v>26093522.450053874</v>
      </c>
      <c r="AV13" s="157">
        <v>27279019.14370795</v>
      </c>
      <c r="AW13" s="157">
        <v>28461256.118129987</v>
      </c>
      <c r="AX13" s="157">
        <v>29661439.620734707</v>
      </c>
      <c r="AY13" s="157">
        <v>30887523.318870768</v>
      </c>
      <c r="AZ13" s="157">
        <v>32122891.105541036</v>
      </c>
      <c r="BA13" s="157">
        <v>32778924.065295789</v>
      </c>
      <c r="BB13" s="157">
        <v>33613037.708319493</v>
      </c>
      <c r="BC13" s="157">
        <v>34535342.608303659</v>
      </c>
    </row>
    <row r="14" spans="1:55" x14ac:dyDescent="0.25">
      <c r="A14" s="165">
        <v>642020</v>
      </c>
      <c r="B14" s="166" t="s">
        <v>140</v>
      </c>
      <c r="C14" s="156" t="s">
        <v>139</v>
      </c>
      <c r="D14" s="157"/>
      <c r="E14" s="157">
        <v>901256</v>
      </c>
      <c r="F14" s="157">
        <v>858272.70147294772</v>
      </c>
      <c r="G14" s="157">
        <v>894640.98944481905</v>
      </c>
      <c r="H14" s="157">
        <v>961247.81734128331</v>
      </c>
      <c r="I14" s="157">
        <v>1006562.6569834325</v>
      </c>
      <c r="J14" s="157">
        <v>1055105.0400165981</v>
      </c>
      <c r="K14" s="157">
        <v>1104448.8640202391</v>
      </c>
      <c r="L14" s="157">
        <v>1157820.4296238776</v>
      </c>
      <c r="M14" s="157">
        <v>1214225.8722462393</v>
      </c>
      <c r="N14" s="157">
        <v>1341468.0032161481</v>
      </c>
      <c r="O14" s="157">
        <v>1406060.3210695176</v>
      </c>
      <c r="P14" s="157">
        <v>1473697.8738486313</v>
      </c>
      <c r="Q14" s="157">
        <v>1544213.0129461742</v>
      </c>
      <c r="R14" s="157">
        <v>1616477.7147521456</v>
      </c>
      <c r="S14" s="157">
        <v>1692784.1965934848</v>
      </c>
      <c r="T14" s="157">
        <v>1776218.8403178242</v>
      </c>
      <c r="U14" s="157">
        <v>1960839.6753276056</v>
      </c>
      <c r="V14" s="157">
        <v>2061446.4361246659</v>
      </c>
      <c r="W14" s="157">
        <v>2168027.8173877406</v>
      </c>
      <c r="X14" s="157">
        <v>2278565.3694499382</v>
      </c>
      <c r="Y14" s="157">
        <v>2389911.0150193544</v>
      </c>
      <c r="Z14" s="157">
        <v>2501068.6380469217</v>
      </c>
      <c r="AA14" s="157">
        <v>2612458.1426201477</v>
      </c>
      <c r="AB14" s="157">
        <v>2859524.4668025281</v>
      </c>
      <c r="AC14" s="157">
        <v>2969636.5182914394</v>
      </c>
      <c r="AD14" s="157">
        <v>3073074.5206178366</v>
      </c>
      <c r="AE14" s="157">
        <v>3167207.0843467079</v>
      </c>
      <c r="AF14" s="157">
        <v>3260721.842018405</v>
      </c>
      <c r="AG14" s="157">
        <v>3350259.2757675643</v>
      </c>
      <c r="AH14" s="157">
        <v>3436702.6557353702</v>
      </c>
      <c r="AI14" s="157">
        <v>3521852.7476389799</v>
      </c>
      <c r="AJ14" s="157">
        <v>3826796.7938710544</v>
      </c>
      <c r="AK14" s="157">
        <v>3909642.7901636767</v>
      </c>
      <c r="AL14" s="157">
        <v>3996816.1709652045</v>
      </c>
      <c r="AM14" s="157">
        <v>4086005.2330283285</v>
      </c>
      <c r="AN14" s="157">
        <v>4170756.8614375913</v>
      </c>
      <c r="AO14" s="157">
        <v>4253847.4155866103</v>
      </c>
      <c r="AP14" s="157">
        <v>4336144.3395641781</v>
      </c>
      <c r="AQ14" s="157">
        <v>4415865.0511914855</v>
      </c>
      <c r="AR14" s="157">
        <v>4776626.6853413498</v>
      </c>
      <c r="AS14" s="157">
        <v>4865823.6220079185</v>
      </c>
      <c r="AT14" s="157">
        <v>4962335.9298040159</v>
      </c>
      <c r="AU14" s="157">
        <v>5060191.5331143849</v>
      </c>
      <c r="AV14" s="157">
        <v>5166871.2920085695</v>
      </c>
      <c r="AW14" s="157">
        <v>5271758.2833784102</v>
      </c>
      <c r="AX14" s="157">
        <v>5382891.0596852517</v>
      </c>
      <c r="AY14" s="157">
        <v>5512876.8243238684</v>
      </c>
      <c r="AZ14" s="157">
        <v>5653469.4967059614</v>
      </c>
      <c r="BA14" s="157">
        <v>6129412.4104139768</v>
      </c>
      <c r="BB14" s="157">
        <v>6304492.4061431093</v>
      </c>
      <c r="BC14" s="157">
        <v>6497299.3008811269</v>
      </c>
    </row>
    <row r="15" spans="1:55" x14ac:dyDescent="0.25">
      <c r="A15" s="69">
        <v>642018</v>
      </c>
      <c r="B15" s="69" t="s">
        <v>142</v>
      </c>
      <c r="C15" s="156" t="s">
        <v>139</v>
      </c>
      <c r="D15" s="157"/>
      <c r="E15" s="157">
        <v>70600</v>
      </c>
      <c r="F15" s="157">
        <v>70801.469414364052</v>
      </c>
      <c r="G15" s="157">
        <v>72197.591430231783</v>
      </c>
      <c r="H15" s="157">
        <v>73438.252738123105</v>
      </c>
      <c r="I15" s="157">
        <v>79173.738766423252</v>
      </c>
      <c r="J15" s="157">
        <v>82073.257173769511</v>
      </c>
      <c r="K15" s="157">
        <v>85053.42195095215</v>
      </c>
      <c r="L15" s="157">
        <v>88120.896954670432</v>
      </c>
      <c r="M15" s="157">
        <v>93348.930327455702</v>
      </c>
      <c r="N15" s="157">
        <v>96594.667329535616</v>
      </c>
      <c r="O15" s="157">
        <v>99591.34850102663</v>
      </c>
      <c r="P15" s="157">
        <v>102717.05309730135</v>
      </c>
      <c r="Q15" s="157">
        <v>107886.59805466706</v>
      </c>
      <c r="R15" s="157">
        <v>111375.10161883231</v>
      </c>
      <c r="S15" s="157">
        <v>114948.15528543435</v>
      </c>
      <c r="T15" s="157">
        <v>118569.38463568604</v>
      </c>
      <c r="U15" s="157">
        <v>123600.92239782651</v>
      </c>
      <c r="V15" s="157">
        <v>126917.24233306617</v>
      </c>
      <c r="W15" s="157">
        <v>130505.8273416397</v>
      </c>
      <c r="X15" s="157">
        <v>134385.77526787706</v>
      </c>
      <c r="Y15" s="157">
        <v>139500.50774210502</v>
      </c>
      <c r="Z15" s="157">
        <v>143684.8700997135</v>
      </c>
      <c r="AA15" s="157">
        <v>148050.56830939531</v>
      </c>
      <c r="AB15" s="157">
        <v>152475.38083666863</v>
      </c>
      <c r="AC15" s="157">
        <v>157482.73967279115</v>
      </c>
      <c r="AD15" s="157">
        <v>161932.70670991309</v>
      </c>
      <c r="AE15" s="157">
        <v>166728.63050554288</v>
      </c>
      <c r="AF15" s="157">
        <v>171518.41098075168</v>
      </c>
      <c r="AG15" s="157">
        <v>177194.67871408537</v>
      </c>
      <c r="AH15" s="157">
        <v>181998.76744381399</v>
      </c>
      <c r="AI15" s="157">
        <v>186909.53916486658</v>
      </c>
      <c r="AJ15" s="157">
        <v>191811.93003594666</v>
      </c>
      <c r="AK15" s="157">
        <v>195772.96678678962</v>
      </c>
      <c r="AL15" s="157">
        <v>200241.79658346483</v>
      </c>
      <c r="AM15" s="157">
        <v>205087.21346177399</v>
      </c>
      <c r="AN15" s="157">
        <v>209729.06130928936</v>
      </c>
      <c r="AO15" s="157">
        <v>216021.98222983352</v>
      </c>
      <c r="AP15" s="157">
        <v>221058.81930313725</v>
      </c>
      <c r="AQ15" s="157">
        <v>226078.33985900687</v>
      </c>
      <c r="AR15" s="157">
        <v>230965.28288960599</v>
      </c>
      <c r="AS15" s="157">
        <v>234923.09625330486</v>
      </c>
      <c r="AT15" s="157">
        <v>239576.42414260213</v>
      </c>
      <c r="AU15" s="157">
        <v>244655.63805947627</v>
      </c>
      <c r="AV15" s="157">
        <v>250239.73993598361</v>
      </c>
      <c r="AW15" s="157">
        <v>254992.69601066157</v>
      </c>
      <c r="AX15" s="157">
        <v>259741.2873360849</v>
      </c>
      <c r="AY15" s="157">
        <v>264589.20932289073</v>
      </c>
      <c r="AZ15" s="157">
        <v>269435.96287322562</v>
      </c>
      <c r="BA15" s="157">
        <v>273841.21554638684</v>
      </c>
      <c r="BB15" s="157">
        <v>276696.5947715803</v>
      </c>
      <c r="BC15" s="157">
        <v>279383.47602771316</v>
      </c>
    </row>
    <row r="16" spans="1:55" x14ac:dyDescent="0.25">
      <c r="A16" s="69">
        <v>642026</v>
      </c>
      <c r="B16" s="69" t="s">
        <v>141</v>
      </c>
      <c r="C16" s="156" t="s">
        <v>139</v>
      </c>
      <c r="D16" s="157"/>
      <c r="E16" s="157">
        <v>16300</v>
      </c>
      <c r="F16" s="157">
        <v>18869.294025850479</v>
      </c>
      <c r="G16" s="157">
        <v>22199.518091457994</v>
      </c>
      <c r="H16" s="157">
        <v>26114.540021317807</v>
      </c>
      <c r="I16" s="157">
        <v>30251.830220533688</v>
      </c>
      <c r="J16" s="157">
        <v>34508.29157435555</v>
      </c>
      <c r="K16" s="157">
        <v>39747.427364197545</v>
      </c>
      <c r="L16" s="157">
        <v>45260.722220729593</v>
      </c>
      <c r="M16" s="157">
        <v>51098.283936101318</v>
      </c>
      <c r="N16" s="157">
        <v>58389.546392623321</v>
      </c>
      <c r="O16" s="157">
        <v>65089.264685956397</v>
      </c>
      <c r="P16" s="157">
        <v>72116.434208723818</v>
      </c>
      <c r="Q16" s="157">
        <v>79674.047387742772</v>
      </c>
      <c r="R16" s="157">
        <v>87570.507524174303</v>
      </c>
      <c r="S16" s="157">
        <v>96007.681717718646</v>
      </c>
      <c r="T16" s="157">
        <v>104729.0562062042</v>
      </c>
      <c r="U16" s="157">
        <v>114775.74782378854</v>
      </c>
      <c r="V16" s="157">
        <v>123439.08273426074</v>
      </c>
      <c r="W16" s="157">
        <v>132973.46979334176</v>
      </c>
      <c r="X16" s="157">
        <v>144253.88314241887</v>
      </c>
      <c r="Y16" s="157">
        <v>156014.28661589944</v>
      </c>
      <c r="Z16" s="157">
        <v>168317.33977363899</v>
      </c>
      <c r="AA16" s="157">
        <v>181279.42749224772</v>
      </c>
      <c r="AB16" s="157">
        <v>196552.54981696579</v>
      </c>
      <c r="AC16" s="157">
        <v>211537.10295826427</v>
      </c>
      <c r="AD16" s="157">
        <v>227671.89102563012</v>
      </c>
      <c r="AE16" s="157">
        <v>244612.14041827474</v>
      </c>
      <c r="AF16" s="157">
        <v>262084.27614373836</v>
      </c>
      <c r="AG16" s="157">
        <v>280739.54949299421</v>
      </c>
      <c r="AH16" s="157">
        <v>301586.30615776131</v>
      </c>
      <c r="AI16" s="157">
        <v>322924.99875668623</v>
      </c>
      <c r="AJ16" s="157">
        <v>347307.284221637</v>
      </c>
      <c r="AK16" s="157">
        <v>367437.32129281375</v>
      </c>
      <c r="AL16" s="157">
        <v>391426.64021017315</v>
      </c>
      <c r="AM16" s="157">
        <v>416977.86528373644</v>
      </c>
      <c r="AN16" s="157">
        <v>442063.81463040534</v>
      </c>
      <c r="AO16" s="157">
        <v>467661.17965386726</v>
      </c>
      <c r="AP16" s="157">
        <v>494387.78540497337</v>
      </c>
      <c r="AQ16" s="157">
        <v>523068.95278471702</v>
      </c>
      <c r="AR16" s="157">
        <v>554709.38090034109</v>
      </c>
      <c r="AS16" s="157">
        <v>581196.36341185565</v>
      </c>
      <c r="AT16" s="157">
        <v>609387.61629967683</v>
      </c>
      <c r="AU16" s="157">
        <v>641060.9387076312</v>
      </c>
      <c r="AV16" s="157">
        <v>673358.04962419847</v>
      </c>
      <c r="AW16" s="157">
        <v>704505.47190748644</v>
      </c>
      <c r="AX16" s="157">
        <v>736096.23109914165</v>
      </c>
      <c r="AY16" s="157">
        <v>767861.75756660663</v>
      </c>
      <c r="AZ16" s="157">
        <v>799728.35504328227</v>
      </c>
      <c r="BA16" s="157">
        <v>832641.13542626332</v>
      </c>
      <c r="BB16" s="157">
        <v>858383.83989545016</v>
      </c>
      <c r="BC16" s="157">
        <v>885684.16403416696</v>
      </c>
    </row>
    <row r="17" spans="1:55" s="16" customFormat="1" x14ac:dyDescent="0.25">
      <c r="A17" s="162"/>
      <c r="B17" s="162" t="s">
        <v>1044</v>
      </c>
      <c r="C17" s="163" t="s">
        <v>139</v>
      </c>
      <c r="D17" s="164"/>
      <c r="E17" s="164">
        <f>E18+E19</f>
        <v>5864346</v>
      </c>
      <c r="F17" s="164">
        <f t="shared" ref="F17:BC17" si="2">F18+F19</f>
        <v>6028527.022567722</v>
      </c>
      <c r="G17" s="164">
        <f t="shared" si="2"/>
        <v>6268972.1703457478</v>
      </c>
      <c r="H17" s="164">
        <f t="shared" si="2"/>
        <v>6547710.2732252339</v>
      </c>
      <c r="I17" s="164">
        <f t="shared" si="2"/>
        <v>6909208.6070182519</v>
      </c>
      <c r="J17" s="164">
        <f t="shared" si="2"/>
        <v>7267720.9794338215</v>
      </c>
      <c r="K17" s="164">
        <f t="shared" si="2"/>
        <v>7640682.5580031639</v>
      </c>
      <c r="L17" s="164">
        <f t="shared" si="2"/>
        <v>8027429.2129546385</v>
      </c>
      <c r="M17" s="164">
        <f t="shared" si="2"/>
        <v>8421924.0283135064</v>
      </c>
      <c r="N17" s="164">
        <f t="shared" si="2"/>
        <v>8827350.3028108403</v>
      </c>
      <c r="O17" s="164">
        <f t="shared" si="2"/>
        <v>9246047.9178650305</v>
      </c>
      <c r="P17" s="164">
        <f t="shared" si="2"/>
        <v>9679841.6612772401</v>
      </c>
      <c r="Q17" s="164">
        <f t="shared" si="2"/>
        <v>10129132.447621895</v>
      </c>
      <c r="R17" s="164">
        <f t="shared" si="2"/>
        <v>10590797.292745395</v>
      </c>
      <c r="S17" s="164">
        <f t="shared" si="2"/>
        <v>11057646.593246326</v>
      </c>
      <c r="T17" s="164">
        <f t="shared" si="2"/>
        <v>11525653.088869473</v>
      </c>
      <c r="U17" s="164">
        <f t="shared" si="2"/>
        <v>11994918.650723306</v>
      </c>
      <c r="V17" s="164">
        <f t="shared" si="2"/>
        <v>12460505.682328198</v>
      </c>
      <c r="W17" s="164">
        <f t="shared" si="2"/>
        <v>12924272.159403566</v>
      </c>
      <c r="X17" s="164">
        <f t="shared" si="2"/>
        <v>13399525.28768488</v>
      </c>
      <c r="Y17" s="164">
        <f t="shared" si="2"/>
        <v>13886300.611488104</v>
      </c>
      <c r="Z17" s="164">
        <f t="shared" si="2"/>
        <v>14384325.868074143</v>
      </c>
      <c r="AA17" s="164">
        <f t="shared" si="2"/>
        <v>14891617.801134093</v>
      </c>
      <c r="AB17" s="164">
        <f t="shared" si="2"/>
        <v>15407398.366325755</v>
      </c>
      <c r="AC17" s="164">
        <f t="shared" si="2"/>
        <v>15933118.885460969</v>
      </c>
      <c r="AD17" s="164">
        <f t="shared" si="2"/>
        <v>16471038.486924784</v>
      </c>
      <c r="AE17" s="164">
        <f t="shared" si="2"/>
        <v>17021507.68869416</v>
      </c>
      <c r="AF17" s="164">
        <f t="shared" si="2"/>
        <v>17584875.489543643</v>
      </c>
      <c r="AG17" s="164">
        <f t="shared" si="2"/>
        <v>18155929.779631462</v>
      </c>
      <c r="AH17" s="164">
        <f t="shared" si="2"/>
        <v>18736218.940095976</v>
      </c>
      <c r="AI17" s="164">
        <f t="shared" si="2"/>
        <v>19326536.724805955</v>
      </c>
      <c r="AJ17" s="164">
        <f t="shared" si="2"/>
        <v>19926415.123459857</v>
      </c>
      <c r="AK17" s="164">
        <f t="shared" si="2"/>
        <v>20536854.524784435</v>
      </c>
      <c r="AL17" s="164">
        <f t="shared" si="2"/>
        <v>21157088.624803938</v>
      </c>
      <c r="AM17" s="164">
        <f t="shared" si="2"/>
        <v>21788636.581721611</v>
      </c>
      <c r="AN17" s="164">
        <f t="shared" si="2"/>
        <v>22433692.13733026</v>
      </c>
      <c r="AO17" s="164">
        <f t="shared" si="2"/>
        <v>23095177.806760617</v>
      </c>
      <c r="AP17" s="164">
        <f t="shared" si="2"/>
        <v>23773509.828414097</v>
      </c>
      <c r="AQ17" s="164">
        <f t="shared" si="2"/>
        <v>24469483.217701416</v>
      </c>
      <c r="AR17" s="164">
        <f t="shared" si="2"/>
        <v>25184230.012503702</v>
      </c>
      <c r="AS17" s="164">
        <f t="shared" si="2"/>
        <v>25919486.002228715</v>
      </c>
      <c r="AT17" s="164">
        <f t="shared" si="2"/>
        <v>26679410.859281603</v>
      </c>
      <c r="AU17" s="164">
        <f t="shared" si="2"/>
        <v>27464954.284501694</v>
      </c>
      <c r="AV17" s="164">
        <f t="shared" si="2"/>
        <v>28277698.378807332</v>
      </c>
      <c r="AW17" s="164">
        <f t="shared" si="2"/>
        <v>29119551.927612863</v>
      </c>
      <c r="AX17" s="164">
        <f t="shared" si="2"/>
        <v>29992272.89567307</v>
      </c>
      <c r="AY17" s="164">
        <f t="shared" si="2"/>
        <v>30895742.615893178</v>
      </c>
      <c r="AZ17" s="164">
        <f t="shared" si="2"/>
        <v>31835193.714936681</v>
      </c>
      <c r="BA17" s="164">
        <f t="shared" si="2"/>
        <v>32803210.832880151</v>
      </c>
      <c r="BB17" s="164">
        <f t="shared" si="2"/>
        <v>33800662.580592863</v>
      </c>
      <c r="BC17" s="164">
        <f t="shared" si="2"/>
        <v>34828443.980914399</v>
      </c>
    </row>
    <row r="18" spans="1:55" s="39" customFormat="1" x14ac:dyDescent="0.25">
      <c r="A18" s="69" t="s">
        <v>990</v>
      </c>
      <c r="B18" s="69" t="s">
        <v>989</v>
      </c>
      <c r="C18" s="156" t="s">
        <v>139</v>
      </c>
      <c r="D18" s="157"/>
      <c r="E18" s="157">
        <v>5478371</v>
      </c>
      <c r="F18" s="157">
        <v>5630674.0000000009</v>
      </c>
      <c r="G18" s="157">
        <v>5856297.0000000009</v>
      </c>
      <c r="H18" s="157">
        <v>6117519.0000000009</v>
      </c>
      <c r="I18" s="157">
        <v>6431519</v>
      </c>
      <c r="J18" s="157">
        <v>6737940.6249316558</v>
      </c>
      <c r="K18" s="157">
        <v>7057001.7314213645</v>
      </c>
      <c r="L18" s="157">
        <v>7388558.8890524926</v>
      </c>
      <c r="M18" s="157">
        <v>7726006.8701004358</v>
      </c>
      <c r="N18" s="157">
        <v>8069971.8054541964</v>
      </c>
      <c r="O18" s="157">
        <v>8428917.7812089287</v>
      </c>
      <c r="P18" s="157">
        <v>8803203.860080108</v>
      </c>
      <c r="Q18" s="157">
        <v>9231330.6082318109</v>
      </c>
      <c r="R18" s="157">
        <v>9674018.1140136551</v>
      </c>
      <c r="S18" s="157">
        <v>10123976.325346299</v>
      </c>
      <c r="T18" s="157">
        <v>10573094.731765701</v>
      </c>
      <c r="U18" s="157">
        <v>11016700.029668305</v>
      </c>
      <c r="V18" s="157">
        <v>11466923.515920762</v>
      </c>
      <c r="W18" s="157">
        <v>11918893.737434331</v>
      </c>
      <c r="X18" s="157">
        <v>12385081.403826756</v>
      </c>
      <c r="Y18" s="157">
        <v>12865853.992848016</v>
      </c>
      <c r="Z18" s="157">
        <v>13361340.940163543</v>
      </c>
      <c r="AA18" s="157">
        <v>13864520.070012083</v>
      </c>
      <c r="AB18" s="157">
        <v>14363746.84114885</v>
      </c>
      <c r="AC18" s="157">
        <v>14896968.543819183</v>
      </c>
      <c r="AD18" s="157">
        <v>15435690.027013242</v>
      </c>
      <c r="AE18" s="157">
        <v>16009235.075626153</v>
      </c>
      <c r="AF18" s="157">
        <v>16592446.113256933</v>
      </c>
      <c r="AG18" s="157">
        <v>17185830.824838962</v>
      </c>
      <c r="AH18" s="157">
        <v>17791107.927124687</v>
      </c>
      <c r="AI18" s="157">
        <v>18397621.590486813</v>
      </c>
      <c r="AJ18" s="157">
        <v>18993287.832175877</v>
      </c>
      <c r="AK18" s="157">
        <v>19625052.876913376</v>
      </c>
      <c r="AL18" s="157">
        <v>20274978.26167661</v>
      </c>
      <c r="AM18" s="157">
        <v>20937076.056242172</v>
      </c>
      <c r="AN18" s="157">
        <v>21610406.278157376</v>
      </c>
      <c r="AO18" s="157">
        <v>22297972.881472003</v>
      </c>
      <c r="AP18" s="157">
        <v>22999161.378247265</v>
      </c>
      <c r="AQ18" s="157">
        <v>23703720.12992426</v>
      </c>
      <c r="AR18" s="157">
        <v>24406314.077094078</v>
      </c>
      <c r="AS18" s="157">
        <v>25154091.278434902</v>
      </c>
      <c r="AT18" s="157">
        <v>25905501.891472705</v>
      </c>
      <c r="AU18" s="157">
        <v>26699114.585498635</v>
      </c>
      <c r="AV18" s="157">
        <v>27503258.928432278</v>
      </c>
      <c r="AW18" s="157">
        <v>28332540.891218774</v>
      </c>
      <c r="AX18" s="157">
        <v>29190455.684851535</v>
      </c>
      <c r="AY18" s="157">
        <v>30076918.61418841</v>
      </c>
      <c r="AZ18" s="157">
        <v>30991902.749712348</v>
      </c>
      <c r="BA18" s="157">
        <v>31927307.777768377</v>
      </c>
      <c r="BB18" s="157">
        <v>32899451.605305046</v>
      </c>
      <c r="BC18" s="157">
        <v>33903842.727071151</v>
      </c>
    </row>
    <row r="19" spans="1:55" s="30" customFormat="1" x14ac:dyDescent="0.25">
      <c r="A19" s="135"/>
      <c r="B19" s="135" t="s">
        <v>1043</v>
      </c>
      <c r="C19" s="158" t="s">
        <v>139</v>
      </c>
      <c r="D19" s="159"/>
      <c r="E19" s="159">
        <v>385974.99999999994</v>
      </c>
      <c r="F19" s="159">
        <v>397853.02256772114</v>
      </c>
      <c r="G19" s="159">
        <v>412675.17034574691</v>
      </c>
      <c r="H19" s="159">
        <v>430191.27322523296</v>
      </c>
      <c r="I19" s="159">
        <v>477689.60701825173</v>
      </c>
      <c r="J19" s="159">
        <v>529780.35450216569</v>
      </c>
      <c r="K19" s="159">
        <v>583680.82658179919</v>
      </c>
      <c r="L19" s="159">
        <v>638870.32390214631</v>
      </c>
      <c r="M19" s="159">
        <v>695917.15821307153</v>
      </c>
      <c r="N19" s="159">
        <v>757378.4973566432</v>
      </c>
      <c r="O19" s="159">
        <v>817130.13665610272</v>
      </c>
      <c r="P19" s="159">
        <v>876637.8011971314</v>
      </c>
      <c r="Q19" s="159">
        <v>897801.83939008368</v>
      </c>
      <c r="R19" s="159">
        <v>916779.17873173894</v>
      </c>
      <c r="S19" s="159">
        <v>933670.26790002722</v>
      </c>
      <c r="T19" s="159">
        <v>952558.357103772</v>
      </c>
      <c r="U19" s="159">
        <v>978218.62105500128</v>
      </c>
      <c r="V19" s="159">
        <v>993582.1664074352</v>
      </c>
      <c r="W19" s="159">
        <v>1005378.4219692344</v>
      </c>
      <c r="X19" s="159">
        <v>1014443.8838581232</v>
      </c>
      <c r="Y19" s="159">
        <v>1020446.6186400874</v>
      </c>
      <c r="Z19" s="159">
        <v>1022984.9279106</v>
      </c>
      <c r="AA19" s="159">
        <v>1027097.7311220088</v>
      </c>
      <c r="AB19" s="159">
        <v>1043651.5251769051</v>
      </c>
      <c r="AC19" s="159">
        <v>1036150.3416417848</v>
      </c>
      <c r="AD19" s="159">
        <v>1035348.4599115422</v>
      </c>
      <c r="AE19" s="159">
        <v>1012272.6130680057</v>
      </c>
      <c r="AF19" s="159">
        <v>992429.37628670956</v>
      </c>
      <c r="AG19" s="159">
        <v>970098.95479249884</v>
      </c>
      <c r="AH19" s="159">
        <v>945111.01297129109</v>
      </c>
      <c r="AI19" s="159">
        <v>928915.13431914139</v>
      </c>
      <c r="AJ19" s="159">
        <v>933127.29128398024</v>
      </c>
      <c r="AK19" s="159">
        <v>911801.64787105739</v>
      </c>
      <c r="AL19" s="159">
        <v>882110.3631273295</v>
      </c>
      <c r="AM19" s="159">
        <v>851560.52547944139</v>
      </c>
      <c r="AN19" s="159">
        <v>823285.85917288298</v>
      </c>
      <c r="AO19" s="159">
        <v>797204.92528861249</v>
      </c>
      <c r="AP19" s="159">
        <v>774348.45016683207</v>
      </c>
      <c r="AQ19" s="159">
        <v>765763.0877771579</v>
      </c>
      <c r="AR19" s="159">
        <v>777915.93540962576</v>
      </c>
      <c r="AS19" s="159">
        <v>765394.72379381105</v>
      </c>
      <c r="AT19" s="159">
        <v>773908.96780889889</v>
      </c>
      <c r="AU19" s="159">
        <v>765839.69900305814</v>
      </c>
      <c r="AV19" s="159">
        <v>774439.45037505485</v>
      </c>
      <c r="AW19" s="159">
        <v>787011.03639408853</v>
      </c>
      <c r="AX19" s="159">
        <v>801817.21082153369</v>
      </c>
      <c r="AY19" s="159">
        <v>818824.00170476746</v>
      </c>
      <c r="AZ19" s="159">
        <v>843290.96522433241</v>
      </c>
      <c r="BA19" s="159">
        <v>875903.05511177157</v>
      </c>
      <c r="BB19" s="159">
        <v>901210.97528782033</v>
      </c>
      <c r="BC19" s="159">
        <v>924601.25384324451</v>
      </c>
    </row>
    <row r="20" spans="1:55" x14ac:dyDescent="0.25">
      <c r="A20" s="69"/>
      <c r="B20" s="162" t="s">
        <v>1062</v>
      </c>
      <c r="C20" s="156"/>
      <c r="D20" s="157"/>
      <c r="E20" s="157"/>
      <c r="F20" s="157"/>
      <c r="G20" s="157"/>
      <c r="H20" s="157"/>
      <c r="I20" s="157"/>
      <c r="J20" s="157"/>
      <c r="K20" s="157"/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57"/>
      <c r="Z20" s="157"/>
      <c r="AA20" s="157"/>
      <c r="AB20" s="157"/>
      <c r="AC20" s="157"/>
      <c r="AD20" s="157"/>
      <c r="AE20" s="157"/>
      <c r="AF20" s="157"/>
      <c r="AG20" s="157"/>
      <c r="AH20" s="157"/>
      <c r="AI20" s="157"/>
      <c r="AJ20" s="157"/>
      <c r="AK20" s="157"/>
      <c r="AL20" s="157"/>
      <c r="AM20" s="157"/>
      <c r="AN20" s="157"/>
      <c r="AO20" s="157"/>
      <c r="AP20" s="157"/>
      <c r="AQ20" s="157"/>
      <c r="AR20" s="157"/>
      <c r="AS20" s="157"/>
      <c r="AT20" s="157"/>
      <c r="AU20" s="157"/>
      <c r="AV20" s="157"/>
      <c r="AW20" s="157"/>
      <c r="AX20" s="157"/>
      <c r="AY20" s="157"/>
      <c r="AZ20" s="157"/>
      <c r="BA20" s="157"/>
      <c r="BB20" s="157"/>
      <c r="BC20" s="157"/>
    </row>
    <row r="21" spans="1:55" s="16" customFormat="1" x14ac:dyDescent="0.25">
      <c r="A21" s="162"/>
      <c r="B21" s="162" t="s">
        <v>981</v>
      </c>
      <c r="C21" s="163" t="s">
        <v>139</v>
      </c>
      <c r="D21" s="164"/>
      <c r="E21" s="164">
        <f>SUM(E22:E23)</f>
        <v>174252.25529377355</v>
      </c>
      <c r="F21" s="164">
        <f t="shared" ref="F21:BC21" si="3">SUM(F22:F23)</f>
        <v>196517.17798757978</v>
      </c>
      <c r="G21" s="164">
        <f t="shared" si="3"/>
        <v>206060.87109704275</v>
      </c>
      <c r="H21" s="164">
        <f t="shared" si="3"/>
        <v>216820.37943233794</v>
      </c>
      <c r="I21" s="164">
        <f t="shared" si="3"/>
        <v>229021.17463312083</v>
      </c>
      <c r="J21" s="164">
        <f t="shared" si="3"/>
        <v>240700.21753616503</v>
      </c>
      <c r="K21" s="164">
        <f t="shared" si="3"/>
        <v>252642.56969131954</v>
      </c>
      <c r="L21" s="164">
        <f t="shared" si="3"/>
        <v>264835.70716886868</v>
      </c>
      <c r="M21" s="164">
        <f t="shared" si="3"/>
        <v>277397.24754013476</v>
      </c>
      <c r="N21" s="164">
        <f t="shared" si="3"/>
        <v>290300.52686968748</v>
      </c>
      <c r="O21" s="164">
        <f t="shared" si="3"/>
        <v>303526.47807184618</v>
      </c>
      <c r="P21" s="164">
        <f t="shared" si="3"/>
        <v>317060.60423091811</v>
      </c>
      <c r="Q21" s="164">
        <f t="shared" si="3"/>
        <v>330914.43661261385</v>
      </c>
      <c r="R21" s="164">
        <f t="shared" si="3"/>
        <v>345073.79409557761</v>
      </c>
      <c r="S21" s="164">
        <f t="shared" si="3"/>
        <v>359531.25360359222</v>
      </c>
      <c r="T21" s="164">
        <f t="shared" si="3"/>
        <v>374299.31448363437</v>
      </c>
      <c r="U21" s="164">
        <f t="shared" si="3"/>
        <v>389362.7406780431</v>
      </c>
      <c r="V21" s="164">
        <f t="shared" si="3"/>
        <v>404701.80233542435</v>
      </c>
      <c r="W21" s="164">
        <f t="shared" si="3"/>
        <v>420635.39565393096</v>
      </c>
      <c r="X21" s="164">
        <f t="shared" si="3"/>
        <v>437149.7340731665</v>
      </c>
      <c r="Y21" s="164">
        <f t="shared" si="3"/>
        <v>454267.1280637387</v>
      </c>
      <c r="Z21" s="164">
        <f t="shared" si="3"/>
        <v>472037.34342209785</v>
      </c>
      <c r="AA21" s="164">
        <f t="shared" si="3"/>
        <v>490480.21174596669</v>
      </c>
      <c r="AB21" s="164">
        <f t="shared" si="3"/>
        <v>509635.34601228056</v>
      </c>
      <c r="AC21" s="164">
        <f t="shared" si="3"/>
        <v>529529.06864996604</v>
      </c>
      <c r="AD21" s="164">
        <f t="shared" si="3"/>
        <v>550181.55500864843</v>
      </c>
      <c r="AE21" s="164">
        <f t="shared" si="3"/>
        <v>571630.88213705912</v>
      </c>
      <c r="AF21" s="164">
        <f t="shared" si="3"/>
        <v>593886.85916505754</v>
      </c>
      <c r="AG21" s="164">
        <f t="shared" si="3"/>
        <v>616863.12369097094</v>
      </c>
      <c r="AH21" s="164">
        <f t="shared" si="3"/>
        <v>640561.68271020753</v>
      </c>
      <c r="AI21" s="164">
        <f t="shared" si="3"/>
        <v>665000.08326561563</v>
      </c>
      <c r="AJ21" s="164">
        <f t="shared" si="3"/>
        <v>690194.26495028054</v>
      </c>
      <c r="AK21" s="164">
        <f t="shared" si="3"/>
        <v>716131.60347064678</v>
      </c>
      <c r="AL21" s="164">
        <f t="shared" si="3"/>
        <v>742853.73372999358</v>
      </c>
      <c r="AM21" s="164">
        <f t="shared" si="3"/>
        <v>770386.21231254423</v>
      </c>
      <c r="AN21" s="164">
        <f t="shared" si="3"/>
        <v>798713.22567015176</v>
      </c>
      <c r="AO21" s="164">
        <f t="shared" si="3"/>
        <v>827862.56089138635</v>
      </c>
      <c r="AP21" s="164">
        <f t="shared" si="3"/>
        <v>857852.00615647831</v>
      </c>
      <c r="AQ21" s="164">
        <f t="shared" si="3"/>
        <v>888674.38348692539</v>
      </c>
      <c r="AR21" s="164">
        <f t="shared" si="3"/>
        <v>920329.65180525754</v>
      </c>
      <c r="AS21" s="164">
        <f t="shared" si="3"/>
        <v>952874.448346121</v>
      </c>
      <c r="AT21" s="164">
        <f t="shared" si="3"/>
        <v>986277.91572051123</v>
      </c>
      <c r="AU21" s="164">
        <f t="shared" si="3"/>
        <v>1020576.9434768701</v>
      </c>
      <c r="AV21" s="164">
        <f t="shared" si="3"/>
        <v>1055747.9414318886</v>
      </c>
      <c r="AW21" s="164">
        <f t="shared" si="3"/>
        <v>1091774.188178991</v>
      </c>
      <c r="AX21" s="164">
        <f t="shared" si="3"/>
        <v>1128699.570914333</v>
      </c>
      <c r="AY21" s="164">
        <f t="shared" si="3"/>
        <v>1166442.8955833646</v>
      </c>
      <c r="AZ21" s="164">
        <f t="shared" si="3"/>
        <v>1205040.4499076866</v>
      </c>
      <c r="BA21" s="164">
        <f t="shared" si="3"/>
        <v>1249304.4280009216</v>
      </c>
      <c r="BB21" s="164">
        <f t="shared" si="3"/>
        <v>1293420.3090945417</v>
      </c>
      <c r="BC21" s="164">
        <f t="shared" si="3"/>
        <v>1337834.4461465583</v>
      </c>
    </row>
    <row r="22" spans="1:55" x14ac:dyDescent="0.25">
      <c r="A22" s="69"/>
      <c r="B22" s="69" t="s">
        <v>982</v>
      </c>
      <c r="C22" s="156" t="s">
        <v>139</v>
      </c>
      <c r="D22" s="157"/>
      <c r="E22" s="157">
        <v>118084.45537452211</v>
      </c>
      <c r="F22" s="157">
        <v>132302.49550055392</v>
      </c>
      <c r="G22" s="157">
        <v>138744.97751006964</v>
      </c>
      <c r="H22" s="157">
        <v>146006.58601686213</v>
      </c>
      <c r="I22" s="157">
        <v>154239.374098234</v>
      </c>
      <c r="J22" s="157">
        <v>162121.39139932496</v>
      </c>
      <c r="K22" s="157">
        <v>170181.30411834805</v>
      </c>
      <c r="L22" s="157">
        <v>178410.68849178927</v>
      </c>
      <c r="M22" s="157">
        <v>186888.81147897179</v>
      </c>
      <c r="N22" s="157">
        <v>195597.77364974373</v>
      </c>
      <c r="O22" s="157">
        <v>204524.78721932965</v>
      </c>
      <c r="P22" s="157">
        <v>213660.15785737243</v>
      </c>
      <c r="Q22" s="157">
        <v>223011.72594436893</v>
      </c>
      <c r="R22" s="157">
        <v>232569.99070973185</v>
      </c>
      <c r="S22" s="157">
        <v>242329.9806706745</v>
      </c>
      <c r="T22" s="157">
        <v>252300.16977625235</v>
      </c>
      <c r="U22" s="157">
        <v>262470.32358225941</v>
      </c>
      <c r="V22" s="157">
        <v>272827.16646820429</v>
      </c>
      <c r="W22" s="157">
        <v>283585.71139268472</v>
      </c>
      <c r="X22" s="157">
        <v>294736.69988008367</v>
      </c>
      <c r="Y22" s="157">
        <v>306295.18344802927</v>
      </c>
      <c r="Z22" s="157">
        <v>318294.7291229465</v>
      </c>
      <c r="AA22" s="157">
        <v>330748.66537844046</v>
      </c>
      <c r="AB22" s="157">
        <v>343683.57285390765</v>
      </c>
      <c r="AC22" s="157">
        <v>357117.09045316547</v>
      </c>
      <c r="AD22" s="157">
        <v>371062.68935319601</v>
      </c>
      <c r="AE22" s="157">
        <v>385545.85090024158</v>
      </c>
      <c r="AF22" s="157">
        <v>400572.98440172139</v>
      </c>
      <c r="AG22" s="157">
        <v>416085.6822809733</v>
      </c>
      <c r="AH22" s="157">
        <v>432085.18606704322</v>
      </c>
      <c r="AI22" s="157">
        <v>448583.28749783081</v>
      </c>
      <c r="AJ22" s="157">
        <v>465590.68656269059</v>
      </c>
      <c r="AK22" s="157">
        <v>483098.71477769688</v>
      </c>
      <c r="AL22" s="157">
        <v>501135.60459660902</v>
      </c>
      <c r="AM22" s="157">
        <v>519718.63765278464</v>
      </c>
      <c r="AN22" s="157">
        <v>538836.7507263677</v>
      </c>
      <c r="AO22" s="157">
        <v>558508.89184658916</v>
      </c>
      <c r="AP22" s="157">
        <v>578747.5921926864</v>
      </c>
      <c r="AQ22" s="157">
        <v>599548.01539486751</v>
      </c>
      <c r="AR22" s="157">
        <v>620910.19367614109</v>
      </c>
      <c r="AS22" s="157">
        <v>642872.86600186105</v>
      </c>
      <c r="AT22" s="157">
        <v>665415.76212579396</v>
      </c>
      <c r="AU22" s="157">
        <v>688564.0664633835</v>
      </c>
      <c r="AV22" s="157">
        <v>712301.85284274409</v>
      </c>
      <c r="AW22" s="157">
        <v>736618.10151829978</v>
      </c>
      <c r="AX22" s="157">
        <v>761543.0077124727</v>
      </c>
      <c r="AY22" s="157">
        <v>787022.12529899157</v>
      </c>
      <c r="AZ22" s="157">
        <v>813080.05727128242</v>
      </c>
      <c r="BA22" s="157">
        <v>842963.25375922373</v>
      </c>
      <c r="BB22" s="157">
        <v>872747.40135930153</v>
      </c>
      <c r="BC22" s="157">
        <v>902734.05629610294</v>
      </c>
    </row>
    <row r="23" spans="1:55" x14ac:dyDescent="0.25">
      <c r="A23" s="69"/>
      <c r="B23" s="69" t="s">
        <v>983</v>
      </c>
      <c r="C23" s="156" t="s">
        <v>139</v>
      </c>
      <c r="D23" s="157"/>
      <c r="E23" s="157">
        <v>56167.799919251433</v>
      </c>
      <c r="F23" s="157">
        <v>64214.682487025872</v>
      </c>
      <c r="G23" s="157">
        <v>67315.893586973121</v>
      </c>
      <c r="H23" s="157">
        <v>70813.793415475797</v>
      </c>
      <c r="I23" s="157">
        <v>74781.800534886846</v>
      </c>
      <c r="J23" s="157">
        <v>78578.826136840071</v>
      </c>
      <c r="K23" s="157">
        <v>82461.265572971504</v>
      </c>
      <c r="L23" s="157">
        <v>86425.018677079395</v>
      </c>
      <c r="M23" s="157">
        <v>90508.436061162953</v>
      </c>
      <c r="N23" s="157">
        <v>94702.753219943726</v>
      </c>
      <c r="O23" s="157">
        <v>99001.690852516549</v>
      </c>
      <c r="P23" s="157">
        <v>103400.4463735457</v>
      </c>
      <c r="Q23" s="157">
        <v>107902.71066824491</v>
      </c>
      <c r="R23" s="157">
        <v>112503.80338584576</v>
      </c>
      <c r="S23" s="157">
        <v>117201.27293291771</v>
      </c>
      <c r="T23" s="157">
        <v>121999.144707382</v>
      </c>
      <c r="U23" s="157">
        <v>126892.41709578368</v>
      </c>
      <c r="V23" s="157">
        <v>131874.63586722006</v>
      </c>
      <c r="W23" s="157">
        <v>137049.68426124626</v>
      </c>
      <c r="X23" s="157">
        <v>142413.03419308283</v>
      </c>
      <c r="Y23" s="157">
        <v>147971.94461570942</v>
      </c>
      <c r="Z23" s="157">
        <v>153742.61429915138</v>
      </c>
      <c r="AA23" s="157">
        <v>159731.54636752623</v>
      </c>
      <c r="AB23" s="157">
        <v>165951.77315837293</v>
      </c>
      <c r="AC23" s="157">
        <v>172411.9781968006</v>
      </c>
      <c r="AD23" s="157">
        <v>179118.86565545239</v>
      </c>
      <c r="AE23" s="157">
        <v>186085.03123681757</v>
      </c>
      <c r="AF23" s="157">
        <v>193313.87476333621</v>
      </c>
      <c r="AG23" s="157">
        <v>200777.44140999767</v>
      </c>
      <c r="AH23" s="157">
        <v>208476.49664316425</v>
      </c>
      <c r="AI23" s="157">
        <v>216416.79576778476</v>
      </c>
      <c r="AJ23" s="157">
        <v>224603.57838758989</v>
      </c>
      <c r="AK23" s="157">
        <v>233032.88869294996</v>
      </c>
      <c r="AL23" s="157">
        <v>241718.12913338459</v>
      </c>
      <c r="AM23" s="157">
        <v>250667.57465975959</v>
      </c>
      <c r="AN23" s="157">
        <v>259876.47494378404</v>
      </c>
      <c r="AO23" s="157">
        <v>269353.66904479713</v>
      </c>
      <c r="AP23" s="157">
        <v>279104.41396379197</v>
      </c>
      <c r="AQ23" s="157">
        <v>289126.36809205794</v>
      </c>
      <c r="AR23" s="157">
        <v>299419.45812911645</v>
      </c>
      <c r="AS23" s="157">
        <v>310001.58234425989</v>
      </c>
      <c r="AT23" s="157">
        <v>320862.15359471733</v>
      </c>
      <c r="AU23" s="157">
        <v>332012.87701348658</v>
      </c>
      <c r="AV23" s="157">
        <v>343446.08858914452</v>
      </c>
      <c r="AW23" s="157">
        <v>355156.08666069107</v>
      </c>
      <c r="AX23" s="157">
        <v>367156.56320186029</v>
      </c>
      <c r="AY23" s="157">
        <v>379420.77028437302</v>
      </c>
      <c r="AZ23" s="157">
        <v>391960.39263640408</v>
      </c>
      <c r="BA23" s="157">
        <v>406341.17424169788</v>
      </c>
      <c r="BB23" s="157">
        <v>420672.90773524012</v>
      </c>
      <c r="BC23" s="157">
        <v>435100.38985045528</v>
      </c>
    </row>
    <row r="24" spans="1:55" s="16" customFormat="1" x14ac:dyDescent="0.25">
      <c r="A24" s="162"/>
      <c r="B24" s="162" t="s">
        <v>984</v>
      </c>
      <c r="C24" s="163" t="s">
        <v>139</v>
      </c>
      <c r="D24" s="164"/>
      <c r="E24" s="164">
        <f>SUM(E25:E26)</f>
        <v>287779.11307134462</v>
      </c>
      <c r="F24" s="164">
        <f t="shared" ref="F24:BC24" si="4">SUM(F25:F26)</f>
        <v>295693.21940625494</v>
      </c>
      <c r="G24" s="164">
        <f t="shared" si="4"/>
        <v>308881.12497867481</v>
      </c>
      <c r="H24" s="164">
        <f t="shared" si="4"/>
        <v>322428.60158287344</v>
      </c>
      <c r="I24" s="164">
        <f t="shared" si="4"/>
        <v>337250.21702029696</v>
      </c>
      <c r="J24" s="164">
        <f t="shared" si="4"/>
        <v>354256.905398804</v>
      </c>
      <c r="K24" s="164">
        <f t="shared" si="4"/>
        <v>370089.3388321058</v>
      </c>
      <c r="L24" s="164">
        <f t="shared" si="4"/>
        <v>387243.54701961577</v>
      </c>
      <c r="M24" s="164">
        <f t="shared" si="4"/>
        <v>405076.70962936117</v>
      </c>
      <c r="N24" s="164">
        <f t="shared" si="4"/>
        <v>424813.10263079638</v>
      </c>
      <c r="O24" s="164">
        <f t="shared" si="4"/>
        <v>447736.20308519539</v>
      </c>
      <c r="P24" s="164">
        <f t="shared" si="4"/>
        <v>468569.12928377709</v>
      </c>
      <c r="Q24" s="164">
        <f t="shared" si="4"/>
        <v>489508.6976535123</v>
      </c>
      <c r="R24" s="164">
        <f t="shared" si="4"/>
        <v>511302.69450456882</v>
      </c>
      <c r="S24" s="164">
        <f t="shared" si="4"/>
        <v>535823.36598242703</v>
      </c>
      <c r="T24" s="164">
        <f t="shared" si="4"/>
        <v>557796.25835912791</v>
      </c>
      <c r="U24" s="164">
        <f t="shared" si="4"/>
        <v>579248.59170171013</v>
      </c>
      <c r="V24" s="164">
        <f t="shared" si="4"/>
        <v>599240.75363949861</v>
      </c>
      <c r="W24" s="164">
        <f t="shared" si="4"/>
        <v>623726.03398676228</v>
      </c>
      <c r="X24" s="164">
        <f t="shared" si="4"/>
        <v>644103.0324921303</v>
      </c>
      <c r="Y24" s="164">
        <f t="shared" si="4"/>
        <v>662765.64607041772</v>
      </c>
      <c r="Z24" s="164">
        <f t="shared" si="4"/>
        <v>681320.47527981969</v>
      </c>
      <c r="AA24" s="164">
        <f t="shared" si="4"/>
        <v>698562.68975317478</v>
      </c>
      <c r="AB24" s="164">
        <f t="shared" si="4"/>
        <v>719437.56982886686</v>
      </c>
      <c r="AC24" s="164">
        <f t="shared" si="4"/>
        <v>735125.45299950405</v>
      </c>
      <c r="AD24" s="164">
        <f t="shared" si="4"/>
        <v>748485.75920354924</v>
      </c>
      <c r="AE24" s="164">
        <f t="shared" si="4"/>
        <v>761126.66478238767</v>
      </c>
      <c r="AF24" s="164">
        <f t="shared" si="4"/>
        <v>774923.64507184341</v>
      </c>
      <c r="AG24" s="164">
        <f t="shared" si="4"/>
        <v>791011.55594661238</v>
      </c>
      <c r="AH24" s="164">
        <f t="shared" si="4"/>
        <v>803777.42263416923</v>
      </c>
      <c r="AI24" s="164">
        <f t="shared" si="4"/>
        <v>817477.58078979328</v>
      </c>
      <c r="AJ24" s="164">
        <f t="shared" si="4"/>
        <v>832201.73523306043</v>
      </c>
      <c r="AK24" s="164">
        <f t="shared" si="4"/>
        <v>856247.97676423495</v>
      </c>
      <c r="AL24" s="164">
        <f t="shared" si="4"/>
        <v>874927.463354729</v>
      </c>
      <c r="AM24" s="164">
        <f t="shared" si="4"/>
        <v>896894.75399269909</v>
      </c>
      <c r="AN24" s="164">
        <f t="shared" si="4"/>
        <v>920611.50712433271</v>
      </c>
      <c r="AO24" s="164">
        <f t="shared" si="4"/>
        <v>946476.74144368106</v>
      </c>
      <c r="AP24" s="164">
        <f t="shared" si="4"/>
        <v>976725.45381104841</v>
      </c>
      <c r="AQ24" s="164">
        <f t="shared" si="4"/>
        <v>1011938.3862210056</v>
      </c>
      <c r="AR24" s="164">
        <f t="shared" si="4"/>
        <v>1042947.503133866</v>
      </c>
      <c r="AS24" s="164">
        <f t="shared" si="4"/>
        <v>1074102.707068691</v>
      </c>
      <c r="AT24" s="164">
        <f t="shared" si="4"/>
        <v>1106170.5805364437</v>
      </c>
      <c r="AU24" s="164">
        <f t="shared" si="4"/>
        <v>1142358.526486187</v>
      </c>
      <c r="AV24" s="164">
        <f t="shared" si="4"/>
        <v>1183576.3768341895</v>
      </c>
      <c r="AW24" s="164">
        <f t="shared" si="4"/>
        <v>1217336.7626587304</v>
      </c>
      <c r="AX24" s="164">
        <f t="shared" si="4"/>
        <v>1252003.5349148791</v>
      </c>
      <c r="AY24" s="164">
        <f t="shared" si="4"/>
        <v>1286712.4031817743</v>
      </c>
      <c r="AZ24" s="164">
        <f t="shared" si="4"/>
        <v>1320353.5461976891</v>
      </c>
      <c r="BA24" s="164">
        <f t="shared" si="4"/>
        <v>1369264.335092851</v>
      </c>
      <c r="BB24" s="164">
        <f t="shared" si="4"/>
        <v>1404062.303994583</v>
      </c>
      <c r="BC24" s="164">
        <f t="shared" si="4"/>
        <v>1437701.0591970659</v>
      </c>
    </row>
    <row r="25" spans="1:55" x14ac:dyDescent="0.25">
      <c r="A25" s="69"/>
      <c r="B25" s="69" t="s">
        <v>982</v>
      </c>
      <c r="C25" s="156" t="s">
        <v>139</v>
      </c>
      <c r="D25" s="157"/>
      <c r="E25" s="157">
        <v>129472.59469056976</v>
      </c>
      <c r="F25" s="157">
        <v>138951.92590314252</v>
      </c>
      <c r="G25" s="157">
        <v>149018.63888577401</v>
      </c>
      <c r="H25" s="157">
        <v>159281.14807118603</v>
      </c>
      <c r="I25" s="157">
        <v>170345.60516099434</v>
      </c>
      <c r="J25" s="157">
        <v>182633.19463152188</v>
      </c>
      <c r="K25" s="157">
        <v>194688.52412230693</v>
      </c>
      <c r="L25" s="157">
        <v>207471.79231382956</v>
      </c>
      <c r="M25" s="157">
        <v>220867.98009672409</v>
      </c>
      <c r="N25" s="157">
        <v>235153.82326790883</v>
      </c>
      <c r="O25" s="157">
        <v>251359.78201726751</v>
      </c>
      <c r="P25" s="157">
        <v>266676.61661308253</v>
      </c>
      <c r="Q25" s="157">
        <v>282227.63083584805</v>
      </c>
      <c r="R25" s="157">
        <v>298240.96507305477</v>
      </c>
      <c r="S25" s="157">
        <v>315838.07465635584</v>
      </c>
      <c r="T25" s="157">
        <v>332077.34479866707</v>
      </c>
      <c r="U25" s="157">
        <v>347626.58384368924</v>
      </c>
      <c r="V25" s="157">
        <v>362554.23869923293</v>
      </c>
      <c r="W25" s="157">
        <v>380234.48390853952</v>
      </c>
      <c r="X25" s="157">
        <v>395599.21301323309</v>
      </c>
      <c r="Y25" s="157">
        <v>409728.23622768285</v>
      </c>
      <c r="Z25" s="157">
        <v>423784.40974720306</v>
      </c>
      <c r="AA25" s="157">
        <v>437004.75367520755</v>
      </c>
      <c r="AB25" s="157">
        <v>452677.79577146732</v>
      </c>
      <c r="AC25" s="157">
        <v>464877.4341718753</v>
      </c>
      <c r="AD25" s="157">
        <v>475373.3789722838</v>
      </c>
      <c r="AE25" s="157">
        <v>485889.37601028878</v>
      </c>
      <c r="AF25" s="157">
        <v>496463.1226388237</v>
      </c>
      <c r="AG25" s="157">
        <v>510929.48376897711</v>
      </c>
      <c r="AH25" s="157">
        <v>521924.32815440849</v>
      </c>
      <c r="AI25" s="157">
        <v>533620.62391537637</v>
      </c>
      <c r="AJ25" s="157">
        <v>546334.46350189438</v>
      </c>
      <c r="AK25" s="157">
        <v>565136.13175686507</v>
      </c>
      <c r="AL25" s="157">
        <v>579960.96728513285</v>
      </c>
      <c r="AM25" s="157">
        <v>597298.35895427736</v>
      </c>
      <c r="AN25" s="157">
        <v>615774.88591174327</v>
      </c>
      <c r="AO25" s="157">
        <v>636117.11360119784</v>
      </c>
      <c r="AP25" s="157">
        <v>657982.94934731536</v>
      </c>
      <c r="AQ25" s="157">
        <v>686844.95334473555</v>
      </c>
      <c r="AR25" s="157">
        <v>711410.10247348726</v>
      </c>
      <c r="AS25" s="157">
        <v>736209.9847274319</v>
      </c>
      <c r="AT25" s="157">
        <v>762022.85602715902</v>
      </c>
      <c r="AU25" s="157">
        <v>788366.52538872475</v>
      </c>
      <c r="AV25" s="157">
        <v>822092.0276236264</v>
      </c>
      <c r="AW25" s="157">
        <v>848396.0055671311</v>
      </c>
      <c r="AX25" s="157">
        <v>875608.57923398272</v>
      </c>
      <c r="AY25" s="157">
        <v>902716.27145705291</v>
      </c>
      <c r="AZ25" s="157">
        <v>928729.39172119484</v>
      </c>
      <c r="BA25" s="157">
        <v>965861.66739234258</v>
      </c>
      <c r="BB25" s="157">
        <v>992241.36865444295</v>
      </c>
      <c r="BC25" s="157">
        <v>1018614.2228307341</v>
      </c>
    </row>
    <row r="26" spans="1:55" x14ac:dyDescent="0.25">
      <c r="A26" s="69"/>
      <c r="B26" s="69" t="s">
        <v>983</v>
      </c>
      <c r="C26" s="156" t="s">
        <v>139</v>
      </c>
      <c r="D26" s="157"/>
      <c r="E26" s="157">
        <v>158306.51838077485</v>
      </c>
      <c r="F26" s="157">
        <v>156741.29350311242</v>
      </c>
      <c r="G26" s="157">
        <v>159862.48609290077</v>
      </c>
      <c r="H26" s="157">
        <v>163147.4535116874</v>
      </c>
      <c r="I26" s="157">
        <v>166904.61185930265</v>
      </c>
      <c r="J26" s="157">
        <v>171623.71076728211</v>
      </c>
      <c r="K26" s="157">
        <v>175400.81470979887</v>
      </c>
      <c r="L26" s="157">
        <v>179771.75470578624</v>
      </c>
      <c r="M26" s="157">
        <v>184208.72953263705</v>
      </c>
      <c r="N26" s="157">
        <v>189659.27936288758</v>
      </c>
      <c r="O26" s="157">
        <v>196376.42106792791</v>
      </c>
      <c r="P26" s="157">
        <v>201892.51267069459</v>
      </c>
      <c r="Q26" s="157">
        <v>207281.06681766425</v>
      </c>
      <c r="R26" s="157">
        <v>213061.72943151408</v>
      </c>
      <c r="S26" s="157">
        <v>219985.29132607125</v>
      </c>
      <c r="T26" s="157">
        <v>225718.91356046085</v>
      </c>
      <c r="U26" s="157">
        <v>231622.00785802095</v>
      </c>
      <c r="V26" s="157">
        <v>236686.51494026565</v>
      </c>
      <c r="W26" s="157">
        <v>243491.55007822273</v>
      </c>
      <c r="X26" s="157">
        <v>248503.8194788972</v>
      </c>
      <c r="Y26" s="157">
        <v>253037.40984273487</v>
      </c>
      <c r="Z26" s="157">
        <v>257536.0655326166</v>
      </c>
      <c r="AA26" s="157">
        <v>261557.93607796726</v>
      </c>
      <c r="AB26" s="157">
        <v>266759.77405739954</v>
      </c>
      <c r="AC26" s="157">
        <v>270248.01882762869</v>
      </c>
      <c r="AD26" s="157">
        <v>273112.38023126539</v>
      </c>
      <c r="AE26" s="157">
        <v>275237.28877209895</v>
      </c>
      <c r="AF26" s="157">
        <v>278460.52243301971</v>
      </c>
      <c r="AG26" s="157">
        <v>280082.07217763527</v>
      </c>
      <c r="AH26" s="157">
        <v>281853.09447976074</v>
      </c>
      <c r="AI26" s="157">
        <v>283856.95687441685</v>
      </c>
      <c r="AJ26" s="157">
        <v>285867.27173116605</v>
      </c>
      <c r="AK26" s="157">
        <v>291111.84500736982</v>
      </c>
      <c r="AL26" s="157">
        <v>294966.49606959615</v>
      </c>
      <c r="AM26" s="157">
        <v>299596.39503842167</v>
      </c>
      <c r="AN26" s="157">
        <v>304836.6212125895</v>
      </c>
      <c r="AO26" s="157">
        <v>310359.62784248329</v>
      </c>
      <c r="AP26" s="157">
        <v>318742.50446373306</v>
      </c>
      <c r="AQ26" s="157">
        <v>325093.43287626997</v>
      </c>
      <c r="AR26" s="157">
        <v>331537.4006603788</v>
      </c>
      <c r="AS26" s="157">
        <v>337892.72234125901</v>
      </c>
      <c r="AT26" s="157">
        <v>344147.7245092846</v>
      </c>
      <c r="AU26" s="157">
        <v>353992.00109746231</v>
      </c>
      <c r="AV26" s="157">
        <v>361484.34921056312</v>
      </c>
      <c r="AW26" s="157">
        <v>368940.75709159928</v>
      </c>
      <c r="AX26" s="157">
        <v>376394.95568089635</v>
      </c>
      <c r="AY26" s="157">
        <v>383996.13172472134</v>
      </c>
      <c r="AZ26" s="157">
        <v>391624.15447649424</v>
      </c>
      <c r="BA26" s="157">
        <v>403402.66770050849</v>
      </c>
      <c r="BB26" s="157">
        <v>411820.93534013996</v>
      </c>
      <c r="BC26" s="157">
        <v>419086.83636633185</v>
      </c>
    </row>
    <row r="27" spans="1:55" s="16" customFormat="1" x14ac:dyDescent="0.25">
      <c r="A27" s="162"/>
      <c r="B27" s="162" t="s">
        <v>985</v>
      </c>
      <c r="C27" s="163" t="s">
        <v>139</v>
      </c>
      <c r="D27" s="164"/>
      <c r="E27" s="164">
        <f>E21-E24</f>
        <v>-113526.85777757107</v>
      </c>
      <c r="F27" s="164">
        <f t="shared" ref="F27:BC27" si="5">F21-F24</f>
        <v>-99176.041418675159</v>
      </c>
      <c r="G27" s="164">
        <f t="shared" si="5"/>
        <v>-102820.25388163206</v>
      </c>
      <c r="H27" s="164">
        <f t="shared" si="5"/>
        <v>-105608.2221505355</v>
      </c>
      <c r="I27" s="164">
        <f t="shared" si="5"/>
        <v>-108229.04238717613</v>
      </c>
      <c r="J27" s="164">
        <f t="shared" si="5"/>
        <v>-113556.68786263897</v>
      </c>
      <c r="K27" s="164">
        <f t="shared" si="5"/>
        <v>-117446.76914078626</v>
      </c>
      <c r="L27" s="164">
        <f t="shared" si="5"/>
        <v>-122407.83985074708</v>
      </c>
      <c r="M27" s="164">
        <f t="shared" si="5"/>
        <v>-127679.46208922641</v>
      </c>
      <c r="N27" s="164">
        <f t="shared" si="5"/>
        <v>-134512.57576110889</v>
      </c>
      <c r="O27" s="164">
        <f t="shared" si="5"/>
        <v>-144209.72501334921</v>
      </c>
      <c r="P27" s="164">
        <f t="shared" si="5"/>
        <v>-151508.52505285898</v>
      </c>
      <c r="Q27" s="164">
        <f t="shared" si="5"/>
        <v>-158594.26104089845</v>
      </c>
      <c r="R27" s="164">
        <f t="shared" si="5"/>
        <v>-166228.90040899121</v>
      </c>
      <c r="S27" s="164">
        <f t="shared" si="5"/>
        <v>-176292.1123788348</v>
      </c>
      <c r="T27" s="164">
        <f t="shared" si="5"/>
        <v>-183496.94387549354</v>
      </c>
      <c r="U27" s="164">
        <f t="shared" si="5"/>
        <v>-189885.85102366703</v>
      </c>
      <c r="V27" s="164">
        <f t="shared" si="5"/>
        <v>-194538.95130407426</v>
      </c>
      <c r="W27" s="164">
        <f t="shared" si="5"/>
        <v>-203090.63833283132</v>
      </c>
      <c r="X27" s="164">
        <f t="shared" si="5"/>
        <v>-206953.29841896379</v>
      </c>
      <c r="Y27" s="164">
        <f t="shared" si="5"/>
        <v>-208498.51800667902</v>
      </c>
      <c r="Z27" s="164">
        <f t="shared" si="5"/>
        <v>-209283.13185772183</v>
      </c>
      <c r="AA27" s="164">
        <f t="shared" si="5"/>
        <v>-208082.47800720809</v>
      </c>
      <c r="AB27" s="164">
        <f t="shared" si="5"/>
        <v>-209802.22381658631</v>
      </c>
      <c r="AC27" s="164">
        <f t="shared" si="5"/>
        <v>-205596.38434953801</v>
      </c>
      <c r="AD27" s="164">
        <f t="shared" si="5"/>
        <v>-198304.20419490081</v>
      </c>
      <c r="AE27" s="164">
        <f t="shared" si="5"/>
        <v>-189495.78264532855</v>
      </c>
      <c r="AF27" s="164">
        <f t="shared" si="5"/>
        <v>-181036.78590678587</v>
      </c>
      <c r="AG27" s="164">
        <f t="shared" si="5"/>
        <v>-174148.43225564144</v>
      </c>
      <c r="AH27" s="164">
        <f t="shared" si="5"/>
        <v>-163215.73992396169</v>
      </c>
      <c r="AI27" s="164">
        <f t="shared" si="5"/>
        <v>-152477.49752417766</v>
      </c>
      <c r="AJ27" s="164">
        <f t="shared" si="5"/>
        <v>-142007.47028277989</v>
      </c>
      <c r="AK27" s="164">
        <f t="shared" si="5"/>
        <v>-140116.37329358817</v>
      </c>
      <c r="AL27" s="164">
        <f t="shared" si="5"/>
        <v>-132073.72962473542</v>
      </c>
      <c r="AM27" s="164">
        <f t="shared" si="5"/>
        <v>-126508.54168015486</v>
      </c>
      <c r="AN27" s="164">
        <f t="shared" si="5"/>
        <v>-121898.28145418095</v>
      </c>
      <c r="AO27" s="164">
        <f t="shared" si="5"/>
        <v>-118614.18055229471</v>
      </c>
      <c r="AP27" s="164">
        <f t="shared" si="5"/>
        <v>-118873.4476545701</v>
      </c>
      <c r="AQ27" s="164">
        <f t="shared" si="5"/>
        <v>-123264.00273408019</v>
      </c>
      <c r="AR27" s="164">
        <f t="shared" si="5"/>
        <v>-122617.85132860846</v>
      </c>
      <c r="AS27" s="164">
        <f t="shared" si="5"/>
        <v>-121228.25872257003</v>
      </c>
      <c r="AT27" s="164">
        <f t="shared" si="5"/>
        <v>-119892.66481593251</v>
      </c>
      <c r="AU27" s="164">
        <f t="shared" si="5"/>
        <v>-121781.58300931694</v>
      </c>
      <c r="AV27" s="164">
        <f t="shared" si="5"/>
        <v>-127828.43540230091</v>
      </c>
      <c r="AW27" s="164">
        <f t="shared" si="5"/>
        <v>-125562.57447973941</v>
      </c>
      <c r="AX27" s="164">
        <f t="shared" si="5"/>
        <v>-123303.96400054614</v>
      </c>
      <c r="AY27" s="164">
        <f t="shared" si="5"/>
        <v>-120269.50759840966</v>
      </c>
      <c r="AZ27" s="164">
        <f t="shared" si="5"/>
        <v>-115313.09629000258</v>
      </c>
      <c r="BA27" s="164">
        <f t="shared" si="5"/>
        <v>-119959.90709192934</v>
      </c>
      <c r="BB27" s="164">
        <f t="shared" si="5"/>
        <v>-110641.99490004126</v>
      </c>
      <c r="BC27" s="164">
        <f t="shared" si="5"/>
        <v>-99866.613050507614</v>
      </c>
    </row>
    <row r="28" spans="1:55" s="16" customFormat="1" x14ac:dyDescent="0.25">
      <c r="A28" s="162"/>
      <c r="B28" s="162"/>
      <c r="C28" s="163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  <c r="AA28" s="164"/>
      <c r="AB28" s="164"/>
      <c r="AC28" s="164"/>
      <c r="AD28" s="164"/>
      <c r="AE28" s="164"/>
      <c r="AF28" s="164"/>
      <c r="AG28" s="164"/>
      <c r="AH28" s="164"/>
      <c r="AI28" s="164"/>
      <c r="AJ28" s="164"/>
      <c r="AK28" s="164"/>
      <c r="AL28" s="164"/>
      <c r="AM28" s="164"/>
      <c r="AN28" s="164"/>
      <c r="AO28" s="164"/>
      <c r="AP28" s="164"/>
      <c r="AQ28" s="164"/>
      <c r="AR28" s="164"/>
      <c r="AS28" s="164"/>
      <c r="AT28" s="164"/>
      <c r="AU28" s="164"/>
      <c r="AV28" s="164"/>
      <c r="AW28" s="164"/>
      <c r="AX28" s="164"/>
      <c r="AY28" s="164"/>
      <c r="AZ28" s="164"/>
      <c r="BA28" s="164"/>
      <c r="BB28" s="164"/>
      <c r="BC28" s="164"/>
    </row>
    <row r="29" spans="1:55" x14ac:dyDescent="0.25">
      <c r="A29" s="69">
        <v>151002</v>
      </c>
      <c r="B29" s="69" t="s">
        <v>1060</v>
      </c>
      <c r="C29" s="156" t="s">
        <v>139</v>
      </c>
      <c r="D29" s="157"/>
      <c r="E29" s="157">
        <f t="shared" ref="E29:AJ29" si="6">E21</f>
        <v>174252.25529377355</v>
      </c>
      <c r="F29" s="157">
        <f t="shared" si="6"/>
        <v>196517.17798757978</v>
      </c>
      <c r="G29" s="157">
        <f t="shared" si="6"/>
        <v>206060.87109704275</v>
      </c>
      <c r="H29" s="157">
        <f t="shared" si="6"/>
        <v>216820.37943233794</v>
      </c>
      <c r="I29" s="157">
        <f t="shared" si="6"/>
        <v>229021.17463312083</v>
      </c>
      <c r="J29" s="157">
        <f t="shared" si="6"/>
        <v>240700.21753616503</v>
      </c>
      <c r="K29" s="157">
        <f t="shared" si="6"/>
        <v>252642.56969131954</v>
      </c>
      <c r="L29" s="157">
        <f t="shared" si="6"/>
        <v>264835.70716886868</v>
      </c>
      <c r="M29" s="157">
        <f t="shared" si="6"/>
        <v>277397.24754013476</v>
      </c>
      <c r="N29" s="157">
        <f t="shared" si="6"/>
        <v>290300.52686968748</v>
      </c>
      <c r="O29" s="157">
        <f t="shared" si="6"/>
        <v>303526.47807184618</v>
      </c>
      <c r="P29" s="157">
        <f t="shared" si="6"/>
        <v>317060.60423091811</v>
      </c>
      <c r="Q29" s="157">
        <f t="shared" si="6"/>
        <v>330914.43661261385</v>
      </c>
      <c r="R29" s="157">
        <f t="shared" si="6"/>
        <v>345073.79409557761</v>
      </c>
      <c r="S29" s="157">
        <f t="shared" si="6"/>
        <v>359531.25360359222</v>
      </c>
      <c r="T29" s="157">
        <f t="shared" si="6"/>
        <v>374299.31448363437</v>
      </c>
      <c r="U29" s="157">
        <f t="shared" si="6"/>
        <v>389362.7406780431</v>
      </c>
      <c r="V29" s="157">
        <f t="shared" si="6"/>
        <v>404701.80233542435</v>
      </c>
      <c r="W29" s="157">
        <f t="shared" si="6"/>
        <v>420635.39565393096</v>
      </c>
      <c r="X29" s="157">
        <f t="shared" si="6"/>
        <v>437149.7340731665</v>
      </c>
      <c r="Y29" s="157">
        <f t="shared" si="6"/>
        <v>454267.1280637387</v>
      </c>
      <c r="Z29" s="157">
        <f t="shared" si="6"/>
        <v>472037.34342209785</v>
      </c>
      <c r="AA29" s="157">
        <f t="shared" si="6"/>
        <v>490480.21174596669</v>
      </c>
      <c r="AB29" s="157">
        <f t="shared" si="6"/>
        <v>509635.34601228056</v>
      </c>
      <c r="AC29" s="157">
        <f t="shared" si="6"/>
        <v>529529.06864996604</v>
      </c>
      <c r="AD29" s="157">
        <f t="shared" si="6"/>
        <v>550181.55500864843</v>
      </c>
      <c r="AE29" s="157">
        <f t="shared" si="6"/>
        <v>571630.88213705912</v>
      </c>
      <c r="AF29" s="157">
        <f t="shared" si="6"/>
        <v>593886.85916505754</v>
      </c>
      <c r="AG29" s="157">
        <f t="shared" si="6"/>
        <v>616863.12369097094</v>
      </c>
      <c r="AH29" s="157">
        <f t="shared" si="6"/>
        <v>640561.68271020753</v>
      </c>
      <c r="AI29" s="157">
        <f t="shared" si="6"/>
        <v>665000.08326561563</v>
      </c>
      <c r="AJ29" s="157">
        <f t="shared" si="6"/>
        <v>690194.26495028054</v>
      </c>
      <c r="AK29" s="157">
        <f t="shared" ref="AK29:BC29" si="7">AK21</f>
        <v>716131.60347064678</v>
      </c>
      <c r="AL29" s="157">
        <f t="shared" si="7"/>
        <v>742853.73372999358</v>
      </c>
      <c r="AM29" s="157">
        <f t="shared" si="7"/>
        <v>770386.21231254423</v>
      </c>
      <c r="AN29" s="157">
        <f t="shared" si="7"/>
        <v>798713.22567015176</v>
      </c>
      <c r="AO29" s="157">
        <f t="shared" si="7"/>
        <v>827862.56089138635</v>
      </c>
      <c r="AP29" s="157">
        <f t="shared" si="7"/>
        <v>857852.00615647831</v>
      </c>
      <c r="AQ29" s="157">
        <f t="shared" si="7"/>
        <v>888674.38348692539</v>
      </c>
      <c r="AR29" s="157">
        <f t="shared" si="7"/>
        <v>920329.65180525754</v>
      </c>
      <c r="AS29" s="157">
        <f t="shared" si="7"/>
        <v>952874.448346121</v>
      </c>
      <c r="AT29" s="157">
        <f t="shared" si="7"/>
        <v>986277.91572051123</v>
      </c>
      <c r="AU29" s="157">
        <f t="shared" si="7"/>
        <v>1020576.9434768701</v>
      </c>
      <c r="AV29" s="157">
        <f t="shared" si="7"/>
        <v>1055747.9414318886</v>
      </c>
      <c r="AW29" s="157">
        <f t="shared" si="7"/>
        <v>1091774.188178991</v>
      </c>
      <c r="AX29" s="157">
        <f t="shared" si="7"/>
        <v>1128699.570914333</v>
      </c>
      <c r="AY29" s="157">
        <f t="shared" si="7"/>
        <v>1166442.8955833646</v>
      </c>
      <c r="AZ29" s="157">
        <f t="shared" si="7"/>
        <v>1205040.4499076866</v>
      </c>
      <c r="BA29" s="157">
        <f t="shared" si="7"/>
        <v>1249304.4280009216</v>
      </c>
      <c r="BB29" s="157">
        <f t="shared" si="7"/>
        <v>1293420.3090945417</v>
      </c>
      <c r="BC29" s="157">
        <f t="shared" si="7"/>
        <v>1337834.4461465583</v>
      </c>
    </row>
    <row r="30" spans="1:55" x14ac:dyDescent="0.25">
      <c r="A30" s="69">
        <v>642016</v>
      </c>
      <c r="B30" s="166" t="s">
        <v>1061</v>
      </c>
      <c r="C30" s="156" t="s">
        <v>139</v>
      </c>
      <c r="D30" s="157"/>
      <c r="E30" s="157">
        <f t="shared" ref="E30:AJ30" si="8">E25+E26+E27</f>
        <v>174252.25529377355</v>
      </c>
      <c r="F30" s="157">
        <f t="shared" si="8"/>
        <v>196517.17798757978</v>
      </c>
      <c r="G30" s="157">
        <f t="shared" si="8"/>
        <v>206060.87109704275</v>
      </c>
      <c r="H30" s="157">
        <f t="shared" si="8"/>
        <v>216820.37943233794</v>
      </c>
      <c r="I30" s="157">
        <f t="shared" si="8"/>
        <v>229021.17463312083</v>
      </c>
      <c r="J30" s="157">
        <f t="shared" si="8"/>
        <v>240700.21753616503</v>
      </c>
      <c r="K30" s="157">
        <f t="shared" si="8"/>
        <v>252642.56969131954</v>
      </c>
      <c r="L30" s="157">
        <f t="shared" si="8"/>
        <v>264835.70716886868</v>
      </c>
      <c r="M30" s="157">
        <f t="shared" si="8"/>
        <v>277397.24754013476</v>
      </c>
      <c r="N30" s="157">
        <f t="shared" si="8"/>
        <v>290300.52686968748</v>
      </c>
      <c r="O30" s="157">
        <f t="shared" si="8"/>
        <v>303526.47807184618</v>
      </c>
      <c r="P30" s="157">
        <f t="shared" si="8"/>
        <v>317060.60423091811</v>
      </c>
      <c r="Q30" s="157">
        <f t="shared" si="8"/>
        <v>330914.43661261385</v>
      </c>
      <c r="R30" s="157">
        <f t="shared" si="8"/>
        <v>345073.79409557761</v>
      </c>
      <c r="S30" s="157">
        <f t="shared" si="8"/>
        <v>359531.25360359222</v>
      </c>
      <c r="T30" s="157">
        <f t="shared" si="8"/>
        <v>374299.31448363437</v>
      </c>
      <c r="U30" s="157">
        <f t="shared" si="8"/>
        <v>389362.7406780431</v>
      </c>
      <c r="V30" s="157">
        <f t="shared" si="8"/>
        <v>404701.80233542435</v>
      </c>
      <c r="W30" s="157">
        <f t="shared" si="8"/>
        <v>420635.39565393096</v>
      </c>
      <c r="X30" s="157">
        <f t="shared" si="8"/>
        <v>437149.7340731665</v>
      </c>
      <c r="Y30" s="157">
        <f t="shared" si="8"/>
        <v>454267.1280637387</v>
      </c>
      <c r="Z30" s="157">
        <f t="shared" si="8"/>
        <v>472037.34342209785</v>
      </c>
      <c r="AA30" s="157">
        <f t="shared" si="8"/>
        <v>490480.21174596669</v>
      </c>
      <c r="AB30" s="157">
        <f t="shared" si="8"/>
        <v>509635.34601228056</v>
      </c>
      <c r="AC30" s="157">
        <f t="shared" si="8"/>
        <v>529529.06864996604</v>
      </c>
      <c r="AD30" s="157">
        <f t="shared" si="8"/>
        <v>550181.55500864843</v>
      </c>
      <c r="AE30" s="157">
        <f t="shared" si="8"/>
        <v>571630.88213705912</v>
      </c>
      <c r="AF30" s="157">
        <f t="shared" si="8"/>
        <v>593886.85916505754</v>
      </c>
      <c r="AG30" s="157">
        <f t="shared" si="8"/>
        <v>616863.12369097094</v>
      </c>
      <c r="AH30" s="157">
        <f t="shared" si="8"/>
        <v>640561.68271020753</v>
      </c>
      <c r="AI30" s="157">
        <f t="shared" si="8"/>
        <v>665000.08326561563</v>
      </c>
      <c r="AJ30" s="157">
        <f t="shared" si="8"/>
        <v>690194.26495028054</v>
      </c>
      <c r="AK30" s="157">
        <f t="shared" ref="AK30:BC30" si="9">AK25+AK26+AK27</f>
        <v>716131.60347064678</v>
      </c>
      <c r="AL30" s="157">
        <f t="shared" si="9"/>
        <v>742853.73372999358</v>
      </c>
      <c r="AM30" s="157">
        <f t="shared" si="9"/>
        <v>770386.21231254423</v>
      </c>
      <c r="AN30" s="157">
        <f t="shared" si="9"/>
        <v>798713.22567015176</v>
      </c>
      <c r="AO30" s="157">
        <f t="shared" si="9"/>
        <v>827862.56089138635</v>
      </c>
      <c r="AP30" s="157">
        <f t="shared" si="9"/>
        <v>857852.00615647831</v>
      </c>
      <c r="AQ30" s="157">
        <f t="shared" si="9"/>
        <v>888674.38348692539</v>
      </c>
      <c r="AR30" s="157">
        <f t="shared" si="9"/>
        <v>920329.65180525754</v>
      </c>
      <c r="AS30" s="157">
        <f t="shared" si="9"/>
        <v>952874.448346121</v>
      </c>
      <c r="AT30" s="157">
        <f t="shared" si="9"/>
        <v>986277.91572051123</v>
      </c>
      <c r="AU30" s="157">
        <f t="shared" si="9"/>
        <v>1020576.9434768701</v>
      </c>
      <c r="AV30" s="157">
        <f t="shared" si="9"/>
        <v>1055747.9414318886</v>
      </c>
      <c r="AW30" s="157">
        <f t="shared" si="9"/>
        <v>1091774.188178991</v>
      </c>
      <c r="AX30" s="157">
        <f t="shared" si="9"/>
        <v>1128699.570914333</v>
      </c>
      <c r="AY30" s="157">
        <f t="shared" si="9"/>
        <v>1166442.8955833646</v>
      </c>
      <c r="AZ30" s="157">
        <f t="shared" si="9"/>
        <v>1205040.4499076866</v>
      </c>
      <c r="BA30" s="157">
        <f t="shared" si="9"/>
        <v>1249304.4280009216</v>
      </c>
      <c r="BB30" s="157">
        <f t="shared" si="9"/>
        <v>1293420.3090945417</v>
      </c>
      <c r="BC30" s="157">
        <f t="shared" si="9"/>
        <v>1337834.4461465583</v>
      </c>
    </row>
    <row r="31" spans="1:55" s="30" customFormat="1" x14ac:dyDescent="0.25">
      <c r="A31" s="135">
        <v>642008</v>
      </c>
      <c r="B31" s="135" t="s">
        <v>163</v>
      </c>
      <c r="C31" s="158" t="s">
        <v>139</v>
      </c>
      <c r="D31" s="159">
        <v>115682.5</v>
      </c>
      <c r="E31" s="159">
        <f t="shared" ref="E31:AJ31" si="10">-E27</f>
        <v>113526.85777757107</v>
      </c>
      <c r="F31" s="159">
        <f t="shared" si="10"/>
        <v>99176.041418675159</v>
      </c>
      <c r="G31" s="159">
        <f t="shared" si="10"/>
        <v>102820.25388163206</v>
      </c>
      <c r="H31" s="159">
        <f t="shared" si="10"/>
        <v>105608.2221505355</v>
      </c>
      <c r="I31" s="159">
        <f t="shared" si="10"/>
        <v>108229.04238717613</v>
      </c>
      <c r="J31" s="159">
        <f t="shared" si="10"/>
        <v>113556.68786263897</v>
      </c>
      <c r="K31" s="159">
        <f t="shared" si="10"/>
        <v>117446.76914078626</v>
      </c>
      <c r="L31" s="159">
        <f t="shared" si="10"/>
        <v>122407.83985074708</v>
      </c>
      <c r="M31" s="159">
        <f t="shared" si="10"/>
        <v>127679.46208922641</v>
      </c>
      <c r="N31" s="159">
        <f t="shared" si="10"/>
        <v>134512.57576110889</v>
      </c>
      <c r="O31" s="159">
        <f t="shared" si="10"/>
        <v>144209.72501334921</v>
      </c>
      <c r="P31" s="159">
        <f t="shared" si="10"/>
        <v>151508.52505285898</v>
      </c>
      <c r="Q31" s="159">
        <f t="shared" si="10"/>
        <v>158594.26104089845</v>
      </c>
      <c r="R31" s="159">
        <f t="shared" si="10"/>
        <v>166228.90040899121</v>
      </c>
      <c r="S31" s="159">
        <f t="shared" si="10"/>
        <v>176292.1123788348</v>
      </c>
      <c r="T31" s="159">
        <f t="shared" si="10"/>
        <v>183496.94387549354</v>
      </c>
      <c r="U31" s="159">
        <f t="shared" si="10"/>
        <v>189885.85102366703</v>
      </c>
      <c r="V31" s="159">
        <f t="shared" si="10"/>
        <v>194538.95130407426</v>
      </c>
      <c r="W31" s="159">
        <f t="shared" si="10"/>
        <v>203090.63833283132</v>
      </c>
      <c r="X31" s="159">
        <f t="shared" si="10"/>
        <v>206953.29841896379</v>
      </c>
      <c r="Y31" s="159">
        <f t="shared" si="10"/>
        <v>208498.51800667902</v>
      </c>
      <c r="Z31" s="159">
        <f t="shared" si="10"/>
        <v>209283.13185772183</v>
      </c>
      <c r="AA31" s="159">
        <f t="shared" si="10"/>
        <v>208082.47800720809</v>
      </c>
      <c r="AB31" s="159">
        <f t="shared" si="10"/>
        <v>209802.22381658631</v>
      </c>
      <c r="AC31" s="159">
        <f t="shared" si="10"/>
        <v>205596.38434953801</v>
      </c>
      <c r="AD31" s="159">
        <f t="shared" si="10"/>
        <v>198304.20419490081</v>
      </c>
      <c r="AE31" s="159">
        <f t="shared" si="10"/>
        <v>189495.78264532855</v>
      </c>
      <c r="AF31" s="159">
        <f t="shared" si="10"/>
        <v>181036.78590678587</v>
      </c>
      <c r="AG31" s="159">
        <f t="shared" si="10"/>
        <v>174148.43225564144</v>
      </c>
      <c r="AH31" s="159">
        <f t="shared" si="10"/>
        <v>163215.73992396169</v>
      </c>
      <c r="AI31" s="159">
        <f t="shared" si="10"/>
        <v>152477.49752417766</v>
      </c>
      <c r="AJ31" s="159">
        <f t="shared" si="10"/>
        <v>142007.47028277989</v>
      </c>
      <c r="AK31" s="159">
        <f t="shared" ref="AK31:BC31" si="11">-AK27</f>
        <v>140116.37329358817</v>
      </c>
      <c r="AL31" s="159">
        <f t="shared" si="11"/>
        <v>132073.72962473542</v>
      </c>
      <c r="AM31" s="159">
        <f t="shared" si="11"/>
        <v>126508.54168015486</v>
      </c>
      <c r="AN31" s="159">
        <f t="shared" si="11"/>
        <v>121898.28145418095</v>
      </c>
      <c r="AO31" s="159">
        <f t="shared" si="11"/>
        <v>118614.18055229471</v>
      </c>
      <c r="AP31" s="159">
        <f t="shared" si="11"/>
        <v>118873.4476545701</v>
      </c>
      <c r="AQ31" s="159">
        <f t="shared" si="11"/>
        <v>123264.00273408019</v>
      </c>
      <c r="AR31" s="159">
        <f t="shared" si="11"/>
        <v>122617.85132860846</v>
      </c>
      <c r="AS31" s="159">
        <f t="shared" si="11"/>
        <v>121228.25872257003</v>
      </c>
      <c r="AT31" s="159">
        <f t="shared" si="11"/>
        <v>119892.66481593251</v>
      </c>
      <c r="AU31" s="159">
        <f t="shared" si="11"/>
        <v>121781.58300931694</v>
      </c>
      <c r="AV31" s="159">
        <f t="shared" si="11"/>
        <v>127828.43540230091</v>
      </c>
      <c r="AW31" s="159">
        <f t="shared" si="11"/>
        <v>125562.57447973941</v>
      </c>
      <c r="AX31" s="159">
        <f t="shared" si="11"/>
        <v>123303.96400054614</v>
      </c>
      <c r="AY31" s="159">
        <f t="shared" si="11"/>
        <v>120269.50759840966</v>
      </c>
      <c r="AZ31" s="159">
        <f t="shared" si="11"/>
        <v>115313.09629000258</v>
      </c>
      <c r="BA31" s="159">
        <f t="shared" si="11"/>
        <v>119959.90709192934</v>
      </c>
      <c r="BB31" s="159">
        <f t="shared" si="11"/>
        <v>110641.99490004126</v>
      </c>
      <c r="BC31" s="159">
        <f t="shared" si="11"/>
        <v>99866.613050507614</v>
      </c>
    </row>
    <row r="32" spans="1:55" x14ac:dyDescent="0.25">
      <c r="A32" s="69"/>
      <c r="B32" s="162" t="s">
        <v>1052</v>
      </c>
      <c r="C32" s="156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</row>
    <row r="33" spans="1:55" x14ac:dyDescent="0.25">
      <c r="A33" s="126">
        <v>637034</v>
      </c>
      <c r="B33" s="69" t="s">
        <v>143</v>
      </c>
      <c r="C33" s="156" t="s">
        <v>139</v>
      </c>
      <c r="D33" s="160">
        <v>3501510.1338200001</v>
      </c>
      <c r="E33" s="160">
        <v>2545056.8364800001</v>
      </c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7"/>
      <c r="BC33" s="157"/>
    </row>
    <row r="34" spans="1:55" x14ac:dyDescent="0.25">
      <c r="A34" s="126">
        <v>637000</v>
      </c>
      <c r="B34" s="69"/>
      <c r="C34" s="156" t="s">
        <v>139</v>
      </c>
      <c r="D34" s="160">
        <v>0</v>
      </c>
      <c r="E34" s="160">
        <v>1102649.8536899998</v>
      </c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57"/>
      <c r="AE34" s="157"/>
      <c r="AF34" s="157"/>
      <c r="AG34" s="157"/>
      <c r="AH34" s="157"/>
      <c r="AI34" s="157"/>
      <c r="AJ34" s="157"/>
      <c r="AK34" s="157"/>
      <c r="AL34" s="157"/>
      <c r="AM34" s="157"/>
      <c r="AN34" s="157"/>
      <c r="AO34" s="157"/>
      <c r="AP34" s="157"/>
      <c r="AQ34" s="157"/>
      <c r="AR34" s="157"/>
      <c r="AS34" s="157"/>
      <c r="AT34" s="157"/>
      <c r="AU34" s="157"/>
      <c r="AV34" s="157"/>
      <c r="AW34" s="157"/>
      <c r="AX34" s="157"/>
      <c r="AY34" s="157"/>
      <c r="AZ34" s="157"/>
      <c r="BA34" s="157"/>
      <c r="BB34" s="157"/>
      <c r="BC34" s="157"/>
    </row>
    <row r="35" spans="1:55" x14ac:dyDescent="0.25">
      <c r="A35" s="126">
        <v>223000</v>
      </c>
      <c r="B35" s="69"/>
      <c r="C35" s="156" t="s">
        <v>139</v>
      </c>
      <c r="D35" s="160">
        <v>0</v>
      </c>
      <c r="E35" s="160">
        <v>16746.28357</v>
      </c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7"/>
      <c r="S35" s="157"/>
      <c r="T35" s="157"/>
      <c r="U35" s="157"/>
      <c r="V35" s="157"/>
      <c r="W35" s="157"/>
      <c r="X35" s="157"/>
      <c r="Y35" s="157"/>
      <c r="Z35" s="157"/>
      <c r="AA35" s="157"/>
      <c r="AB35" s="157"/>
      <c r="AC35" s="157"/>
      <c r="AD35" s="157"/>
      <c r="AE35" s="157"/>
      <c r="AF35" s="157"/>
      <c r="AG35" s="157"/>
      <c r="AH35" s="157"/>
      <c r="AI35" s="157"/>
      <c r="AJ35" s="157"/>
      <c r="AK35" s="157"/>
      <c r="AL35" s="157"/>
      <c r="AM35" s="157"/>
      <c r="AN35" s="157"/>
      <c r="AO35" s="157"/>
      <c r="AP35" s="157"/>
      <c r="AQ35" s="157"/>
      <c r="AR35" s="157"/>
      <c r="AS35" s="157"/>
      <c r="AT35" s="157"/>
      <c r="AU35" s="157"/>
      <c r="AV35" s="157"/>
      <c r="AW35" s="157"/>
      <c r="AX35" s="157"/>
      <c r="AY35" s="157"/>
      <c r="AZ35" s="157"/>
      <c r="BA35" s="157"/>
      <c r="BB35" s="157"/>
      <c r="BC35" s="157"/>
    </row>
    <row r="36" spans="1:55" x14ac:dyDescent="0.25">
      <c r="A36" s="126">
        <v>723001</v>
      </c>
      <c r="B36" s="69" t="s">
        <v>144</v>
      </c>
      <c r="C36" s="156" t="s">
        <v>139</v>
      </c>
      <c r="D36" s="157">
        <v>130000</v>
      </c>
      <c r="E36" s="157">
        <v>18490</v>
      </c>
      <c r="F36" s="157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157"/>
      <c r="R36" s="157"/>
      <c r="S36" s="157"/>
      <c r="T36" s="157"/>
      <c r="U36" s="157"/>
      <c r="V36" s="157"/>
      <c r="W36" s="157"/>
      <c r="X36" s="157"/>
      <c r="Y36" s="157"/>
      <c r="Z36" s="157"/>
      <c r="AA36" s="157"/>
      <c r="AB36" s="157"/>
      <c r="AC36" s="157"/>
      <c r="AD36" s="157"/>
      <c r="AE36" s="157"/>
      <c r="AF36" s="157"/>
      <c r="AG36" s="157"/>
      <c r="AH36" s="157"/>
      <c r="AI36" s="157"/>
      <c r="AJ36" s="157"/>
      <c r="AK36" s="157"/>
      <c r="AL36" s="157"/>
      <c r="AM36" s="157"/>
      <c r="AN36" s="157"/>
      <c r="AO36" s="157"/>
      <c r="AP36" s="157"/>
      <c r="AQ36" s="157"/>
      <c r="AR36" s="157"/>
      <c r="AS36" s="157"/>
      <c r="AT36" s="157"/>
      <c r="AU36" s="157"/>
      <c r="AV36" s="157"/>
      <c r="AW36" s="157"/>
      <c r="AX36" s="157"/>
      <c r="AY36" s="157"/>
      <c r="AZ36" s="157"/>
      <c r="BA36" s="157"/>
      <c r="BB36" s="157"/>
      <c r="BC36" s="157"/>
    </row>
    <row r="37" spans="1:55" x14ac:dyDescent="0.25">
      <c r="A37" s="69"/>
      <c r="B37" s="69" t="s">
        <v>129</v>
      </c>
      <c r="C37" s="156" t="s">
        <v>139</v>
      </c>
      <c r="D37" s="157">
        <f>SD_prognozy!E93</f>
        <v>-60800</v>
      </c>
      <c r="E37" s="157">
        <f>SD_prognozy!F93</f>
        <v>93780</v>
      </c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</row>
    <row r="38" spans="1:55" x14ac:dyDescent="0.25">
      <c r="A38" s="69">
        <v>637034</v>
      </c>
      <c r="B38" s="162" t="s">
        <v>654</v>
      </c>
      <c r="C38" s="163" t="s">
        <v>139</v>
      </c>
      <c r="D38" s="164">
        <f>SUM(D33:D37)</f>
        <v>3570710.1338200001</v>
      </c>
      <c r="E38" s="164">
        <f>SUM(E33:E37)</f>
        <v>3776722.9737399998</v>
      </c>
      <c r="F38" s="164">
        <f t="shared" ref="F38:AK38" si="12">F39*F59*1000</f>
        <v>3918510.6361400788</v>
      </c>
      <c r="G38" s="164">
        <f t="shared" si="12"/>
        <v>4127617.659390281</v>
      </c>
      <c r="H38" s="164">
        <f t="shared" si="12"/>
        <v>4376031.156885663</v>
      </c>
      <c r="I38" s="164">
        <f t="shared" si="12"/>
        <v>4658650.6677112412</v>
      </c>
      <c r="J38" s="164">
        <f t="shared" si="12"/>
        <v>4937231.1014394267</v>
      </c>
      <c r="K38" s="164">
        <f t="shared" si="12"/>
        <v>5232144.2535680057</v>
      </c>
      <c r="L38" s="164">
        <f t="shared" si="12"/>
        <v>5542224.7853955766</v>
      </c>
      <c r="M38" s="164">
        <f t="shared" si="12"/>
        <v>5867245.3182542659</v>
      </c>
      <c r="N38" s="164">
        <f t="shared" si="12"/>
        <v>6202124.0891489033</v>
      </c>
      <c r="O38" s="164">
        <f t="shared" si="12"/>
        <v>6548773.0800898112</v>
      </c>
      <c r="P38" s="164">
        <f t="shared" si="12"/>
        <v>6913071.8341950616</v>
      </c>
      <c r="Q38" s="164">
        <f t="shared" si="12"/>
        <v>7290982.2677762602</v>
      </c>
      <c r="R38" s="164">
        <f t="shared" si="12"/>
        <v>7686966.6293984232</v>
      </c>
      <c r="S38" s="164">
        <f t="shared" si="12"/>
        <v>8082165.2886134405</v>
      </c>
      <c r="T38" s="164">
        <f t="shared" si="12"/>
        <v>8482002.07807732</v>
      </c>
      <c r="U38" s="164">
        <f t="shared" si="12"/>
        <v>8883125.2062492594</v>
      </c>
      <c r="V38" s="164">
        <f t="shared" si="12"/>
        <v>9272676.0096976757</v>
      </c>
      <c r="W38" s="164">
        <f t="shared" si="12"/>
        <v>9651380.1870388351</v>
      </c>
      <c r="X38" s="164">
        <f t="shared" si="12"/>
        <v>10032855.307792172</v>
      </c>
      <c r="Y38" s="164">
        <f t="shared" si="12"/>
        <v>10438684.977114854</v>
      </c>
      <c r="Z38" s="164">
        <f t="shared" si="12"/>
        <v>10850423.029037526</v>
      </c>
      <c r="AA38" s="164">
        <f t="shared" si="12"/>
        <v>11265438.024358217</v>
      </c>
      <c r="AB38" s="164">
        <f t="shared" si="12"/>
        <v>11673334.209497029</v>
      </c>
      <c r="AC38" s="164">
        <f t="shared" si="12"/>
        <v>12091286.966521448</v>
      </c>
      <c r="AD38" s="164">
        <f t="shared" si="12"/>
        <v>12521605.907066202</v>
      </c>
      <c r="AE38" s="164">
        <f t="shared" si="12"/>
        <v>12967328.682313206</v>
      </c>
      <c r="AF38" s="164">
        <f t="shared" si="12"/>
        <v>13424339.716655323</v>
      </c>
      <c r="AG38" s="164">
        <f t="shared" si="12"/>
        <v>13894296.049757784</v>
      </c>
      <c r="AH38" s="164">
        <f t="shared" si="12"/>
        <v>14395756.971970992</v>
      </c>
      <c r="AI38" s="164">
        <f t="shared" si="12"/>
        <v>14910876.592836963</v>
      </c>
      <c r="AJ38" s="164">
        <f t="shared" si="12"/>
        <v>15420708.842265222</v>
      </c>
      <c r="AK38" s="164">
        <f t="shared" si="12"/>
        <v>15933311.514947405</v>
      </c>
      <c r="AL38" s="164">
        <f t="shared" ref="AL38:BC38" si="13">AL39*AL59*1000</f>
        <v>16458845.274696615</v>
      </c>
      <c r="AM38" s="164">
        <f t="shared" si="13"/>
        <v>17008109.697331615</v>
      </c>
      <c r="AN38" s="164">
        <f t="shared" si="13"/>
        <v>17580502.242884677</v>
      </c>
      <c r="AO38" s="164">
        <f t="shared" si="13"/>
        <v>18198671.545994345</v>
      </c>
      <c r="AP38" s="164">
        <f t="shared" si="13"/>
        <v>18839056.100570455</v>
      </c>
      <c r="AQ38" s="164">
        <f t="shared" si="13"/>
        <v>19496688.027921531</v>
      </c>
      <c r="AR38" s="164">
        <f t="shared" si="13"/>
        <v>20173320.92879054</v>
      </c>
      <c r="AS38" s="164">
        <f t="shared" si="13"/>
        <v>20890201.469190374</v>
      </c>
      <c r="AT38" s="164">
        <f t="shared" si="13"/>
        <v>21637978.708512332</v>
      </c>
      <c r="AU38" s="164">
        <f t="shared" si="13"/>
        <v>22407346.081782315</v>
      </c>
      <c r="AV38" s="164">
        <f t="shared" si="13"/>
        <v>23193038.965255674</v>
      </c>
      <c r="AW38" s="164">
        <f t="shared" si="13"/>
        <v>23992561.102491446</v>
      </c>
      <c r="AX38" s="164">
        <f t="shared" si="13"/>
        <v>24827226.57793865</v>
      </c>
      <c r="AY38" s="164">
        <f t="shared" si="13"/>
        <v>25650744.135960992</v>
      </c>
      <c r="AZ38" s="164">
        <f t="shared" si="13"/>
        <v>26450493.169025797</v>
      </c>
      <c r="BA38" s="164">
        <f t="shared" si="13"/>
        <v>27244163.6682177</v>
      </c>
      <c r="BB38" s="164">
        <f t="shared" si="13"/>
        <v>28077028.279050712</v>
      </c>
      <c r="BC38" s="164">
        <f t="shared" si="13"/>
        <v>28932363.332618132</v>
      </c>
    </row>
    <row r="39" spans="1:55" s="53" customFormat="1" x14ac:dyDescent="0.25">
      <c r="A39" s="167"/>
      <c r="B39" s="167" t="s">
        <v>1053</v>
      </c>
      <c r="C39" s="168" t="s">
        <v>145</v>
      </c>
      <c r="D39" s="132"/>
      <c r="E39" s="169">
        <v>5.2345702290444211E-2</v>
      </c>
      <c r="F39" s="169">
        <v>5.2603064108199149E-2</v>
      </c>
      <c r="G39" s="169">
        <v>5.3063299489480263E-2</v>
      </c>
      <c r="H39" s="169">
        <v>5.3555815711851903E-2</v>
      </c>
      <c r="I39" s="169">
        <v>5.4038233623935998E-2</v>
      </c>
      <c r="J39" s="169">
        <v>5.444456279268025E-2</v>
      </c>
      <c r="K39" s="169">
        <v>5.4880348009759224E-2</v>
      </c>
      <c r="L39" s="169">
        <v>5.5332074854199366E-2</v>
      </c>
      <c r="M39" s="169">
        <v>5.58331630073459E-2</v>
      </c>
      <c r="N39" s="169">
        <v>5.6309204754034538E-2</v>
      </c>
      <c r="O39" s="169">
        <v>5.6764015028678706E-2</v>
      </c>
      <c r="P39" s="169">
        <v>5.7236375008052703E-2</v>
      </c>
      <c r="Q39" s="169">
        <v>5.7687683015993863E-2</v>
      </c>
      <c r="R39" s="169">
        <v>5.8169541965861271E-2</v>
      </c>
      <c r="S39" s="169">
        <v>5.8577971246521775E-2</v>
      </c>
      <c r="T39" s="169">
        <v>5.8979642404632777E-2</v>
      </c>
      <c r="U39" s="169">
        <v>5.9352331081452436E-2</v>
      </c>
      <c r="V39" s="169">
        <v>5.9640149336615454E-2</v>
      </c>
      <c r="W39" s="169">
        <v>5.9848412215027555E-2</v>
      </c>
      <c r="X39" s="169">
        <v>6.0007348931973285E-2</v>
      </c>
      <c r="Y39" s="169">
        <v>6.0246043766966975E-2</v>
      </c>
      <c r="Z39" s="169">
        <v>6.0454197636159217E-2</v>
      </c>
      <c r="AA39" s="169">
        <v>6.0628315993357974E-2</v>
      </c>
      <c r="AB39" s="169">
        <v>6.0720440309743537E-2</v>
      </c>
      <c r="AC39" s="169">
        <v>6.0819246605259128E-2</v>
      </c>
      <c r="AD39" s="169">
        <v>6.092679783649161E-2</v>
      </c>
      <c r="AE39" s="169">
        <v>6.1055079049865103E-2</v>
      </c>
      <c r="AF39" s="169">
        <v>6.1181897263157155E-2</v>
      </c>
      <c r="AG39" s="169">
        <v>6.1332032627700608E-2</v>
      </c>
      <c r="AH39" s="169">
        <v>6.1577472339015733E-2</v>
      </c>
      <c r="AI39" s="169">
        <v>6.1832733141100597E-2</v>
      </c>
      <c r="AJ39" s="169">
        <v>6.2021814515389496E-2</v>
      </c>
      <c r="AK39" s="169">
        <v>6.2178669475747461E-2</v>
      </c>
      <c r="AL39" s="169">
        <v>6.234659809510569E-2</v>
      </c>
      <c r="AM39" s="169">
        <v>6.2559792155090679E-2</v>
      </c>
      <c r="AN39" s="169">
        <v>6.2805810777659996E-2</v>
      </c>
      <c r="AO39" s="169">
        <v>6.3152083138814111E-2</v>
      </c>
      <c r="AP39" s="169">
        <v>6.3508980268154408E-2</v>
      </c>
      <c r="AQ39" s="169">
        <v>6.3856535029188477E-2</v>
      </c>
      <c r="AR39" s="169">
        <v>6.4197486486556946E-2</v>
      </c>
      <c r="AS39" s="169">
        <v>6.4593013671004923E-2</v>
      </c>
      <c r="AT39" s="169">
        <v>6.4999461416403753E-2</v>
      </c>
      <c r="AU39" s="169">
        <v>6.5385409133117495E-2</v>
      </c>
      <c r="AV39" s="169">
        <v>6.573291681331811E-2</v>
      </c>
      <c r="AW39" s="169">
        <v>6.6033029966497986E-2</v>
      </c>
      <c r="AX39" s="169">
        <v>6.6341934751515647E-2</v>
      </c>
      <c r="AY39" s="169">
        <v>6.6538136607480952E-2</v>
      </c>
      <c r="AZ39" s="169">
        <v>6.6587940248021629E-2</v>
      </c>
      <c r="BA39" s="170">
        <v>6.6562010225352838E-2</v>
      </c>
      <c r="BB39" s="170">
        <v>6.6572555731395644E-2</v>
      </c>
      <c r="BC39" s="170">
        <v>6.6576221357125195E-2</v>
      </c>
    </row>
    <row r="40" spans="1:55" x14ac:dyDescent="0.25">
      <c r="A40" s="69"/>
      <c r="B40" s="162" t="s">
        <v>1055</v>
      </c>
      <c r="C40" s="156"/>
      <c r="D40" s="157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</row>
    <row r="41" spans="1:55" x14ac:dyDescent="0.25">
      <c r="A41" s="69"/>
      <c r="B41" s="69" t="s">
        <v>969</v>
      </c>
      <c r="C41" s="156" t="s">
        <v>145</v>
      </c>
      <c r="D41" s="113">
        <v>0.27483162008067974</v>
      </c>
      <c r="E41" s="113">
        <v>0.28026683424055748</v>
      </c>
      <c r="F41" s="113">
        <v>0.28605752442300658</v>
      </c>
      <c r="G41" s="113">
        <v>0.29256867526517272</v>
      </c>
      <c r="H41" s="113">
        <v>0.29595856202224918</v>
      </c>
      <c r="I41" s="113">
        <v>0.29941561912822467</v>
      </c>
      <c r="J41" s="113">
        <v>0.30251263742428575</v>
      </c>
      <c r="K41" s="113">
        <v>0.30563455056655092</v>
      </c>
      <c r="L41" s="113">
        <v>0.30893229759778507</v>
      </c>
      <c r="M41" s="113">
        <v>0.31264343229413349</v>
      </c>
      <c r="N41" s="113">
        <v>0.31680460977237668</v>
      </c>
      <c r="O41" s="113">
        <v>0.32125464845326779</v>
      </c>
      <c r="P41" s="113">
        <v>0.32594309412957073</v>
      </c>
      <c r="Q41" s="113">
        <v>0.33096691036861031</v>
      </c>
      <c r="R41" s="113">
        <v>0.33641411650502112</v>
      </c>
      <c r="S41" s="113">
        <v>0.34261535312930219</v>
      </c>
      <c r="T41" s="113">
        <v>0.34942172062415328</v>
      </c>
      <c r="U41" s="113">
        <v>0.35664557404595237</v>
      </c>
      <c r="V41" s="113">
        <v>0.36447959751679831</v>
      </c>
      <c r="W41" s="113">
        <v>0.37314040425053169</v>
      </c>
      <c r="X41" s="113">
        <v>0.38230222626599697</v>
      </c>
      <c r="Y41" s="113">
        <v>0.39159790532413469</v>
      </c>
      <c r="Z41" s="113">
        <v>0.40077813226593861</v>
      </c>
      <c r="AA41" s="113">
        <v>0.41014630941636054</v>
      </c>
      <c r="AB41" s="113">
        <v>0.41990827449255064</v>
      </c>
      <c r="AC41" s="113">
        <v>0.42972595225137444</v>
      </c>
      <c r="AD41" s="113">
        <v>0.43926741297967359</v>
      </c>
      <c r="AE41" s="113">
        <v>0.44852700273692636</v>
      </c>
      <c r="AF41" s="113">
        <v>0.45774506503797563</v>
      </c>
      <c r="AG41" s="113">
        <v>0.46702595504105593</v>
      </c>
      <c r="AH41" s="113">
        <v>0.47589695379077973</v>
      </c>
      <c r="AI41" s="113">
        <v>0.48434451174686266</v>
      </c>
      <c r="AJ41" s="113">
        <v>0.49277446050347656</v>
      </c>
      <c r="AK41" s="113">
        <v>0.50120300354002723</v>
      </c>
      <c r="AL41" s="113">
        <v>0.50965866131836468</v>
      </c>
      <c r="AM41" s="113">
        <v>0.51795905153344601</v>
      </c>
      <c r="AN41" s="113">
        <v>0.52634118649609574</v>
      </c>
      <c r="AO41" s="113">
        <v>0.53533310525211641</v>
      </c>
      <c r="AP41" s="113">
        <v>0.54466219622201517</v>
      </c>
      <c r="AQ41" s="113">
        <v>0.55410060847408515</v>
      </c>
      <c r="AR41" s="113">
        <v>0.56372713935273833</v>
      </c>
      <c r="AS41" s="113">
        <v>0.57378356716815482</v>
      </c>
      <c r="AT41" s="113">
        <v>0.58472807214273625</v>
      </c>
      <c r="AU41" s="113">
        <v>0.59614033193525662</v>
      </c>
      <c r="AV41" s="113">
        <v>0.60757192167606366</v>
      </c>
      <c r="AW41" s="113">
        <v>0.61922228292017434</v>
      </c>
      <c r="AX41" s="113">
        <v>0.63116996874567644</v>
      </c>
      <c r="AY41" s="113">
        <v>0.64361122524255054</v>
      </c>
      <c r="AZ41" s="113">
        <v>0.65586622604976375</v>
      </c>
      <c r="BA41" s="113">
        <f>AZ41</f>
        <v>0.65586622604976375</v>
      </c>
      <c r="BB41" s="113">
        <f t="shared" ref="BB41:BC41" si="14">BA41</f>
        <v>0.65586622604976375</v>
      </c>
      <c r="BC41" s="113">
        <f t="shared" si="14"/>
        <v>0.65586622604976375</v>
      </c>
    </row>
    <row r="42" spans="1:55" x14ac:dyDescent="0.25">
      <c r="A42" s="69"/>
      <c r="B42" s="69" t="s">
        <v>969</v>
      </c>
      <c r="C42" s="156" t="s">
        <v>139</v>
      </c>
      <c r="D42" s="160">
        <f t="shared" ref="D42:AI42" si="15">D41*D58*10</f>
        <v>203282.54914723447</v>
      </c>
      <c r="E42" s="160">
        <f t="shared" si="15"/>
        <v>218316.71301939042</v>
      </c>
      <c r="F42" s="160">
        <f t="shared" si="15"/>
        <v>234290.72799962902</v>
      </c>
      <c r="G42" s="160">
        <f t="shared" si="15"/>
        <v>251268.21906238492</v>
      </c>
      <c r="H42" s="160">
        <f t="shared" si="15"/>
        <v>267509.39179549232</v>
      </c>
      <c r="I42" s="160">
        <f t="shared" si="15"/>
        <v>284592.46048817213</v>
      </c>
      <c r="J42" s="160">
        <f t="shared" si="15"/>
        <v>302456.13694674533</v>
      </c>
      <c r="K42" s="160">
        <f t="shared" si="15"/>
        <v>321258.95158724475</v>
      </c>
      <c r="L42" s="160">
        <f t="shared" si="15"/>
        <v>341161.82763128623</v>
      </c>
      <c r="M42" s="160">
        <f t="shared" si="15"/>
        <v>362227.37004287948</v>
      </c>
      <c r="N42" s="160">
        <f t="shared" si="15"/>
        <v>384717.98289743252</v>
      </c>
      <c r="O42" s="160">
        <f t="shared" si="15"/>
        <v>408626.18561182119</v>
      </c>
      <c r="P42" s="160">
        <f t="shared" si="15"/>
        <v>434040.91528142663</v>
      </c>
      <c r="Q42" s="160">
        <f t="shared" si="15"/>
        <v>461187.42712846986</v>
      </c>
      <c r="R42" s="160">
        <f t="shared" si="15"/>
        <v>490143.78516729409</v>
      </c>
      <c r="S42" s="160">
        <f t="shared" si="15"/>
        <v>521182.90160693397</v>
      </c>
      <c r="T42" s="160">
        <f t="shared" si="15"/>
        <v>554033.56308203808</v>
      </c>
      <c r="U42" s="160">
        <f t="shared" si="15"/>
        <v>588511.26334545796</v>
      </c>
      <c r="V42" s="160">
        <f t="shared" si="15"/>
        <v>624783.45980315318</v>
      </c>
      <c r="W42" s="160">
        <f t="shared" si="15"/>
        <v>663435.9571222032</v>
      </c>
      <c r="X42" s="160">
        <f t="shared" si="15"/>
        <v>704720.44797260989</v>
      </c>
      <c r="Y42" s="160">
        <f t="shared" si="15"/>
        <v>748079.15955339454</v>
      </c>
      <c r="Z42" s="160">
        <f t="shared" si="15"/>
        <v>793074.82403931883</v>
      </c>
      <c r="AA42" s="160">
        <f t="shared" si="15"/>
        <v>840236.07301165513</v>
      </c>
      <c r="AB42" s="160">
        <f t="shared" si="15"/>
        <v>890029.4510282008</v>
      </c>
      <c r="AC42" s="160">
        <f t="shared" si="15"/>
        <v>941917.81847769069</v>
      </c>
      <c r="AD42" s="160">
        <f t="shared" si="15"/>
        <v>995338.03851154819</v>
      </c>
      <c r="AE42" s="160">
        <f t="shared" si="15"/>
        <v>1050285.2169327899</v>
      </c>
      <c r="AF42" s="160">
        <f t="shared" si="15"/>
        <v>1107346.6644824075</v>
      </c>
      <c r="AG42" s="160">
        <f t="shared" si="15"/>
        <v>1166487.6495005621</v>
      </c>
      <c r="AH42" s="160">
        <f t="shared" si="15"/>
        <v>1226635.4476494906</v>
      </c>
      <c r="AI42" s="160">
        <f t="shared" si="15"/>
        <v>1287742.5696387824</v>
      </c>
      <c r="AJ42" s="160">
        <f t="shared" ref="AJ42:BC42" si="16">AJ41*AJ58*10</f>
        <v>1350821.6050770818</v>
      </c>
      <c r="AK42" s="160">
        <f t="shared" si="16"/>
        <v>1416016.209921224</v>
      </c>
      <c r="AL42" s="160">
        <f t="shared" si="16"/>
        <v>1483392.0521376736</v>
      </c>
      <c r="AM42" s="160">
        <f t="shared" si="16"/>
        <v>1552551.8587324405</v>
      </c>
      <c r="AN42" s="160">
        <f t="shared" si="16"/>
        <v>1624384.1535200502</v>
      </c>
      <c r="AO42" s="160">
        <f t="shared" si="16"/>
        <v>1700850.1188637759</v>
      </c>
      <c r="AP42" s="160">
        <f t="shared" si="16"/>
        <v>1781316.8262953474</v>
      </c>
      <c r="AQ42" s="160">
        <f t="shared" si="16"/>
        <v>1865237.1545771824</v>
      </c>
      <c r="AR42" s="160">
        <f t="shared" si="16"/>
        <v>1953072.0005440116</v>
      </c>
      <c r="AS42" s="160">
        <f t="shared" si="16"/>
        <v>2045950.5110335755</v>
      </c>
      <c r="AT42" s="160">
        <f t="shared" si="16"/>
        <v>2146104.2412651307</v>
      </c>
      <c r="AU42" s="160">
        <f t="shared" si="16"/>
        <v>2252412.9669573293</v>
      </c>
      <c r="AV42" s="160">
        <f t="shared" si="16"/>
        <v>2363536.8964082259</v>
      </c>
      <c r="AW42" s="160">
        <f t="shared" si="16"/>
        <v>2480572.3449099362</v>
      </c>
      <c r="AX42" s="160">
        <f t="shared" si="16"/>
        <v>2604212.020542521</v>
      </c>
      <c r="AY42" s="160">
        <f t="shared" si="16"/>
        <v>2735538.8175449795</v>
      </c>
      <c r="AZ42" s="160">
        <f t="shared" si="16"/>
        <v>2872389.9438345716</v>
      </c>
      <c r="BA42" s="160">
        <f t="shared" si="16"/>
        <v>2959731.1002898552</v>
      </c>
      <c r="BB42" s="160">
        <f t="shared" si="16"/>
        <v>3049728.0513134636</v>
      </c>
      <c r="BC42" s="160">
        <f t="shared" si="16"/>
        <v>3142461.552016451</v>
      </c>
    </row>
    <row r="43" spans="1:55" s="30" customFormat="1" x14ac:dyDescent="0.25">
      <c r="A43" s="135"/>
      <c r="B43" s="135" t="s">
        <v>988</v>
      </c>
      <c r="C43" s="158" t="s">
        <v>17</v>
      </c>
      <c r="D43" s="161"/>
      <c r="E43" s="161"/>
      <c r="F43" s="161"/>
      <c r="G43" s="161"/>
      <c r="H43" s="161"/>
      <c r="I43" s="161"/>
      <c r="J43" s="171">
        <f>(J42/I42-1)*100</f>
        <v>6.2769324345174127</v>
      </c>
      <c r="K43" s="171">
        <f t="shared" ref="K43:BC43" si="17">(K42/J42-1)*100</f>
        <v>6.2167079267464453</v>
      </c>
      <c r="L43" s="171">
        <f t="shared" si="17"/>
        <v>6.1952751653167271</v>
      </c>
      <c r="M43" s="171">
        <f t="shared" si="17"/>
        <v>6.1746481304350453</v>
      </c>
      <c r="N43" s="171">
        <f t="shared" si="17"/>
        <v>6.2089766579181083</v>
      </c>
      <c r="O43" s="171">
        <f t="shared" si="17"/>
        <v>6.2144749601587224</v>
      </c>
      <c r="P43" s="171">
        <f t="shared" si="17"/>
        <v>6.219554831404861</v>
      </c>
      <c r="Q43" s="171">
        <f t="shared" si="17"/>
        <v>6.2543670173218047</v>
      </c>
      <c r="R43" s="171">
        <f t="shared" si="17"/>
        <v>6.2786529587585793</v>
      </c>
      <c r="S43" s="171">
        <f t="shared" si="17"/>
        <v>6.3326553103281169</v>
      </c>
      <c r="T43" s="171">
        <f t="shared" si="17"/>
        <v>6.3030965470696643</v>
      </c>
      <c r="U43" s="171">
        <f t="shared" si="17"/>
        <v>6.2230345886670868</v>
      </c>
      <c r="V43" s="171">
        <f t="shared" si="17"/>
        <v>6.1633818614620584</v>
      </c>
      <c r="W43" s="171">
        <f t="shared" si="17"/>
        <v>6.1865429874260913</v>
      </c>
      <c r="X43" s="171">
        <f t="shared" si="17"/>
        <v>6.222829861300716</v>
      </c>
      <c r="Y43" s="171">
        <f t="shared" si="17"/>
        <v>6.15261153632225</v>
      </c>
      <c r="Z43" s="171">
        <f t="shared" si="17"/>
        <v>6.0148266278112761</v>
      </c>
      <c r="AA43" s="171">
        <f t="shared" si="17"/>
        <v>5.9466329711656662</v>
      </c>
      <c r="AB43" s="171">
        <f t="shared" si="17"/>
        <v>5.9261176252611403</v>
      </c>
      <c r="AC43" s="171">
        <f t="shared" si="17"/>
        <v>5.8299607265294595</v>
      </c>
      <c r="AD43" s="171">
        <f t="shared" si="17"/>
        <v>5.6714310936589074</v>
      </c>
      <c r="AE43" s="171">
        <f t="shared" si="17"/>
        <v>5.5204539860056911</v>
      </c>
      <c r="AF43" s="171">
        <f t="shared" si="17"/>
        <v>5.4329477964335737</v>
      </c>
      <c r="AG43" s="171">
        <f t="shared" si="17"/>
        <v>5.3407832357356799</v>
      </c>
      <c r="AH43" s="171">
        <f t="shared" si="17"/>
        <v>5.156316757805457</v>
      </c>
      <c r="AI43" s="171">
        <f t="shared" si="17"/>
        <v>4.9816856431458056</v>
      </c>
      <c r="AJ43" s="171">
        <f t="shared" si="17"/>
        <v>4.8984196783984135</v>
      </c>
      <c r="AK43" s="171">
        <f t="shared" si="17"/>
        <v>4.82629272430255</v>
      </c>
      <c r="AL43" s="171">
        <f t="shared" si="17"/>
        <v>4.7581264779587462</v>
      </c>
      <c r="AM43" s="171">
        <f t="shared" si="17"/>
        <v>4.6622743121147669</v>
      </c>
      <c r="AN43" s="171">
        <f t="shared" si="17"/>
        <v>4.6267243431247662</v>
      </c>
      <c r="AO43" s="171">
        <f t="shared" si="17"/>
        <v>4.7073818824213021</v>
      </c>
      <c r="AP43" s="171">
        <f t="shared" si="17"/>
        <v>4.7309699155223539</v>
      </c>
      <c r="AQ43" s="171">
        <f t="shared" si="17"/>
        <v>4.7111399299116341</v>
      </c>
      <c r="AR43" s="171">
        <f t="shared" si="17"/>
        <v>4.7090444103200291</v>
      </c>
      <c r="AS43" s="171">
        <f t="shared" si="17"/>
        <v>4.7555087812273911</v>
      </c>
      <c r="AT43" s="171">
        <f t="shared" si="17"/>
        <v>4.8952176355897992</v>
      </c>
      <c r="AU43" s="171">
        <f t="shared" si="17"/>
        <v>4.9535676621900393</v>
      </c>
      <c r="AV43" s="171">
        <f t="shared" si="17"/>
        <v>4.9335504226388993</v>
      </c>
      <c r="AW43" s="171">
        <f t="shared" si="17"/>
        <v>4.9517081235145755</v>
      </c>
      <c r="AX43" s="171">
        <f t="shared" si="17"/>
        <v>4.9843204890310799</v>
      </c>
      <c r="AY43" s="171">
        <f t="shared" si="17"/>
        <v>5.0428611789872679</v>
      </c>
      <c r="AZ43" s="171">
        <f t="shared" si="17"/>
        <v>5.0027119122517005</v>
      </c>
      <c r="BA43" s="171">
        <f t="shared" si="17"/>
        <v>3.0407137666930151</v>
      </c>
      <c r="BB43" s="171">
        <f t="shared" si="17"/>
        <v>3.0407137666930151</v>
      </c>
      <c r="BC43" s="171">
        <f t="shared" si="17"/>
        <v>3.0407137666930151</v>
      </c>
    </row>
    <row r="44" spans="1:55" x14ac:dyDescent="0.25">
      <c r="A44" s="69"/>
      <c r="B44" s="162" t="s">
        <v>1056</v>
      </c>
      <c r="C44" s="156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  <c r="BC44" s="160"/>
    </row>
    <row r="45" spans="1:55" x14ac:dyDescent="0.25">
      <c r="A45" s="69"/>
      <c r="B45" s="69" t="s">
        <v>971</v>
      </c>
      <c r="C45" s="156" t="s">
        <v>145</v>
      </c>
      <c r="D45" s="113">
        <v>2.9501084580181298</v>
      </c>
      <c r="E45" s="113">
        <v>2.9254236031471099</v>
      </c>
      <c r="F45" s="113">
        <v>2.9074758343342602</v>
      </c>
      <c r="G45" s="113">
        <v>2.9042499536702899</v>
      </c>
      <c r="H45" s="113">
        <v>2.8820760433944099</v>
      </c>
      <c r="I45" s="113">
        <v>2.8663861036683298</v>
      </c>
      <c r="J45" s="113">
        <v>2.8505447861211102</v>
      </c>
      <c r="K45" s="113">
        <v>2.8376868500664099</v>
      </c>
      <c r="L45" s="113">
        <v>2.82783487449267</v>
      </c>
      <c r="M45" s="113">
        <v>2.82295160337243</v>
      </c>
      <c r="N45" s="113">
        <v>2.82073751392377</v>
      </c>
      <c r="O45" s="113">
        <v>2.81845329022187</v>
      </c>
      <c r="P45" s="113">
        <v>2.8152168826412201</v>
      </c>
      <c r="Q45" s="113">
        <v>2.8104350011650299</v>
      </c>
      <c r="R45" s="113">
        <v>2.80316615152356</v>
      </c>
      <c r="S45" s="113">
        <v>2.7939244820874101</v>
      </c>
      <c r="T45" s="113">
        <v>2.7812031427696802</v>
      </c>
      <c r="U45" s="113">
        <v>2.76434967216704</v>
      </c>
      <c r="V45" s="113">
        <v>2.7455281736742201</v>
      </c>
      <c r="W45" s="113">
        <v>2.7269833818277802</v>
      </c>
      <c r="X45" s="113">
        <v>2.70560310598793</v>
      </c>
      <c r="Y45" s="113">
        <v>2.6813886119819998</v>
      </c>
      <c r="Z45" s="113">
        <v>2.65565071797307</v>
      </c>
      <c r="AA45" s="113">
        <v>2.6302580068179102</v>
      </c>
      <c r="AB45" s="113">
        <v>2.6059975271353699</v>
      </c>
      <c r="AC45" s="113">
        <v>2.5832822669846198</v>
      </c>
      <c r="AD45" s="113">
        <v>2.5622761421227001</v>
      </c>
      <c r="AE45" s="113">
        <v>2.54328934225776</v>
      </c>
      <c r="AF45" s="113">
        <v>2.5269866346623999</v>
      </c>
      <c r="AG45" s="113">
        <v>2.5144191595422098</v>
      </c>
      <c r="AH45" s="113">
        <v>2.5056672690289301</v>
      </c>
      <c r="AI45" s="113">
        <v>2.5005632537950402</v>
      </c>
      <c r="AJ45" s="113">
        <v>2.4991602286997998</v>
      </c>
      <c r="AK45" s="113">
        <v>2.5012458618712601</v>
      </c>
      <c r="AL45" s="113">
        <v>2.5070140719862302</v>
      </c>
      <c r="AM45" s="113">
        <v>2.5161907169915501</v>
      </c>
      <c r="AN45" s="113">
        <v>2.52794289954468</v>
      </c>
      <c r="AO45" s="113">
        <v>2.5413070350146501</v>
      </c>
      <c r="AP45" s="113">
        <v>2.5560867021731402</v>
      </c>
      <c r="AQ45" s="113">
        <v>2.57198044364613</v>
      </c>
      <c r="AR45" s="113">
        <v>2.5882557089137301</v>
      </c>
      <c r="AS45" s="113">
        <v>2.6043149148396401</v>
      </c>
      <c r="AT45" s="113">
        <v>2.6192312556023398</v>
      </c>
      <c r="AU45" s="113">
        <v>2.63253995564859</v>
      </c>
      <c r="AV45" s="113">
        <v>2.6438252006195002</v>
      </c>
      <c r="AW45" s="113">
        <v>2.6524602799855201</v>
      </c>
      <c r="AX45" s="113">
        <v>2.6581062044173298</v>
      </c>
      <c r="AY45" s="113">
        <v>2.6605734383498798</v>
      </c>
      <c r="AZ45" s="113">
        <v>2.65931536626998</v>
      </c>
      <c r="BA45" s="113">
        <f>AZ45</f>
        <v>2.65931536626998</v>
      </c>
      <c r="BB45" s="113">
        <f t="shared" ref="BB45:BC45" si="18">BA45</f>
        <v>2.65931536626998</v>
      </c>
      <c r="BC45" s="113">
        <f t="shared" si="18"/>
        <v>2.65931536626998</v>
      </c>
    </row>
    <row r="46" spans="1:55" x14ac:dyDescent="0.25">
      <c r="A46" s="69"/>
      <c r="B46" s="69" t="s">
        <v>971</v>
      </c>
      <c r="C46" s="156" t="s">
        <v>139</v>
      </c>
      <c r="D46" s="160">
        <f t="shared" ref="D46:AI46" si="19">D45*D58*10</f>
        <v>2182083.5878735227</v>
      </c>
      <c r="E46" s="160">
        <f t="shared" si="19"/>
        <v>2278788.594301668</v>
      </c>
      <c r="F46" s="160">
        <f t="shared" si="19"/>
        <v>2381320.4398014308</v>
      </c>
      <c r="G46" s="160">
        <f t="shared" si="19"/>
        <v>2494271.5173090044</v>
      </c>
      <c r="H46" s="160">
        <f t="shared" si="19"/>
        <v>2605034.9893875937</v>
      </c>
      <c r="I46" s="160">
        <f t="shared" si="19"/>
        <v>2724480.0265504159</v>
      </c>
      <c r="J46" s="160">
        <f t="shared" si="19"/>
        <v>2850012.3880598671</v>
      </c>
      <c r="K46" s="160">
        <f t="shared" si="19"/>
        <v>2982752.7702459181</v>
      </c>
      <c r="L46" s="160">
        <f t="shared" si="19"/>
        <v>3122850.2863674844</v>
      </c>
      <c r="M46" s="160">
        <f t="shared" si="19"/>
        <v>3270659.8937473111</v>
      </c>
      <c r="N46" s="160">
        <f t="shared" si="19"/>
        <v>3425418.7381287673</v>
      </c>
      <c r="O46" s="160">
        <f t="shared" si="19"/>
        <v>3584987.245642873</v>
      </c>
      <c r="P46" s="160">
        <f t="shared" si="19"/>
        <v>3748873.1452355166</v>
      </c>
      <c r="Q46" s="160">
        <f t="shared" si="19"/>
        <v>3916214.1189750405</v>
      </c>
      <c r="R46" s="160">
        <f t="shared" si="19"/>
        <v>4084116.5710716764</v>
      </c>
      <c r="S46" s="160">
        <f t="shared" si="19"/>
        <v>4250088.7807424702</v>
      </c>
      <c r="T46" s="160">
        <f t="shared" si="19"/>
        <v>4409799.9520214638</v>
      </c>
      <c r="U46" s="160">
        <f t="shared" si="19"/>
        <v>4561534.0166425677</v>
      </c>
      <c r="V46" s="160">
        <f t="shared" si="19"/>
        <v>4706328.1539542228</v>
      </c>
      <c r="W46" s="160">
        <f t="shared" si="19"/>
        <v>4848520.3139903024</v>
      </c>
      <c r="X46" s="160">
        <f t="shared" si="19"/>
        <v>4987399.2404147433</v>
      </c>
      <c r="Y46" s="160">
        <f t="shared" si="19"/>
        <v>5122322.9542742707</v>
      </c>
      <c r="Z46" s="160">
        <f t="shared" si="19"/>
        <v>5255101.4047564063</v>
      </c>
      <c r="AA46" s="160">
        <f t="shared" si="19"/>
        <v>5388412.8856383823</v>
      </c>
      <c r="AB46" s="160">
        <f t="shared" si="19"/>
        <v>5523621.9178107427</v>
      </c>
      <c r="AC46" s="160">
        <f t="shared" si="19"/>
        <v>5662305.4406704707</v>
      </c>
      <c r="AD46" s="160">
        <f t="shared" si="19"/>
        <v>5805873.219972631</v>
      </c>
      <c r="AE46" s="160">
        <f t="shared" si="19"/>
        <v>5955447.9044882953</v>
      </c>
      <c r="AF46" s="160">
        <f t="shared" si="19"/>
        <v>6113119.3644936029</v>
      </c>
      <c r="AG46" s="160">
        <f t="shared" si="19"/>
        <v>6280248.1609736867</v>
      </c>
      <c r="AH46" s="160">
        <f t="shared" si="19"/>
        <v>6458415.5618638601</v>
      </c>
      <c r="AI46" s="160">
        <f t="shared" si="19"/>
        <v>6648329.1786927078</v>
      </c>
      <c r="AJ46" s="160">
        <f t="shared" ref="AJ46:BC46" si="20">AJ45*AJ58*10</f>
        <v>6850841.3119215472</v>
      </c>
      <c r="AK46" s="160">
        <f t="shared" si="20"/>
        <v>7066607.0641877763</v>
      </c>
      <c r="AL46" s="160">
        <f t="shared" si="20"/>
        <v>7296814.5765674161</v>
      </c>
      <c r="AM46" s="160">
        <f t="shared" si="20"/>
        <v>7542134.0027268324</v>
      </c>
      <c r="AN46" s="160">
        <f t="shared" si="20"/>
        <v>7801689.2699586712</v>
      </c>
      <c r="AO46" s="160">
        <f t="shared" si="20"/>
        <v>8074192.1808448238</v>
      </c>
      <c r="AP46" s="160">
        <f t="shared" si="20"/>
        <v>8359677.39937439</v>
      </c>
      <c r="AQ46" s="160">
        <f t="shared" si="20"/>
        <v>8657910.5147455093</v>
      </c>
      <c r="AR46" s="160">
        <f t="shared" si="20"/>
        <v>8967192.4632397834</v>
      </c>
      <c r="AS46" s="160">
        <f t="shared" si="20"/>
        <v>9286253.1027260944</v>
      </c>
      <c r="AT46" s="160">
        <f t="shared" si="20"/>
        <v>9613260.5467421692</v>
      </c>
      <c r="AU46" s="160">
        <f t="shared" si="20"/>
        <v>9946596.152766481</v>
      </c>
      <c r="AV46" s="160">
        <f t="shared" si="20"/>
        <v>10284837.377079615</v>
      </c>
      <c r="AW46" s="160">
        <f t="shared" si="20"/>
        <v>10625618.292474054</v>
      </c>
      <c r="AX46" s="160">
        <f t="shared" si="20"/>
        <v>10967366.117210697</v>
      </c>
      <c r="AY46" s="160">
        <f t="shared" si="20"/>
        <v>11308227.128562577</v>
      </c>
      <c r="AZ46" s="160">
        <f t="shared" si="20"/>
        <v>11646568.175289856</v>
      </c>
      <c r="BA46" s="160">
        <f t="shared" si="20"/>
        <v>12000706.977143183</v>
      </c>
      <c r="BB46" s="160">
        <f t="shared" si="20"/>
        <v>12365614.126297664</v>
      </c>
      <c r="BC46" s="160">
        <f t="shared" si="20"/>
        <v>12741617.057372134</v>
      </c>
    </row>
    <row r="47" spans="1:55" s="30" customFormat="1" x14ac:dyDescent="0.25">
      <c r="A47" s="135"/>
      <c r="B47" s="135" t="s">
        <v>988</v>
      </c>
      <c r="C47" s="158" t="s">
        <v>17</v>
      </c>
      <c r="D47" s="161"/>
      <c r="E47" s="161"/>
      <c r="F47" s="161"/>
      <c r="G47" s="161"/>
      <c r="H47" s="161"/>
      <c r="I47" s="161"/>
      <c r="J47" s="171">
        <f>(J46/I46-1)*100</f>
        <v>4.6075713635674198</v>
      </c>
      <c r="K47" s="171">
        <f t="shared" ref="K47:BC47" si="21">(K46/J46-1)*100</f>
        <v>4.6575370248272296</v>
      </c>
      <c r="L47" s="171">
        <f t="shared" si="21"/>
        <v>4.6969201577513164</v>
      </c>
      <c r="M47" s="171">
        <f t="shared" si="21"/>
        <v>4.7331634188509053</v>
      </c>
      <c r="N47" s="171">
        <f t="shared" si="21"/>
        <v>4.7317314978948755</v>
      </c>
      <c r="O47" s="171">
        <f t="shared" si="21"/>
        <v>4.6583649974798247</v>
      </c>
      <c r="P47" s="171">
        <f t="shared" si="21"/>
        <v>4.5714500042316031</v>
      </c>
      <c r="Q47" s="171">
        <f t="shared" si="21"/>
        <v>4.4637673043751658</v>
      </c>
      <c r="R47" s="171">
        <f t="shared" si="21"/>
        <v>4.2873664972276737</v>
      </c>
      <c r="S47" s="171">
        <f t="shared" si="21"/>
        <v>4.0638460431417611</v>
      </c>
      <c r="T47" s="171">
        <f t="shared" si="21"/>
        <v>3.7578314129026902</v>
      </c>
      <c r="U47" s="171">
        <f t="shared" si="21"/>
        <v>3.4408378219413116</v>
      </c>
      <c r="V47" s="171">
        <f t="shared" si="21"/>
        <v>3.1742421909686458</v>
      </c>
      <c r="W47" s="171">
        <f t="shared" si="21"/>
        <v>3.0212971850807069</v>
      </c>
      <c r="X47" s="171">
        <f t="shared" si="21"/>
        <v>2.8643569054193518</v>
      </c>
      <c r="Y47" s="171">
        <f t="shared" si="21"/>
        <v>2.7052920240711931</v>
      </c>
      <c r="Z47" s="171">
        <f t="shared" si="21"/>
        <v>2.5921530459406039</v>
      </c>
      <c r="AA47" s="171">
        <f t="shared" si="21"/>
        <v>2.5368013024699376</v>
      </c>
      <c r="AB47" s="171">
        <f t="shared" si="21"/>
        <v>2.5092552304729621</v>
      </c>
      <c r="AC47" s="171">
        <f t="shared" si="21"/>
        <v>2.5107352552959483</v>
      </c>
      <c r="AD47" s="171">
        <f t="shared" si="21"/>
        <v>2.5355004389371105</v>
      </c>
      <c r="AE47" s="171">
        <f t="shared" si="21"/>
        <v>2.5762650827633626</v>
      </c>
      <c r="AF47" s="171">
        <f t="shared" si="21"/>
        <v>2.6475164006804386</v>
      </c>
      <c r="AG47" s="171">
        <f t="shared" si="21"/>
        <v>2.7339364163377233</v>
      </c>
      <c r="AH47" s="171">
        <f t="shared" si="21"/>
        <v>2.836948418652141</v>
      </c>
      <c r="AI47" s="171">
        <f t="shared" si="21"/>
        <v>2.9405604983095746</v>
      </c>
      <c r="AJ47" s="171">
        <f t="shared" si="21"/>
        <v>3.0460605632746329</v>
      </c>
      <c r="AK47" s="171">
        <f t="shared" si="21"/>
        <v>3.1494781800121885</v>
      </c>
      <c r="AL47" s="171">
        <f t="shared" si="21"/>
        <v>3.2576809533713558</v>
      </c>
      <c r="AM47" s="171">
        <f t="shared" si="21"/>
        <v>3.3620071277022934</v>
      </c>
      <c r="AN47" s="171">
        <f t="shared" si="21"/>
        <v>3.4414035488894434</v>
      </c>
      <c r="AO47" s="171">
        <f t="shared" si="21"/>
        <v>3.4928706009281552</v>
      </c>
      <c r="AP47" s="171">
        <f t="shared" si="21"/>
        <v>3.5357743800903174</v>
      </c>
      <c r="AQ47" s="171">
        <f t="shared" si="21"/>
        <v>3.5675194283625977</v>
      </c>
      <c r="AR47" s="171">
        <f t="shared" si="21"/>
        <v>3.5722469984822425</v>
      </c>
      <c r="AS47" s="171">
        <f t="shared" si="21"/>
        <v>3.5580884518122247</v>
      </c>
      <c r="AT47" s="171">
        <f t="shared" si="21"/>
        <v>3.5214142927040948</v>
      </c>
      <c r="AU47" s="171">
        <f t="shared" si="21"/>
        <v>3.4674562746276116</v>
      </c>
      <c r="AV47" s="171">
        <f t="shared" si="21"/>
        <v>3.4005726091438593</v>
      </c>
      <c r="AW47" s="171">
        <f t="shared" si="21"/>
        <v>3.3134302750755129</v>
      </c>
      <c r="AX47" s="171">
        <f t="shared" si="21"/>
        <v>3.2162629536456988</v>
      </c>
      <c r="AY47" s="171">
        <f t="shared" si="21"/>
        <v>3.1079568941988489</v>
      </c>
      <c r="AZ47" s="171">
        <f t="shared" si="21"/>
        <v>2.9919901933406434</v>
      </c>
      <c r="BA47" s="171">
        <f t="shared" si="21"/>
        <v>3.0407137666930151</v>
      </c>
      <c r="BB47" s="171">
        <f t="shared" si="21"/>
        <v>3.0407137666929929</v>
      </c>
      <c r="BC47" s="171">
        <f t="shared" si="21"/>
        <v>3.0407137666930151</v>
      </c>
    </row>
    <row r="48" spans="1:55" x14ac:dyDescent="0.25">
      <c r="A48" s="69"/>
      <c r="B48" s="162" t="s">
        <v>1057</v>
      </c>
      <c r="C48" s="156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0"/>
      <c r="AA48" s="160"/>
      <c r="AB48" s="160"/>
      <c r="AC48" s="160"/>
      <c r="AD48" s="160"/>
      <c r="AE48" s="160"/>
      <c r="AF48" s="160"/>
      <c r="AG48" s="160"/>
      <c r="AH48" s="160"/>
      <c r="AI48" s="160"/>
      <c r="AJ48" s="160"/>
      <c r="AK48" s="160"/>
      <c r="AL48" s="160"/>
      <c r="AM48" s="160"/>
      <c r="AN48" s="160"/>
      <c r="AO48" s="160"/>
      <c r="AP48" s="160"/>
      <c r="AQ48" s="160"/>
      <c r="AR48" s="160"/>
      <c r="AS48" s="160"/>
      <c r="AT48" s="160"/>
      <c r="AU48" s="160"/>
      <c r="AV48" s="160"/>
      <c r="AW48" s="160"/>
      <c r="AX48" s="160"/>
      <c r="AY48" s="160"/>
      <c r="AZ48" s="160"/>
      <c r="BA48" s="160"/>
      <c r="BB48" s="160"/>
      <c r="BC48" s="160"/>
    </row>
    <row r="49" spans="1:55" x14ac:dyDescent="0.25">
      <c r="A49" s="69"/>
      <c r="B49" s="69" t="s">
        <v>1058</v>
      </c>
      <c r="C49" s="156" t="s">
        <v>145</v>
      </c>
      <c r="D49" s="110">
        <v>0.16700000000000001</v>
      </c>
      <c r="E49" s="110">
        <v>0.16900000000000001</v>
      </c>
      <c r="F49" s="110">
        <v>0.17</v>
      </c>
      <c r="G49" s="110">
        <v>0.17</v>
      </c>
      <c r="H49" s="110">
        <v>0.17</v>
      </c>
      <c r="I49" s="110">
        <v>0.16300000000000001</v>
      </c>
      <c r="J49" s="110">
        <v>0.157</v>
      </c>
      <c r="K49" s="110">
        <v>0.151</v>
      </c>
      <c r="L49" s="110">
        <v>0.14599999999999999</v>
      </c>
      <c r="M49" s="110">
        <v>0.14099999999999999</v>
      </c>
      <c r="N49" s="110">
        <v>0.13700000000000001</v>
      </c>
      <c r="O49" s="110">
        <v>0.13300000000000001</v>
      </c>
      <c r="P49" s="110">
        <v>0.13</v>
      </c>
      <c r="Q49" s="110">
        <v>0.126</v>
      </c>
      <c r="R49" s="110">
        <v>0.123</v>
      </c>
      <c r="S49" s="110">
        <v>0.121</v>
      </c>
      <c r="T49" s="110">
        <v>0.11799999999999999</v>
      </c>
      <c r="U49" s="110">
        <v>0.11600000000000001</v>
      </c>
      <c r="V49" s="110">
        <v>0.114</v>
      </c>
      <c r="W49" s="110">
        <v>0.112</v>
      </c>
      <c r="X49" s="110">
        <v>0.111</v>
      </c>
      <c r="Y49" s="110">
        <v>0.109</v>
      </c>
      <c r="Z49" s="110">
        <v>0.108</v>
      </c>
      <c r="AA49" s="110">
        <v>0.107</v>
      </c>
      <c r="AB49" s="110">
        <v>0.106</v>
      </c>
      <c r="AC49" s="110">
        <v>0.105</v>
      </c>
      <c r="AD49" s="110">
        <v>0.104</v>
      </c>
      <c r="AE49" s="110">
        <v>0.10299999999999999</v>
      </c>
      <c r="AF49" s="110">
        <v>0.10199999999999999</v>
      </c>
      <c r="AG49" s="110">
        <v>0.10100000000000001</v>
      </c>
      <c r="AH49" s="110">
        <v>0.10100000000000001</v>
      </c>
      <c r="AI49" s="110">
        <v>0.1</v>
      </c>
      <c r="AJ49" s="110">
        <v>9.9000000000000005E-2</v>
      </c>
      <c r="AK49" s="110">
        <v>9.9000000000000005E-2</v>
      </c>
      <c r="AL49" s="110">
        <v>9.9000000000000005E-2</v>
      </c>
      <c r="AM49" s="110">
        <v>9.8000000000000004E-2</v>
      </c>
      <c r="AN49" s="110">
        <v>9.8000000000000004E-2</v>
      </c>
      <c r="AO49" s="110">
        <v>9.7000000000000003E-2</v>
      </c>
      <c r="AP49" s="110">
        <v>9.7000000000000003E-2</v>
      </c>
      <c r="AQ49" s="110">
        <v>9.7000000000000003E-2</v>
      </c>
      <c r="AR49" s="110">
        <v>9.6000000000000002E-2</v>
      </c>
      <c r="AS49" s="110">
        <v>9.6000000000000002E-2</v>
      </c>
      <c r="AT49" s="110">
        <v>9.6000000000000002E-2</v>
      </c>
      <c r="AU49" s="110">
        <v>9.6000000000000002E-2</v>
      </c>
      <c r="AV49" s="110">
        <v>9.6000000000000002E-2</v>
      </c>
      <c r="AW49" s="110">
        <v>9.6000000000000002E-2</v>
      </c>
      <c r="AX49" s="110">
        <v>9.5000000000000001E-2</v>
      </c>
      <c r="AY49" s="110">
        <v>9.5000000000000001E-2</v>
      </c>
      <c r="AZ49" s="110">
        <v>9.4E-2</v>
      </c>
      <c r="BA49" s="110">
        <f>AZ49</f>
        <v>9.4E-2</v>
      </c>
      <c r="BB49" s="110">
        <f t="shared" ref="BB49:BC49" si="22">BA49</f>
        <v>9.4E-2</v>
      </c>
      <c r="BC49" s="110">
        <f t="shared" si="22"/>
        <v>9.4E-2</v>
      </c>
    </row>
    <row r="50" spans="1:55" s="39" customFormat="1" x14ac:dyDescent="0.25">
      <c r="A50" s="69"/>
      <c r="B50" s="69" t="s">
        <v>1058</v>
      </c>
      <c r="C50" s="156" t="s">
        <v>139</v>
      </c>
      <c r="D50" s="157">
        <f t="shared" ref="D50:AI50" si="23">D49*D59*10</f>
        <v>118730.34839000009</v>
      </c>
      <c r="E50" s="157">
        <f t="shared" si="23"/>
        <v>121932.87242864005</v>
      </c>
      <c r="F50" s="157">
        <f t="shared" si="23"/>
        <v>126636.50291808427</v>
      </c>
      <c r="G50" s="157">
        <f t="shared" si="23"/>
        <v>132237.34838340725</v>
      </c>
      <c r="H50" s="157">
        <f t="shared" si="23"/>
        <v>138906.53830633973</v>
      </c>
      <c r="I50" s="157">
        <f t="shared" si="23"/>
        <v>140522.7387929603</v>
      </c>
      <c r="J50" s="157">
        <f t="shared" si="23"/>
        <v>142373.31391155988</v>
      </c>
      <c r="K50" s="157">
        <f t="shared" si="23"/>
        <v>143959.32441031089</v>
      </c>
      <c r="L50" s="157">
        <f t="shared" si="23"/>
        <v>146237.93176017932</v>
      </c>
      <c r="M50" s="157">
        <f t="shared" si="23"/>
        <v>148170.28900279338</v>
      </c>
      <c r="N50" s="157">
        <f t="shared" si="23"/>
        <v>150897.35398057094</v>
      </c>
      <c r="O50" s="157">
        <f t="shared" si="23"/>
        <v>153439.96001901894</v>
      </c>
      <c r="P50" s="157">
        <f t="shared" si="23"/>
        <v>157015.41865971038</v>
      </c>
      <c r="Q50" s="157">
        <f t="shared" si="23"/>
        <v>159247.81820152319</v>
      </c>
      <c r="R50" s="157">
        <f t="shared" si="23"/>
        <v>162541.5747593306</v>
      </c>
      <c r="S50" s="157">
        <f t="shared" si="23"/>
        <v>166947.05861468261</v>
      </c>
      <c r="T50" s="157">
        <f t="shared" si="23"/>
        <v>169698.5950417539</v>
      </c>
      <c r="U50" s="157">
        <f t="shared" si="23"/>
        <v>173614.49923690135</v>
      </c>
      <c r="V50" s="157">
        <f t="shared" si="23"/>
        <v>177243.86623166094</v>
      </c>
      <c r="W50" s="157">
        <f t="shared" si="23"/>
        <v>180615.4150029278</v>
      </c>
      <c r="X50" s="157">
        <f t="shared" si="23"/>
        <v>185585.09232384275</v>
      </c>
      <c r="Y50" s="157">
        <f t="shared" si="23"/>
        <v>188861.6399288589</v>
      </c>
      <c r="Z50" s="157">
        <f t="shared" si="23"/>
        <v>193840.25145594549</v>
      </c>
      <c r="AA50" s="157">
        <f t="shared" si="23"/>
        <v>198818.29947880871</v>
      </c>
      <c r="AB50" s="157">
        <f t="shared" si="23"/>
        <v>203782.02461883816</v>
      </c>
      <c r="AC50" s="157">
        <f t="shared" si="23"/>
        <v>208747.26379378876</v>
      </c>
      <c r="AD50" s="157">
        <f t="shared" si="23"/>
        <v>213739.61221952067</v>
      </c>
      <c r="AE50" s="157">
        <f t="shared" si="23"/>
        <v>218759.00826979784</v>
      </c>
      <c r="AF50" s="157">
        <f t="shared" si="23"/>
        <v>223805.19603850288</v>
      </c>
      <c r="AG50" s="157">
        <f t="shared" si="23"/>
        <v>228807.66230984576</v>
      </c>
      <c r="AH50" s="157">
        <f t="shared" si="23"/>
        <v>236120.67838124433</v>
      </c>
      <c r="AI50" s="157">
        <f t="shared" si="23"/>
        <v>241148.59291131049</v>
      </c>
      <c r="AJ50" s="157">
        <f t="shared" ref="AJ50:BC50" si="24">AJ49*AJ59*10</f>
        <v>246147.2930633864</v>
      </c>
      <c r="AK50" s="157">
        <f t="shared" si="24"/>
        <v>253687.9372426988</v>
      </c>
      <c r="AL50" s="157">
        <f t="shared" si="24"/>
        <v>261349.57350991011</v>
      </c>
      <c r="AM50" s="157">
        <f t="shared" si="24"/>
        <v>266432.27109936398</v>
      </c>
      <c r="AN50" s="157">
        <f t="shared" si="24"/>
        <v>274320.03479772445</v>
      </c>
      <c r="AO50" s="157">
        <f t="shared" si="24"/>
        <v>279526.98505308566</v>
      </c>
      <c r="AP50" s="157">
        <f t="shared" si="24"/>
        <v>287737.01514959603</v>
      </c>
      <c r="AQ50" s="157">
        <f t="shared" si="24"/>
        <v>296160.56333841808</v>
      </c>
      <c r="AR50" s="157">
        <f t="shared" si="24"/>
        <v>301668.9461151142</v>
      </c>
      <c r="AS50" s="157">
        <f t="shared" si="24"/>
        <v>310476.19967954897</v>
      </c>
      <c r="AT50" s="157">
        <f t="shared" si="24"/>
        <v>319578.94892540667</v>
      </c>
      <c r="AU50" s="157">
        <f t="shared" si="24"/>
        <v>328988.56983087602</v>
      </c>
      <c r="AV50" s="157">
        <f t="shared" si="24"/>
        <v>338724.01356962573</v>
      </c>
      <c r="AW50" s="157">
        <f t="shared" si="24"/>
        <v>348808.14450098027</v>
      </c>
      <c r="AX50" s="157">
        <f t="shared" si="24"/>
        <v>355519.7076688041</v>
      </c>
      <c r="AY50" s="157">
        <f t="shared" si="24"/>
        <v>366229.17580206477</v>
      </c>
      <c r="AZ50" s="157">
        <f t="shared" si="24"/>
        <v>373392.89196023688</v>
      </c>
      <c r="BA50" s="157">
        <f t="shared" si="24"/>
        <v>384746.70102992503</v>
      </c>
      <c r="BB50" s="157">
        <f t="shared" si="24"/>
        <v>396445.74693503918</v>
      </c>
      <c r="BC50" s="157">
        <f t="shared" si="24"/>
        <v>408500.5273395619</v>
      </c>
    </row>
    <row r="51" spans="1:55" s="30" customFormat="1" x14ac:dyDescent="0.25">
      <c r="A51" s="135"/>
      <c r="B51" s="135" t="s">
        <v>988</v>
      </c>
      <c r="C51" s="158" t="s">
        <v>17</v>
      </c>
      <c r="D51" s="159"/>
      <c r="E51" s="159"/>
      <c r="F51" s="159"/>
      <c r="G51" s="159"/>
      <c r="H51" s="159"/>
      <c r="I51" s="159"/>
      <c r="J51" s="171">
        <f>(J50/I50-1)*100</f>
        <v>1.3169221824847366</v>
      </c>
      <c r="K51" s="171">
        <f t="shared" ref="K51" si="25">(K50/J50-1)*100</f>
        <v>1.1139801801173244</v>
      </c>
      <c r="L51" s="171">
        <f t="shared" ref="L51" si="26">(L50/K50-1)*100</f>
        <v>1.5828133114698328</v>
      </c>
      <c r="M51" s="171">
        <f t="shared" ref="M51" si="27">(M50/L50-1)*100</f>
        <v>1.3213789468679016</v>
      </c>
      <c r="N51" s="171">
        <f t="shared" ref="N51" si="28">(N50/M50-1)*100</f>
        <v>1.8404937967868573</v>
      </c>
      <c r="O51" s="171">
        <f t="shared" ref="O51" si="29">(O50/N50-1)*100</f>
        <v>1.6849904729113963</v>
      </c>
      <c r="P51" s="171">
        <f t="shared" ref="P51" si="30">(P50/O50-1)*100</f>
        <v>2.330200451204667</v>
      </c>
      <c r="Q51" s="171">
        <f t="shared" ref="Q51" si="31">(Q50/P50-1)*100</f>
        <v>1.4217709068756745</v>
      </c>
      <c r="R51" s="171">
        <f t="shared" ref="R51" si="32">(R50/Q50-1)*100</f>
        <v>2.0683213088918295</v>
      </c>
      <c r="S51" s="171">
        <f t="shared" ref="S51" si="33">(S50/R50-1)*100</f>
        <v>2.7103735532740147</v>
      </c>
      <c r="T51" s="171">
        <f t="shared" ref="T51" si="34">(T50/S50-1)*100</f>
        <v>1.648149089839257</v>
      </c>
      <c r="U51" s="171">
        <f t="shared" ref="U51" si="35">(U50/T50-1)*100</f>
        <v>2.3075642990349809</v>
      </c>
      <c r="V51" s="171">
        <f t="shared" ref="V51" si="36">(V50/U50-1)*100</f>
        <v>2.0904745921060508</v>
      </c>
      <c r="W51" s="171">
        <f t="shared" ref="W51" si="37">(W50/V50-1)*100</f>
        <v>1.9022089976643786</v>
      </c>
      <c r="X51" s="171">
        <f t="shared" ref="X51" si="38">(X50/W50-1)*100</f>
        <v>2.7515244592131838</v>
      </c>
      <c r="Y51" s="171">
        <f t="shared" ref="Y51" si="39">(Y50/X50-1)*100</f>
        <v>1.7655230622180662</v>
      </c>
      <c r="Z51" s="171">
        <f t="shared" ref="Z51" si="40">(Z50/Y50-1)*100</f>
        <v>2.6361157982965455</v>
      </c>
      <c r="AA51" s="171">
        <f t="shared" ref="AA51" si="41">(AA50/Z50-1)*100</f>
        <v>2.5681188429507396</v>
      </c>
      <c r="AB51" s="171">
        <f t="shared" ref="AB51" si="42">(AB50/AA50-1)*100</f>
        <v>2.4966138192719534</v>
      </c>
      <c r="AC51" s="171">
        <f t="shared" ref="AC51" si="43">(AC50/AB50-1)*100</f>
        <v>2.4365442360472001</v>
      </c>
      <c r="AD51" s="171">
        <f t="shared" ref="AD51" si="44">(AD50/AC50-1)*100</f>
        <v>2.3915755037937192</v>
      </c>
      <c r="AE51" s="171">
        <f t="shared" ref="AE51" si="45">(AE50/AD50-1)*100</f>
        <v>2.3483695877215327</v>
      </c>
      <c r="AF51" s="171">
        <f t="shared" ref="AF51" si="46">(AF50/AE50-1)*100</f>
        <v>2.30673370144443</v>
      </c>
      <c r="AG51" s="171">
        <f t="shared" ref="AG51" si="47">(AG50/AF50-1)*100</f>
        <v>2.2351877257051234</v>
      </c>
      <c r="AH51" s="171">
        <f t="shared" ref="AH51" si="48">(AH50/AG50-1)*100</f>
        <v>3.196141247007489</v>
      </c>
      <c r="AI51" s="171">
        <f t="shared" ref="AI51" si="49">(AI50/AH50-1)*100</f>
        <v>2.1293834002746648</v>
      </c>
      <c r="AJ51" s="171">
        <f t="shared" ref="AJ51" si="50">(AJ50/AI50-1)*100</f>
        <v>2.0728713743373595</v>
      </c>
      <c r="AK51" s="171">
        <f t="shared" ref="AK51" si="51">(AK50/AJ50-1)*100</f>
        <v>3.0634682532830304</v>
      </c>
      <c r="AL51" s="171">
        <f t="shared" ref="AL51" si="52">(AL50/AK50-1)*100</f>
        <v>3.0201027098428979</v>
      </c>
      <c r="AM51" s="171">
        <f t="shared" ref="AM51" si="53">(AM50/AL50-1)*100</f>
        <v>1.9447889358277903</v>
      </c>
      <c r="AN51" s="171">
        <f t="shared" ref="AN51" si="54">(AN50/AM50-1)*100</f>
        <v>2.9605136291537271</v>
      </c>
      <c r="AO51" s="171">
        <f t="shared" ref="AO51" si="55">(AO50/AN50-1)*100</f>
        <v>1.8981297735692682</v>
      </c>
      <c r="AP51" s="171">
        <f t="shared" ref="AP51" si="56">(AP50/AO50-1)*100</f>
        <v>2.9371153897542968</v>
      </c>
      <c r="AQ51" s="171">
        <f t="shared" ref="AQ51" si="57">(AQ50/AP50-1)*100</f>
        <v>2.9275163587981989</v>
      </c>
      <c r="AR51" s="171">
        <f t="shared" ref="AR51" si="58">(AR50/AQ50-1)*100</f>
        <v>1.8599312192696615</v>
      </c>
      <c r="AS51" s="171">
        <f t="shared" ref="AS51" si="59">(AS50/AR50-1)*100</f>
        <v>2.9195095079736832</v>
      </c>
      <c r="AT51" s="171">
        <f t="shared" ref="AT51" si="60">(AT50/AS50-1)*100</f>
        <v>2.9318670014812476</v>
      </c>
      <c r="AU51" s="171">
        <f t="shared" ref="AU51" si="61">(AU50/AT50-1)*100</f>
        <v>2.944380703769589</v>
      </c>
      <c r="AV51" s="171">
        <f t="shared" ref="AV51" si="62">(AV50/AU50-1)*100</f>
        <v>2.9592042494833271</v>
      </c>
      <c r="AW51" s="171">
        <f t="shared" ref="AW51" si="63">(AW50/AV50-1)*100</f>
        <v>2.9770936005048654</v>
      </c>
      <c r="AX51" s="171">
        <f t="shared" ref="AX51" si="64">(AX50/AW50-1)*100</f>
        <v>1.9241417591970622</v>
      </c>
      <c r="AY51" s="171">
        <f t="shared" ref="AY51" si="65">(AY50/AX50-1)*100</f>
        <v>3.0123416233334144</v>
      </c>
      <c r="AZ51" s="171">
        <f t="shared" ref="AZ51" si="66">(AZ50/AY50-1)*100</f>
        <v>1.9560746744120339</v>
      </c>
      <c r="BA51" s="171">
        <f t="shared" ref="BA51" si="67">(BA50/AZ50-1)*100</f>
        <v>3.0407137666930373</v>
      </c>
      <c r="BB51" s="171">
        <f t="shared" ref="BB51" si="68">(BB50/BA50-1)*100</f>
        <v>3.0407137666930151</v>
      </c>
      <c r="BC51" s="171">
        <f t="shared" ref="BC51" si="69">(BC50/BB50-1)*100</f>
        <v>3.0407137666930151</v>
      </c>
    </row>
    <row r="52" spans="1:55" s="39" customFormat="1" x14ac:dyDescent="0.25">
      <c r="A52" s="69"/>
      <c r="B52" s="162" t="s">
        <v>1047</v>
      </c>
      <c r="C52" s="156"/>
      <c r="D52" s="157"/>
      <c r="E52" s="157"/>
      <c r="F52" s="157"/>
      <c r="G52" s="157"/>
      <c r="H52" s="157"/>
      <c r="I52" s="157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</row>
    <row r="53" spans="1:55" s="39" customFormat="1" x14ac:dyDescent="0.25">
      <c r="A53" s="69"/>
      <c r="B53" s="69" t="s">
        <v>1048</v>
      </c>
      <c r="C53" s="156" t="s">
        <v>145</v>
      </c>
      <c r="D53" s="157"/>
      <c r="E53" s="157"/>
      <c r="F53" s="110">
        <v>1.1466045439213515</v>
      </c>
      <c r="G53" s="110">
        <v>1.1359001862369049</v>
      </c>
      <c r="H53" s="110">
        <v>1.1452175553563333</v>
      </c>
      <c r="I53" s="110">
        <v>1.1343600696415257</v>
      </c>
      <c r="J53" s="113">
        <v>1.1240646370211167</v>
      </c>
      <c r="K53" s="113">
        <v>1.1144323711807809</v>
      </c>
      <c r="L53" s="113">
        <v>1.1054157222926322</v>
      </c>
      <c r="M53" s="113">
        <v>1.0969708905346141</v>
      </c>
      <c r="N53" s="113">
        <v>1.0890575092391044</v>
      </c>
      <c r="O53" s="113">
        <v>1.0816383564912893</v>
      </c>
      <c r="P53" s="113">
        <v>1.0746592779045581</v>
      </c>
      <c r="Q53" s="113">
        <v>1.0680653682340726</v>
      </c>
      <c r="R53" s="113">
        <v>1.0618313063082883</v>
      </c>
      <c r="S53" s="113">
        <v>1.0559765341058871</v>
      </c>
      <c r="T53" s="113">
        <v>1.0505531613658325</v>
      </c>
      <c r="U53" s="113">
        <v>1.0455573304133146</v>
      </c>
      <c r="V53" s="113">
        <v>1.0409394791996729</v>
      </c>
      <c r="W53" s="113">
        <v>1.0367015665270221</v>
      </c>
      <c r="X53" s="113">
        <v>1.0327837716568085</v>
      </c>
      <c r="Y53" s="113">
        <v>1.0290502938029698</v>
      </c>
      <c r="Z53" s="113">
        <v>1.0254912225573642</v>
      </c>
      <c r="AA53" s="113">
        <v>1.0220991948206324</v>
      </c>
      <c r="AB53" s="113">
        <v>1.0188773051501525</v>
      </c>
      <c r="AC53" s="113">
        <v>1.0158190206509796</v>
      </c>
      <c r="AD53" s="113">
        <v>1.0129055615720035</v>
      </c>
      <c r="AE53" s="113">
        <v>1.0101170034936391</v>
      </c>
      <c r="AF53" s="113">
        <v>1.0074458544510261</v>
      </c>
      <c r="AG53" s="113">
        <v>1.0048852717848851</v>
      </c>
      <c r="AH53" s="113">
        <v>1.0024519266633547</v>
      </c>
      <c r="AI53" s="113">
        <v>1.0001311779735045</v>
      </c>
      <c r="AJ53" s="113">
        <v>0.99791331872404321</v>
      </c>
      <c r="AK53" s="113">
        <v>0.99579415692652229</v>
      </c>
      <c r="AL53" s="113">
        <v>0.99376477606605462</v>
      </c>
      <c r="AM53" s="113">
        <v>0.99182277300325816</v>
      </c>
      <c r="AN53" s="113">
        <v>0.98995895081838614</v>
      </c>
      <c r="AO53" s="113">
        <v>0.98816359550276422</v>
      </c>
      <c r="AP53" s="113">
        <v>0.98642666486037189</v>
      </c>
      <c r="AQ53" s="113">
        <v>0.98474588123793749</v>
      </c>
      <c r="AR53" s="113">
        <v>0.98311824018234151</v>
      </c>
      <c r="AS53" s="113">
        <v>0.98154032794362067</v>
      </c>
      <c r="AT53" s="113">
        <v>0.98000794393306601</v>
      </c>
      <c r="AU53" s="113">
        <v>0.97851290627162868</v>
      </c>
      <c r="AV53" s="113">
        <v>0.97705443061343544</v>
      </c>
      <c r="AW53" s="113">
        <v>0.97563074208085065</v>
      </c>
      <c r="AX53" s="113">
        <v>0.97423985490178222</v>
      </c>
      <c r="AY53" s="113">
        <v>0.97288039799287673</v>
      </c>
      <c r="AZ53" s="113">
        <v>0.97155395164885139</v>
      </c>
      <c r="BA53" s="113"/>
      <c r="BB53" s="113"/>
      <c r="BC53" s="113"/>
    </row>
    <row r="54" spans="1:55" s="39" customFormat="1" x14ac:dyDescent="0.25">
      <c r="A54" s="69"/>
      <c r="B54" s="69" t="s">
        <v>1048</v>
      </c>
      <c r="C54" s="156" t="s">
        <v>139</v>
      </c>
      <c r="D54" s="157"/>
      <c r="E54" s="157"/>
      <c r="F54" s="157">
        <f t="shared" ref="F54:AZ54" si="70">F53*F58*10</f>
        <v>939107.66327463323</v>
      </c>
      <c r="G54" s="157">
        <f t="shared" si="70"/>
        <v>975550.83971204015</v>
      </c>
      <c r="H54" s="157">
        <f t="shared" si="70"/>
        <v>1035132.9240607081</v>
      </c>
      <c r="I54" s="157">
        <f t="shared" si="70"/>
        <v>1078201.34513612</v>
      </c>
      <c r="J54" s="157">
        <f t="shared" si="70"/>
        <v>1123854.6947545102</v>
      </c>
      <c r="K54" s="157">
        <f t="shared" si="70"/>
        <v>1171403.4768541879</v>
      </c>
      <c r="L54" s="157">
        <f t="shared" si="70"/>
        <v>1220738.8189651575</v>
      </c>
      <c r="M54" s="157">
        <f t="shared" si="70"/>
        <v>1270945.875229904</v>
      </c>
      <c r="N54" s="157">
        <f t="shared" si="70"/>
        <v>1322518.6606811255</v>
      </c>
      <c r="O54" s="157">
        <f t="shared" si="70"/>
        <v>1375811.2386933118</v>
      </c>
      <c r="P54" s="157">
        <f t="shared" si="70"/>
        <v>1431066.0510940207</v>
      </c>
      <c r="Q54" s="157">
        <f t="shared" si="70"/>
        <v>1488300.8051538768</v>
      </c>
      <c r="R54" s="157">
        <f t="shared" si="70"/>
        <v>1547051.6549364505</v>
      </c>
      <c r="S54" s="157">
        <f t="shared" si="70"/>
        <v>1606340.4895531242</v>
      </c>
      <c r="T54" s="157">
        <f t="shared" si="70"/>
        <v>1665728.4789249555</v>
      </c>
      <c r="U54" s="157">
        <f t="shared" si="70"/>
        <v>1725304.6447237346</v>
      </c>
      <c r="V54" s="157">
        <f t="shared" si="70"/>
        <v>1784357.1318970462</v>
      </c>
      <c r="W54" s="157">
        <f t="shared" si="70"/>
        <v>1843234.0432829512</v>
      </c>
      <c r="X54" s="157">
        <f t="shared" si="70"/>
        <v>1903791.7966881646</v>
      </c>
      <c r="Y54" s="157">
        <f t="shared" si="70"/>
        <v>1965820.216247349</v>
      </c>
      <c r="Z54" s="157">
        <f t="shared" si="70"/>
        <v>2029280.5555166453</v>
      </c>
      <c r="AA54" s="157">
        <f t="shared" si="70"/>
        <v>2093898.1869824559</v>
      </c>
      <c r="AB54" s="157">
        <f t="shared" si="70"/>
        <v>2159592.6149913734</v>
      </c>
      <c r="AC54" s="157">
        <f t="shared" si="70"/>
        <v>2226577.2660153657</v>
      </c>
      <c r="AD54" s="157">
        <f t="shared" si="70"/>
        <v>2295147.3409186588</v>
      </c>
      <c r="AE54" s="157">
        <f t="shared" si="70"/>
        <v>2365322.3767311736</v>
      </c>
      <c r="AF54" s="157">
        <f t="shared" si="70"/>
        <v>2437146.5511712739</v>
      </c>
      <c r="AG54" s="157">
        <f t="shared" si="70"/>
        <v>2509895.3196274452</v>
      </c>
      <c r="AH54" s="157">
        <f t="shared" si="70"/>
        <v>2583843.1156472387</v>
      </c>
      <c r="AI54" s="157">
        <f t="shared" si="70"/>
        <v>2659081.4221356884</v>
      </c>
      <c r="AJ54" s="157">
        <f t="shared" si="70"/>
        <v>2735537.2061070912</v>
      </c>
      <c r="AK54" s="157">
        <f t="shared" si="70"/>
        <v>2813352.3901362335</v>
      </c>
      <c r="AL54" s="157">
        <f t="shared" si="70"/>
        <v>2892411.8873944115</v>
      </c>
      <c r="AM54" s="157">
        <f t="shared" si="70"/>
        <v>2972930.5534878541</v>
      </c>
      <c r="AN54" s="157">
        <f t="shared" si="70"/>
        <v>3055192.475150621</v>
      </c>
      <c r="AO54" s="157">
        <f t="shared" si="70"/>
        <v>3139574.5048798998</v>
      </c>
      <c r="AP54" s="157">
        <f t="shared" si="70"/>
        <v>3226106.8019964751</v>
      </c>
      <c r="AQ54" s="157">
        <f t="shared" si="70"/>
        <v>3314893.6806983412</v>
      </c>
      <c r="AR54" s="157">
        <f t="shared" si="70"/>
        <v>3406081.7265758393</v>
      </c>
      <c r="AS54" s="157">
        <f t="shared" si="70"/>
        <v>3499896.216037483</v>
      </c>
      <c r="AT54" s="157">
        <f t="shared" si="70"/>
        <v>3596884.2700524004</v>
      </c>
      <c r="AU54" s="157">
        <f t="shared" si="70"/>
        <v>3697141.4956381172</v>
      </c>
      <c r="AV54" s="157">
        <f t="shared" si="70"/>
        <v>3800873.7964445078</v>
      </c>
      <c r="AW54" s="157">
        <f t="shared" si="70"/>
        <v>3908326.1445901506</v>
      </c>
      <c r="AX54" s="157">
        <f t="shared" si="70"/>
        <v>4019720.9415220656</v>
      </c>
      <c r="AY54" s="157">
        <f t="shared" si="70"/>
        <v>4135030.5730531174</v>
      </c>
      <c r="AZ54" s="157">
        <f t="shared" si="70"/>
        <v>4254955.7970334608</v>
      </c>
      <c r="BA54" s="113"/>
      <c r="BB54" s="113"/>
      <c r="BC54" s="113"/>
    </row>
    <row r="55" spans="1:55" s="30" customFormat="1" x14ac:dyDescent="0.25">
      <c r="A55" s="135"/>
      <c r="B55" s="135" t="s">
        <v>1049</v>
      </c>
      <c r="C55" s="158" t="s">
        <v>139</v>
      </c>
      <c r="D55" s="159"/>
      <c r="E55" s="159">
        <f>vystup_ESA95_SDcast!D10</f>
        <v>650020.0011799999</v>
      </c>
      <c r="F55" s="159">
        <f>vystup_ESA95_SDcast!E10</f>
        <v>654803.99162370828</v>
      </c>
      <c r="G55" s="159">
        <f>vystup_ESA95_SDcast!F10</f>
        <v>675702.06364379846</v>
      </c>
      <c r="H55" s="159">
        <f>vystup_ESA95_SDcast!G10</f>
        <v>714817.35575009056</v>
      </c>
      <c r="I55" s="159">
        <f>vystup_ESA95_SDcast!H10</f>
        <v>768946.32364956732</v>
      </c>
      <c r="J55" s="161">
        <f>I55*J54/I54</f>
        <v>801505.15462275408</v>
      </c>
      <c r="K55" s="161">
        <f t="shared" ref="K55:AZ55" si="71">J55*K54/J54</f>
        <v>835415.76079524553</v>
      </c>
      <c r="L55" s="161">
        <f t="shared" si="71"/>
        <v>870600.49703524192</v>
      </c>
      <c r="M55" s="161">
        <f t="shared" si="71"/>
        <v>906406.9180809973</v>
      </c>
      <c r="N55" s="161">
        <f t="shared" si="71"/>
        <v>943187.3431398049</v>
      </c>
      <c r="O55" s="161">
        <f t="shared" si="71"/>
        <v>981194.28138481791</v>
      </c>
      <c r="P55" s="161">
        <f t="shared" si="71"/>
        <v>1020600.6362842431</v>
      </c>
      <c r="Q55" s="161">
        <f t="shared" si="71"/>
        <v>1061419.0362221112</v>
      </c>
      <c r="R55" s="161">
        <f t="shared" si="71"/>
        <v>1103318.67783858</v>
      </c>
      <c r="S55" s="161">
        <f t="shared" si="71"/>
        <v>1145601.996828692</v>
      </c>
      <c r="T55" s="161">
        <f t="shared" si="71"/>
        <v>1187956.0305186093</v>
      </c>
      <c r="U55" s="161">
        <f t="shared" si="71"/>
        <v>1230444.2669456608</v>
      </c>
      <c r="V55" s="161">
        <f t="shared" si="71"/>
        <v>1272559.0288304631</v>
      </c>
      <c r="W55" s="161">
        <f t="shared" si="71"/>
        <v>1314548.5744401629</v>
      </c>
      <c r="X55" s="161">
        <f t="shared" si="71"/>
        <v>1357736.8546806565</v>
      </c>
      <c r="Y55" s="161">
        <f t="shared" si="71"/>
        <v>1401973.9773637175</v>
      </c>
      <c r="Z55" s="161">
        <f t="shared" si="71"/>
        <v>1447232.3094913955</v>
      </c>
      <c r="AA55" s="161">
        <f t="shared" si="71"/>
        <v>1493315.9935664739</v>
      </c>
      <c r="AB55" s="161">
        <f t="shared" si="71"/>
        <v>1540167.6220954116</v>
      </c>
      <c r="AC55" s="161">
        <f t="shared" si="71"/>
        <v>1587939.4055180575</v>
      </c>
      <c r="AD55" s="161">
        <f t="shared" si="71"/>
        <v>1636841.8737324763</v>
      </c>
      <c r="AE55" s="161">
        <f t="shared" si="71"/>
        <v>1686888.9600614193</v>
      </c>
      <c r="AF55" s="161">
        <f t="shared" si="71"/>
        <v>1738112.1709524314</v>
      </c>
      <c r="AG55" s="161">
        <f t="shared" si="71"/>
        <v>1789994.7792488849</v>
      </c>
      <c r="AH55" s="161">
        <f t="shared" si="71"/>
        <v>1842732.5041162467</v>
      </c>
      <c r="AI55" s="161">
        <f t="shared" si="71"/>
        <v>1896390.5888820463</v>
      </c>
      <c r="AJ55" s="161">
        <f t="shared" si="71"/>
        <v>1950916.9482413305</v>
      </c>
      <c r="AK55" s="161">
        <f t="shared" si="71"/>
        <v>2006412.7978368152</v>
      </c>
      <c r="AL55" s="161">
        <f t="shared" si="71"/>
        <v>2062796.0606109719</v>
      </c>
      <c r="AM55" s="161">
        <f t="shared" si="71"/>
        <v>2120219.966226581</v>
      </c>
      <c r="AN55" s="161">
        <f t="shared" si="71"/>
        <v>2178887.1182611086</v>
      </c>
      <c r="AO55" s="161">
        <f t="shared" si="71"/>
        <v>2239066.2785219648</v>
      </c>
      <c r="AP55" s="161">
        <f t="shared" si="71"/>
        <v>2300778.9558849689</v>
      </c>
      <c r="AQ55" s="161">
        <f t="shared" si="71"/>
        <v>2364099.5446359511</v>
      </c>
      <c r="AR55" s="161">
        <f t="shared" si="71"/>
        <v>2429132.5859640879</v>
      </c>
      <c r="AS55" s="161">
        <f t="shared" si="71"/>
        <v>2496038.7413885966</v>
      </c>
      <c r="AT55" s="161">
        <f t="shared" si="71"/>
        <v>2565208.2039468922</v>
      </c>
      <c r="AU55" s="161">
        <f t="shared" si="71"/>
        <v>2636709.1581807318</v>
      </c>
      <c r="AV55" s="161">
        <f t="shared" si="71"/>
        <v>2710688.4494407657</v>
      </c>
      <c r="AW55" s="161">
        <f t="shared" si="71"/>
        <v>2787320.7857356849</v>
      </c>
      <c r="AX55" s="161">
        <f t="shared" si="71"/>
        <v>2866764.7782338322</v>
      </c>
      <c r="AY55" s="161">
        <f t="shared" si="71"/>
        <v>2949000.7331852652</v>
      </c>
      <c r="AZ55" s="161">
        <f t="shared" si="71"/>
        <v>3034528.4136213288</v>
      </c>
      <c r="BA55" s="161">
        <f>AZ55*AZ54/AY54</f>
        <v>3122536.5899211122</v>
      </c>
      <c r="BB55" s="161">
        <f>BA55*AZ54/AY54</f>
        <v>3213097.2020659009</v>
      </c>
      <c r="BC55" s="161">
        <f>BB55*AZ54/AY54</f>
        <v>3306284.276458886</v>
      </c>
    </row>
    <row r="56" spans="1:55" x14ac:dyDescent="0.25">
      <c r="A56" s="69"/>
      <c r="B56" s="162" t="s">
        <v>146</v>
      </c>
      <c r="C56" s="156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</row>
    <row r="57" spans="1:55" x14ac:dyDescent="0.25">
      <c r="A57" s="69"/>
      <c r="B57" s="69" t="s">
        <v>147</v>
      </c>
      <c r="C57" s="156" t="s">
        <v>17</v>
      </c>
      <c r="D57" s="157"/>
      <c r="E57" s="110">
        <v>5.3129736592776755</v>
      </c>
      <c r="F57" s="110">
        <v>5.1444733286975186</v>
      </c>
      <c r="G57" s="110">
        <v>4.8595550100152263</v>
      </c>
      <c r="H57" s="110">
        <v>5.2442527938302286</v>
      </c>
      <c r="I57" s="110">
        <v>5.1576357375642479</v>
      </c>
      <c r="J57" s="110">
        <v>5.1889064697134613</v>
      </c>
      <c r="K57" s="110">
        <v>5.1317542270093996</v>
      </c>
      <c r="L57" s="110">
        <v>5.0616767810407248</v>
      </c>
      <c r="M57" s="110">
        <v>4.9143356471114341</v>
      </c>
      <c r="N57" s="110">
        <v>4.8139388711455844</v>
      </c>
      <c r="O57" s="110">
        <v>4.7431856751042112</v>
      </c>
      <c r="P57" s="110">
        <v>4.6916666154632525</v>
      </c>
      <c r="Q57" s="110">
        <v>4.6415096658241062</v>
      </c>
      <c r="R57" s="110">
        <v>4.5577925603282221</v>
      </c>
      <c r="S57" s="110">
        <v>4.4080656781215088</v>
      </c>
      <c r="T57" s="110">
        <v>4.2324240666995916</v>
      </c>
      <c r="U57" s="110">
        <v>4.0714878214321182</v>
      </c>
      <c r="V57" s="110">
        <v>3.8815355498623028</v>
      </c>
      <c r="W57" s="110">
        <v>3.7218913011940913</v>
      </c>
      <c r="X57" s="110">
        <v>3.6772138687556577</v>
      </c>
      <c r="Y57" s="110">
        <v>3.6327803661119651</v>
      </c>
      <c r="Z57" s="110">
        <v>3.5864502038363444</v>
      </c>
      <c r="AA57" s="110">
        <v>3.5266993928848356</v>
      </c>
      <c r="AB57" s="110">
        <v>3.4635630062462397</v>
      </c>
      <c r="AC57" s="110">
        <v>3.4121303716286189</v>
      </c>
      <c r="AD57" s="110">
        <v>3.3761098836378789</v>
      </c>
      <c r="AE57" s="110">
        <v>3.3420430788644762</v>
      </c>
      <c r="AF57" s="110">
        <v>3.3097408945958362</v>
      </c>
      <c r="AG57" s="110">
        <v>3.2474173071477264</v>
      </c>
      <c r="AH57" s="110">
        <v>3.1961412470074668</v>
      </c>
      <c r="AI57" s="110">
        <v>3.1506772342774214</v>
      </c>
      <c r="AJ57" s="110">
        <v>3.1039104791286576</v>
      </c>
      <c r="AK57" s="110">
        <v>3.0634682532830304</v>
      </c>
      <c r="AL57" s="110">
        <v>3.0201027098429201</v>
      </c>
      <c r="AM57" s="110">
        <v>2.9850418841525617</v>
      </c>
      <c r="AN57" s="110">
        <v>2.9605136291537271</v>
      </c>
      <c r="AO57" s="110">
        <v>2.9486259568019646</v>
      </c>
      <c r="AP57" s="110">
        <v>2.9371153897542968</v>
      </c>
      <c r="AQ57" s="110">
        <v>2.9275163587981767</v>
      </c>
      <c r="AR57" s="110">
        <v>2.9209721694703816</v>
      </c>
      <c r="AS57" s="110">
        <v>2.9195095079736832</v>
      </c>
      <c r="AT57" s="110">
        <v>2.9318670014812476</v>
      </c>
      <c r="AU57" s="110">
        <v>2.9443807037695668</v>
      </c>
      <c r="AV57" s="110">
        <v>2.9592042494833493</v>
      </c>
      <c r="AW57" s="110">
        <v>2.9770936005048432</v>
      </c>
      <c r="AX57" s="110">
        <v>2.9970274619254722</v>
      </c>
      <c r="AY57" s="110">
        <v>3.0123416233334144</v>
      </c>
      <c r="AZ57" s="110">
        <v>3.0407137666930151</v>
      </c>
      <c r="BA57" s="110">
        <v>3.0407137666930151</v>
      </c>
      <c r="BB57" s="110">
        <v>3.0407137666930151</v>
      </c>
      <c r="BC57" s="110">
        <v>3.0407137666930151</v>
      </c>
    </row>
    <row r="58" spans="1:55" x14ac:dyDescent="0.25">
      <c r="A58" s="69"/>
      <c r="B58" s="69" t="s">
        <v>970</v>
      </c>
      <c r="C58" s="156" t="s">
        <v>123</v>
      </c>
      <c r="D58" s="157">
        <v>73966.215782433879</v>
      </c>
      <c r="E58" s="157">
        <v>77896.021343719069</v>
      </c>
      <c r="F58" s="157">
        <v>81903.361385863216</v>
      </c>
      <c r="G58" s="157">
        <v>85883.500287460818</v>
      </c>
      <c r="H58" s="157">
        <v>90387.448150725177</v>
      </c>
      <c r="I58" s="157">
        <v>95049.303478819333</v>
      </c>
      <c r="J58" s="157">
        <v>99981.322936449375</v>
      </c>
      <c r="K58" s="157">
        <v>105112.11870246053</v>
      </c>
      <c r="L58" s="157">
        <v>110432.55440888295</v>
      </c>
      <c r="M58" s="157">
        <v>115859.58079621442</v>
      </c>
      <c r="N58" s="157">
        <v>121436.9901921097</v>
      </c>
      <c r="O58" s="157">
        <v>127196.97211517957</v>
      </c>
      <c r="P58" s="157">
        <v>133164.62999178754</v>
      </c>
      <c r="Q58" s="157">
        <v>139345.47916431527</v>
      </c>
      <c r="R58" s="157">
        <v>145696.55704682015</v>
      </c>
      <c r="S58" s="157">
        <v>152118.95697220575</v>
      </c>
      <c r="T58" s="157">
        <v>158557.27631710979</v>
      </c>
      <c r="U58" s="157">
        <v>165012.91651235538</v>
      </c>
      <c r="V58" s="157">
        <v>171417.95152864704</v>
      </c>
      <c r="W58" s="157">
        <v>177797.94135527685</v>
      </c>
      <c r="X58" s="157">
        <v>184335.95191315515</v>
      </c>
      <c r="Y58" s="157">
        <v>191032.47218194185</v>
      </c>
      <c r="Z58" s="157">
        <v>197883.75666990469</v>
      </c>
      <c r="AA58" s="157">
        <v>204862.52191499993</v>
      </c>
      <c r="AB58" s="157">
        <v>211958.064437711</v>
      </c>
      <c r="AC58" s="157">
        <v>219190.34992950628</v>
      </c>
      <c r="AD58" s="157">
        <v>226590.45699745679</v>
      </c>
      <c r="AE58" s="157">
        <v>234163.20768290767</v>
      </c>
      <c r="AF58" s="157">
        <v>241913.40312768624</v>
      </c>
      <c r="AG58" s="157">
        <v>249769.34084916479</v>
      </c>
      <c r="AH58" s="157">
        <v>257752.32177442359</v>
      </c>
      <c r="AI58" s="157">
        <v>265873.26549739187</v>
      </c>
      <c r="AJ58" s="157">
        <v>274125.73364636692</v>
      </c>
      <c r="AK58" s="157">
        <v>282523.48847070261</v>
      </c>
      <c r="AL58" s="157">
        <v>291055.98800194904</v>
      </c>
      <c r="AM58" s="157">
        <v>299744.1311501413</v>
      </c>
      <c r="AN58" s="157">
        <v>308618.09700542968</v>
      </c>
      <c r="AO58" s="157">
        <v>317718.09032112005</v>
      </c>
      <c r="AP58" s="157">
        <v>327049.83724797511</v>
      </c>
      <c r="AQ58" s="157">
        <v>336624.2747348324</v>
      </c>
      <c r="AR58" s="157">
        <v>346456.97611551837</v>
      </c>
      <c r="AS58" s="157">
        <v>356571.82047424908</v>
      </c>
      <c r="AT58" s="157">
        <v>367026.03201531456</v>
      </c>
      <c r="AU58" s="157">
        <v>377832.67567978456</v>
      </c>
      <c r="AV58" s="157">
        <v>389013.51627443737</v>
      </c>
      <c r="AW58" s="157">
        <v>400594.81277254253</v>
      </c>
      <c r="AX58" s="157">
        <v>412600.74932238454</v>
      </c>
      <c r="AY58" s="157">
        <v>425029.69343240827</v>
      </c>
      <c r="AZ58" s="157">
        <v>437953.62983314064</v>
      </c>
      <c r="BA58" s="157">
        <f>AZ58*(1+BA57/100)</f>
        <v>451270.54614720872</v>
      </c>
      <c r="BB58" s="157">
        <f t="shared" ref="BB58:BC58" si="72">BA58*(1+BB57/100)</f>
        <v>464992.39176893764</v>
      </c>
      <c r="BC58" s="157">
        <f t="shared" si="72"/>
        <v>479131.47943953087</v>
      </c>
    </row>
    <row r="59" spans="1:55" x14ac:dyDescent="0.25">
      <c r="A59" s="69"/>
      <c r="B59" s="69" t="s">
        <v>962</v>
      </c>
      <c r="C59" s="156" t="s">
        <v>123</v>
      </c>
      <c r="D59" s="157">
        <f>SD_prognozy!E4</f>
        <v>71096.017000000051</v>
      </c>
      <c r="E59" s="157">
        <f>SD_prognozy!F4</f>
        <v>72149.62865600003</v>
      </c>
      <c r="F59" s="157">
        <f>SD_prognozy!G4</f>
        <v>74492.060540049555</v>
      </c>
      <c r="G59" s="157">
        <f>SD_prognozy!H4</f>
        <v>77786.675519651326</v>
      </c>
      <c r="H59" s="157">
        <f>SD_prognozy!I4</f>
        <v>81709.728415493955</v>
      </c>
      <c r="I59" s="157">
        <f>SD_prognozy!J4</f>
        <v>86210.269198135153</v>
      </c>
      <c r="J59" s="157">
        <f>I59*(1+J57/100)</f>
        <v>90683.639434114579</v>
      </c>
      <c r="K59" s="157">
        <f t="shared" ref="K59:BC59" si="73">J59*(1+K57/100)</f>
        <v>95337.300933980718</v>
      </c>
      <c r="L59" s="157">
        <f t="shared" si="73"/>
        <v>100162.96695902695</v>
      </c>
      <c r="M59" s="157">
        <f t="shared" si="73"/>
        <v>105085.31134949885</v>
      </c>
      <c r="N59" s="157">
        <f t="shared" si="73"/>
        <v>110144.05400041674</v>
      </c>
      <c r="O59" s="157">
        <f t="shared" si="73"/>
        <v>115368.39099174355</v>
      </c>
      <c r="P59" s="157">
        <f t="shared" si="73"/>
        <v>120781.0912767003</v>
      </c>
      <c r="Q59" s="157">
        <f t="shared" si="73"/>
        <v>126387.15730279619</v>
      </c>
      <c r="R59" s="157">
        <f t="shared" si="73"/>
        <v>132147.62175555335</v>
      </c>
      <c r="S59" s="157">
        <f t="shared" si="73"/>
        <v>137972.77571461373</v>
      </c>
      <c r="T59" s="157">
        <f t="shared" si="73"/>
        <v>143812.36867945248</v>
      </c>
      <c r="U59" s="157">
        <f t="shared" si="73"/>
        <v>149667.67175594944</v>
      </c>
      <c r="V59" s="157">
        <f t="shared" si="73"/>
        <v>155477.07564180784</v>
      </c>
      <c r="W59" s="157">
        <f t="shared" si="73"/>
        <v>161263.76339547124</v>
      </c>
      <c r="X59" s="157">
        <f t="shared" si="73"/>
        <v>167193.77686832682</v>
      </c>
      <c r="Y59" s="157">
        <f t="shared" si="73"/>
        <v>173267.55956776044</v>
      </c>
      <c r="Z59" s="157">
        <f t="shared" si="73"/>
        <v>179481.71431106064</v>
      </c>
      <c r="AA59" s="157">
        <f t="shared" si="73"/>
        <v>185811.49484000812</v>
      </c>
      <c r="AB59" s="157">
        <f t="shared" si="73"/>
        <v>192247.19303663977</v>
      </c>
      <c r="AC59" s="157">
        <f t="shared" si="73"/>
        <v>198806.91789884647</v>
      </c>
      <c r="AD59" s="157">
        <f t="shared" si="73"/>
        <v>205518.85790338527</v>
      </c>
      <c r="AE59" s="157">
        <f t="shared" si="73"/>
        <v>212387.38666970667</v>
      </c>
      <c r="AF59" s="157">
        <f t="shared" si="73"/>
        <v>219416.85886127735</v>
      </c>
      <c r="AG59" s="157">
        <f t="shared" si="73"/>
        <v>226542.23991073837</v>
      </c>
      <c r="AH59" s="157">
        <f t="shared" si="73"/>
        <v>233782.84988242009</v>
      </c>
      <c r="AI59" s="157">
        <f t="shared" si="73"/>
        <v>241148.59291131046</v>
      </c>
      <c r="AJ59" s="157">
        <f t="shared" si="73"/>
        <v>248633.62935695593</v>
      </c>
      <c r="AK59" s="157">
        <f t="shared" si="73"/>
        <v>256250.44165929168</v>
      </c>
      <c r="AL59" s="157">
        <f t="shared" si="73"/>
        <v>263989.4681918284</v>
      </c>
      <c r="AM59" s="157">
        <f t="shared" si="73"/>
        <v>271869.66438710608</v>
      </c>
      <c r="AN59" s="157">
        <f t="shared" si="73"/>
        <v>279918.40285482083</v>
      </c>
      <c r="AO59" s="157">
        <f t="shared" si="73"/>
        <v>288172.14953926357</v>
      </c>
      <c r="AP59" s="157">
        <f t="shared" si="73"/>
        <v>296636.09809236706</v>
      </c>
      <c r="AQ59" s="157">
        <f t="shared" si="73"/>
        <v>305320.16839012172</v>
      </c>
      <c r="AR59" s="157">
        <f t="shared" si="73"/>
        <v>314238.4855365773</v>
      </c>
      <c r="AS59" s="157">
        <f t="shared" si="73"/>
        <v>323412.70799953019</v>
      </c>
      <c r="AT59" s="157">
        <f t="shared" si="73"/>
        <v>332894.7384639653</v>
      </c>
      <c r="AU59" s="157">
        <f t="shared" si="73"/>
        <v>342696.42690716247</v>
      </c>
      <c r="AV59" s="157">
        <f t="shared" si="73"/>
        <v>352837.51413502684</v>
      </c>
      <c r="AW59" s="157">
        <f t="shared" si="73"/>
        <v>363341.81718852109</v>
      </c>
      <c r="AX59" s="157">
        <f t="shared" si="73"/>
        <v>374231.2712303201</v>
      </c>
      <c r="AY59" s="157">
        <f t="shared" si="73"/>
        <v>385504.3955811208</v>
      </c>
      <c r="AZ59" s="157">
        <f t="shared" si="73"/>
        <v>397226.48080876266</v>
      </c>
      <c r="BA59" s="157">
        <f t="shared" si="73"/>
        <v>409305.00109566492</v>
      </c>
      <c r="BB59" s="157">
        <f t="shared" si="73"/>
        <v>421750.79461174383</v>
      </c>
      <c r="BC59" s="157">
        <f t="shared" si="73"/>
        <v>434575.02908464032</v>
      </c>
    </row>
    <row r="60" spans="1:55" s="30" customFormat="1" x14ac:dyDescent="0.25">
      <c r="A60" s="135"/>
      <c r="B60" s="135" t="s">
        <v>1059</v>
      </c>
      <c r="C60" s="158" t="s">
        <v>17</v>
      </c>
      <c r="D60" s="119">
        <f>SD_prognozy!E22</f>
        <v>3.4448477045297694</v>
      </c>
      <c r="E60" s="119">
        <f>SD_prognozy!F22</f>
        <v>2.5784231366459625</v>
      </c>
      <c r="F60" s="119">
        <f>SD_prognozy!G22</f>
        <v>2.8317936507936508</v>
      </c>
      <c r="G60" s="119">
        <f>SD_prognozy!H22</f>
        <v>3.4642480158730149</v>
      </c>
      <c r="H60" s="119">
        <f>SD_prognozy!I22</f>
        <v>4.02403968253968</v>
      </c>
      <c r="I60" s="119">
        <f>SD_prognozy!J22</f>
        <v>4.3982063492063501</v>
      </c>
      <c r="J60" s="119">
        <v>5.0599999999999996</v>
      </c>
      <c r="K60" s="119">
        <v>5.0599999999999996</v>
      </c>
      <c r="L60" s="119">
        <v>5.0599999999999996</v>
      </c>
      <c r="M60" s="119">
        <v>5.0599999999999996</v>
      </c>
      <c r="N60" s="119">
        <v>5.0599999999999996</v>
      </c>
      <c r="O60" s="119">
        <v>5.0599999999999996</v>
      </c>
      <c r="P60" s="119">
        <v>5.0599999999999996</v>
      </c>
      <c r="Q60" s="119">
        <v>5.0599999999999996</v>
      </c>
      <c r="R60" s="119">
        <v>5.0599999999999996</v>
      </c>
      <c r="S60" s="119">
        <v>5.0599999999999996</v>
      </c>
      <c r="T60" s="119">
        <v>5.0599999999999996</v>
      </c>
      <c r="U60" s="119">
        <v>5.0599999999999996</v>
      </c>
      <c r="V60" s="119">
        <v>5.0599999999999996</v>
      </c>
      <c r="W60" s="119">
        <v>5.0599999999999996</v>
      </c>
      <c r="X60" s="119">
        <v>5.0599999999999996</v>
      </c>
      <c r="Y60" s="119">
        <v>5.0599999999999996</v>
      </c>
      <c r="Z60" s="119">
        <v>5.0599999999999996</v>
      </c>
      <c r="AA60" s="119">
        <v>5.0599999999999996</v>
      </c>
      <c r="AB60" s="119">
        <v>5.0599999999999996</v>
      </c>
      <c r="AC60" s="119">
        <v>5.0599999999999996</v>
      </c>
      <c r="AD60" s="119">
        <v>5.0599999999999996</v>
      </c>
      <c r="AE60" s="119">
        <v>5.0599999999999996</v>
      </c>
      <c r="AF60" s="119">
        <v>5.0599999999999996</v>
      </c>
      <c r="AG60" s="119">
        <v>5.0599999999999996</v>
      </c>
      <c r="AH60" s="119">
        <v>5.0599999999999996</v>
      </c>
      <c r="AI60" s="119">
        <v>5.0599999999999996</v>
      </c>
      <c r="AJ60" s="119">
        <v>5.0599999999999996</v>
      </c>
      <c r="AK60" s="119">
        <v>5.0599999999999996</v>
      </c>
      <c r="AL60" s="119">
        <v>5.0599999999999996</v>
      </c>
      <c r="AM60" s="119">
        <v>5.0599999999999996</v>
      </c>
      <c r="AN60" s="119">
        <v>5.0599999999999996</v>
      </c>
      <c r="AO60" s="119">
        <v>5.0599999999999996</v>
      </c>
      <c r="AP60" s="119">
        <v>5.0599999999999996</v>
      </c>
      <c r="AQ60" s="119">
        <v>5.0599999999999996</v>
      </c>
      <c r="AR60" s="119">
        <v>5.0599999999999996</v>
      </c>
      <c r="AS60" s="119">
        <v>5.0599999999999996</v>
      </c>
      <c r="AT60" s="119">
        <v>5.0599999999999996</v>
      </c>
      <c r="AU60" s="119">
        <v>5.0599999999999996</v>
      </c>
      <c r="AV60" s="119">
        <v>5.0599999999999996</v>
      </c>
      <c r="AW60" s="119">
        <v>5.0599999999999996</v>
      </c>
      <c r="AX60" s="119">
        <v>5.0599999999999996</v>
      </c>
      <c r="AY60" s="119">
        <v>5.0599999999999996</v>
      </c>
      <c r="AZ60" s="119">
        <v>5.0599999999999996</v>
      </c>
      <c r="BA60" s="119">
        <v>5.0599999999999996</v>
      </c>
      <c r="BB60" s="119">
        <v>5.0599999999999996</v>
      </c>
      <c r="BC60" s="119">
        <v>5.0599999999999996</v>
      </c>
    </row>
    <row r="61" spans="1:55" x14ac:dyDescent="0.25"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</row>
    <row r="62" spans="1:55" x14ac:dyDescent="0.25"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</row>
    <row r="63" spans="1:55" x14ac:dyDescent="0.25"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</row>
    <row r="64" spans="1:55" x14ac:dyDescent="0.25"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</row>
    <row r="65" spans="3:42" x14ac:dyDescent="0.25"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</row>
    <row r="66" spans="3:42" x14ac:dyDescent="0.25"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</row>
    <row r="67" spans="3:42" x14ac:dyDescent="0.25"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</row>
    <row r="68" spans="3:42" x14ac:dyDescent="0.25"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</row>
    <row r="69" spans="3:42" x14ac:dyDescent="0.25"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</row>
    <row r="70" spans="3:42" x14ac:dyDescent="0.25"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</row>
    <row r="71" spans="3:42" x14ac:dyDescent="0.25"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</row>
    <row r="72" spans="3:42" x14ac:dyDescent="0.25"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</row>
    <row r="73" spans="3:42" x14ac:dyDescent="0.25"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</row>
    <row r="74" spans="3:42" x14ac:dyDescent="0.25"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</row>
    <row r="75" spans="3:42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</row>
    <row r="76" spans="3:42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</row>
    <row r="77" spans="3:42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</row>
    <row r="78" spans="3:42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</row>
    <row r="79" spans="3:42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</row>
    <row r="80" spans="3:42" x14ac:dyDescent="0.25"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</row>
    <row r="81" spans="3:42" x14ac:dyDescent="0.25"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</row>
    <row r="82" spans="3:42" x14ac:dyDescent="0.25"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</row>
    <row r="83" spans="3:42" x14ac:dyDescent="0.25"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</row>
    <row r="84" spans="3:42" x14ac:dyDescent="0.25"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</row>
    <row r="85" spans="3:42" x14ac:dyDescent="0.25"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</row>
    <row r="86" spans="3:42" x14ac:dyDescent="0.25"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</row>
    <row r="87" spans="3:42" x14ac:dyDescent="0.25"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</row>
    <row r="88" spans="3:42" x14ac:dyDescent="0.25"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</row>
    <row r="89" spans="3:42" x14ac:dyDescent="0.25"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</row>
    <row r="90" spans="3:42" x14ac:dyDescent="0.25"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</row>
    <row r="91" spans="3:42" x14ac:dyDescent="0.25"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</row>
    <row r="92" spans="3:42" x14ac:dyDescent="0.25"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</row>
    <row r="93" spans="3:42" x14ac:dyDescent="0.25"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</row>
    <row r="94" spans="3:42" x14ac:dyDescent="0.25"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</row>
    <row r="95" spans="3:42" x14ac:dyDescent="0.25"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</row>
    <row r="96" spans="3:42" x14ac:dyDescent="0.25"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</row>
    <row r="97" spans="3:42" x14ac:dyDescent="0.25"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</row>
    <row r="98" spans="3:42" x14ac:dyDescent="0.25"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</row>
    <row r="99" spans="3:42" x14ac:dyDescent="0.25"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</row>
    <row r="100" spans="3:42" x14ac:dyDescent="0.25"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</row>
    <row r="101" spans="3:42" x14ac:dyDescent="0.25"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</row>
    <row r="102" spans="3:42" x14ac:dyDescent="0.25"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</row>
    <row r="103" spans="3:42" x14ac:dyDescent="0.25"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</row>
    <row r="104" spans="3:42" x14ac:dyDescent="0.25"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</row>
    <row r="105" spans="3:42" x14ac:dyDescent="0.25"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</row>
    <row r="106" spans="3:42" x14ac:dyDescent="0.25"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</row>
    <row r="107" spans="3:42" x14ac:dyDescent="0.25"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</row>
    <row r="108" spans="3:42" x14ac:dyDescent="0.25"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</row>
    <row r="109" spans="3:42" x14ac:dyDescent="0.25"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</row>
    <row r="110" spans="3:42" x14ac:dyDescent="0.25"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</row>
    <row r="111" spans="3:42" x14ac:dyDescent="0.25"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</row>
    <row r="112" spans="3:42" x14ac:dyDescent="0.25"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</row>
    <row r="113" spans="3:42" x14ac:dyDescent="0.25"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</row>
    <row r="114" spans="3:42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</row>
    <row r="115" spans="3:42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</row>
    <row r="116" spans="3:42" x14ac:dyDescent="0.25"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</row>
    <row r="117" spans="3:42" x14ac:dyDescent="0.25"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</row>
    <row r="118" spans="3:42" x14ac:dyDescent="0.25"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</row>
    <row r="119" spans="3:42" x14ac:dyDescent="0.25"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</row>
    <row r="120" spans="3:42" x14ac:dyDescent="0.25"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</row>
    <row r="121" spans="3:42" x14ac:dyDescent="0.25"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</row>
    <row r="122" spans="3:42" x14ac:dyDescent="0.25"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</row>
    <row r="123" spans="3:42" x14ac:dyDescent="0.25"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</row>
    <row r="124" spans="3:42" x14ac:dyDescent="0.25"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</row>
    <row r="125" spans="3:42" x14ac:dyDescent="0.25"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</row>
    <row r="126" spans="3:42" x14ac:dyDescent="0.25"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</row>
    <row r="127" spans="3:42" x14ac:dyDescent="0.25"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</row>
    <row r="128" spans="3:42" x14ac:dyDescent="0.25"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</row>
    <row r="129" spans="3:42" x14ac:dyDescent="0.25"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</row>
    <row r="130" spans="3:42" x14ac:dyDescent="0.25"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</row>
    <row r="131" spans="3:42" x14ac:dyDescent="0.25"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</row>
    <row r="132" spans="3:42" x14ac:dyDescent="0.25"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</row>
    <row r="133" spans="3:42" x14ac:dyDescent="0.25"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</row>
    <row r="134" spans="3:42" x14ac:dyDescent="0.25"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</row>
    <row r="135" spans="3:42" x14ac:dyDescent="0.25"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</row>
    <row r="136" spans="3:42" x14ac:dyDescent="0.25"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</row>
    <row r="137" spans="3:42" x14ac:dyDescent="0.25"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</row>
    <row r="138" spans="3:42" x14ac:dyDescent="0.25"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</row>
    <row r="139" spans="3:42" x14ac:dyDescent="0.25"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</row>
    <row r="140" spans="3:42" x14ac:dyDescent="0.25"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</row>
    <row r="141" spans="3:42" x14ac:dyDescent="0.25"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</row>
    <row r="142" spans="3:42" x14ac:dyDescent="0.25"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</row>
    <row r="143" spans="3:42" x14ac:dyDescent="0.25"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</row>
    <row r="144" spans="3:42" x14ac:dyDescent="0.25"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</row>
    <row r="145" spans="3:42" x14ac:dyDescent="0.25"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</row>
    <row r="146" spans="3:42" x14ac:dyDescent="0.25"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</row>
    <row r="147" spans="3:42" x14ac:dyDescent="0.25"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</row>
    <row r="148" spans="3:42" x14ac:dyDescent="0.25"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</row>
    <row r="149" spans="3:42" x14ac:dyDescent="0.25"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</row>
    <row r="150" spans="3:42" x14ac:dyDescent="0.25"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</row>
    <row r="151" spans="3:42" x14ac:dyDescent="0.25"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</row>
    <row r="152" spans="3:42" x14ac:dyDescent="0.25"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</row>
    <row r="153" spans="3:42" x14ac:dyDescent="0.25"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</row>
    <row r="154" spans="3:42" x14ac:dyDescent="0.25"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</row>
    <row r="155" spans="3:42" x14ac:dyDescent="0.25"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</row>
    <row r="156" spans="3:42" x14ac:dyDescent="0.25"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</row>
    <row r="157" spans="3:42" x14ac:dyDescent="0.25"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</row>
    <row r="158" spans="3:42" x14ac:dyDescent="0.25"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</row>
    <row r="159" spans="3:42" x14ac:dyDescent="0.25"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</row>
    <row r="160" spans="3:42" x14ac:dyDescent="0.25"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</row>
    <row r="161" spans="3:42" x14ac:dyDescent="0.25"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</row>
    <row r="162" spans="3:42" x14ac:dyDescent="0.25"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</row>
    <row r="163" spans="3:42" x14ac:dyDescent="0.25"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</row>
    <row r="164" spans="3:42" x14ac:dyDescent="0.25"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</row>
    <row r="165" spans="3:42" x14ac:dyDescent="0.25"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</row>
    <row r="166" spans="3:42" x14ac:dyDescent="0.25"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</row>
    <row r="167" spans="3:42" x14ac:dyDescent="0.25"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</row>
    <row r="168" spans="3:42" x14ac:dyDescent="0.25"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</row>
    <row r="169" spans="3:42" x14ac:dyDescent="0.25"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</row>
    <row r="170" spans="3:42" x14ac:dyDescent="0.25"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</row>
    <row r="171" spans="3:42" x14ac:dyDescent="0.25"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</row>
    <row r="172" spans="3:42" x14ac:dyDescent="0.25"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</row>
    <row r="173" spans="3:42" x14ac:dyDescent="0.25"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</row>
    <row r="174" spans="3:42" x14ac:dyDescent="0.25"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</row>
    <row r="175" spans="3:42" x14ac:dyDescent="0.25"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</row>
    <row r="176" spans="3:42" x14ac:dyDescent="0.25"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</row>
    <row r="177" spans="3:42" x14ac:dyDescent="0.25"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</row>
    <row r="178" spans="3:42" x14ac:dyDescent="0.25"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</row>
    <row r="179" spans="3:42" x14ac:dyDescent="0.25"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</row>
    <row r="180" spans="3:42" x14ac:dyDescent="0.25"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</row>
    <row r="181" spans="3:42" x14ac:dyDescent="0.25"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</row>
    <row r="182" spans="3:42" x14ac:dyDescent="0.25"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</row>
    <row r="183" spans="3:42" x14ac:dyDescent="0.25"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</row>
    <row r="184" spans="3:42" x14ac:dyDescent="0.25"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</row>
    <row r="185" spans="3:42" x14ac:dyDescent="0.25"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</row>
    <row r="186" spans="3:42" x14ac:dyDescent="0.25"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</row>
    <row r="187" spans="3:42" x14ac:dyDescent="0.25"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</row>
    <row r="188" spans="3:42" x14ac:dyDescent="0.25"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</row>
    <row r="189" spans="3:42" x14ac:dyDescent="0.25"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</row>
    <row r="190" spans="3:42" x14ac:dyDescent="0.25"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</row>
    <row r="191" spans="3:42" x14ac:dyDescent="0.25"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</row>
    <row r="192" spans="3:42" x14ac:dyDescent="0.25"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</row>
    <row r="193" spans="3:42" x14ac:dyDescent="0.25"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</row>
    <row r="194" spans="3:42" x14ac:dyDescent="0.25"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</row>
    <row r="195" spans="3:42" x14ac:dyDescent="0.25"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</row>
    <row r="196" spans="3:42" x14ac:dyDescent="0.25"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</row>
    <row r="197" spans="3:42" x14ac:dyDescent="0.25"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</row>
    <row r="198" spans="3:42" x14ac:dyDescent="0.25"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</row>
    <row r="199" spans="3:42" x14ac:dyDescent="0.25"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</row>
    <row r="200" spans="3:42" x14ac:dyDescent="0.25"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</row>
    <row r="201" spans="3:42" x14ac:dyDescent="0.25"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</row>
    <row r="202" spans="3:42" x14ac:dyDescent="0.25"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</row>
    <row r="203" spans="3:42" x14ac:dyDescent="0.25"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</row>
    <row r="204" spans="3:42" x14ac:dyDescent="0.25"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</row>
    <row r="205" spans="3:42" x14ac:dyDescent="0.25"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</row>
    <row r="206" spans="3:42" x14ac:dyDescent="0.25"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</row>
    <row r="207" spans="3:42" x14ac:dyDescent="0.25"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</row>
    <row r="208" spans="3:42" x14ac:dyDescent="0.25"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</row>
    <row r="209" spans="3:42" x14ac:dyDescent="0.25"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</row>
    <row r="210" spans="3:42" x14ac:dyDescent="0.25"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</row>
    <row r="211" spans="3:42" x14ac:dyDescent="0.25"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</row>
    <row r="212" spans="3:42" x14ac:dyDescent="0.25"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</row>
    <row r="213" spans="3:42" x14ac:dyDescent="0.25"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</row>
    <row r="214" spans="3:42" x14ac:dyDescent="0.25"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</row>
    <row r="215" spans="3:42" x14ac:dyDescent="0.25"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</row>
    <row r="216" spans="3:42" x14ac:dyDescent="0.25"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</row>
    <row r="217" spans="3:42" x14ac:dyDescent="0.25"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</row>
    <row r="218" spans="3:42" x14ac:dyDescent="0.25"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</row>
    <row r="219" spans="3:42" x14ac:dyDescent="0.25"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</row>
    <row r="220" spans="3:42" x14ac:dyDescent="0.25"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</row>
    <row r="221" spans="3:42" x14ac:dyDescent="0.25"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</row>
    <row r="222" spans="3:42" x14ac:dyDescent="0.25"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</row>
    <row r="223" spans="3:42" x14ac:dyDescent="0.25"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</row>
    <row r="224" spans="3:42" x14ac:dyDescent="0.25"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</row>
    <row r="225" spans="3:42" x14ac:dyDescent="0.25"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</row>
    <row r="226" spans="3:42" x14ac:dyDescent="0.25"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</row>
    <row r="227" spans="3:42" x14ac:dyDescent="0.25"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</row>
    <row r="228" spans="3:42" x14ac:dyDescent="0.25"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</row>
    <row r="229" spans="3:42" x14ac:dyDescent="0.25"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</row>
    <row r="230" spans="3:42" x14ac:dyDescent="0.25"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</row>
    <row r="231" spans="3:42" x14ac:dyDescent="0.25"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</row>
    <row r="232" spans="3:42" x14ac:dyDescent="0.25"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</row>
    <row r="233" spans="3:42" x14ac:dyDescent="0.25"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</row>
    <row r="234" spans="3:42" x14ac:dyDescent="0.25"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</row>
    <row r="235" spans="3:42" x14ac:dyDescent="0.25"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</row>
    <row r="236" spans="3:42" x14ac:dyDescent="0.25"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</row>
    <row r="237" spans="3:42" x14ac:dyDescent="0.25"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</row>
    <row r="238" spans="3:42" x14ac:dyDescent="0.25"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</row>
    <row r="239" spans="3:42" x14ac:dyDescent="0.25"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</row>
    <row r="240" spans="3:42" x14ac:dyDescent="0.25"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</row>
    <row r="241" spans="3:42" x14ac:dyDescent="0.25"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</row>
    <row r="242" spans="3:42" x14ac:dyDescent="0.25"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</row>
    <row r="243" spans="3:42" x14ac:dyDescent="0.25"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</row>
    <row r="244" spans="3:42" x14ac:dyDescent="0.25"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</row>
    <row r="245" spans="3:42" x14ac:dyDescent="0.25"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</row>
    <row r="246" spans="3:42" x14ac:dyDescent="0.25"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</row>
    <row r="247" spans="3:42" x14ac:dyDescent="0.25"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</row>
    <row r="248" spans="3:42" x14ac:dyDescent="0.25"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</row>
    <row r="249" spans="3:42" x14ac:dyDescent="0.25"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</row>
    <row r="250" spans="3:42" x14ac:dyDescent="0.25"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</row>
    <row r="251" spans="3:42" x14ac:dyDescent="0.25"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</row>
    <row r="252" spans="3:42" x14ac:dyDescent="0.25"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</row>
    <row r="253" spans="3:42" x14ac:dyDescent="0.25"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</row>
    <row r="254" spans="3:42" x14ac:dyDescent="0.25"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</row>
    <row r="255" spans="3:42" x14ac:dyDescent="0.25"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</row>
    <row r="256" spans="3:42" x14ac:dyDescent="0.25"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</row>
    <row r="257" spans="3:42" x14ac:dyDescent="0.25"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</row>
    <row r="258" spans="3:42" x14ac:dyDescent="0.25"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</row>
    <row r="259" spans="3:42" x14ac:dyDescent="0.25"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</row>
    <row r="260" spans="3:42" x14ac:dyDescent="0.25"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</row>
    <row r="261" spans="3:42" x14ac:dyDescent="0.25"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</row>
    <row r="262" spans="3:42" x14ac:dyDescent="0.25"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</row>
    <row r="263" spans="3:42" x14ac:dyDescent="0.25"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</row>
    <row r="264" spans="3:42" x14ac:dyDescent="0.25"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</row>
    <row r="265" spans="3:42" x14ac:dyDescent="0.25"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</row>
    <row r="266" spans="3:42" x14ac:dyDescent="0.25"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</row>
    <row r="267" spans="3:42" x14ac:dyDescent="0.25"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</row>
    <row r="268" spans="3:42" x14ac:dyDescent="0.25"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</row>
    <row r="269" spans="3:42" x14ac:dyDescent="0.25"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</row>
    <row r="270" spans="3:42" x14ac:dyDescent="0.25"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</row>
    <row r="271" spans="3:42" x14ac:dyDescent="0.25"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</row>
    <row r="272" spans="3:42" x14ac:dyDescent="0.25"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</row>
    <row r="273" spans="3:42" x14ac:dyDescent="0.25"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</row>
    <row r="274" spans="3:42" x14ac:dyDescent="0.25"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</row>
    <row r="275" spans="3:42" x14ac:dyDescent="0.25"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</row>
    <row r="276" spans="3:42" x14ac:dyDescent="0.25"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</row>
    <row r="277" spans="3:42" x14ac:dyDescent="0.25"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</row>
    <row r="278" spans="3:42" x14ac:dyDescent="0.25"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</row>
    <row r="279" spans="3:42" x14ac:dyDescent="0.25"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</row>
    <row r="280" spans="3:42" x14ac:dyDescent="0.25"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</row>
    <row r="281" spans="3:42" x14ac:dyDescent="0.25"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</row>
    <row r="282" spans="3:42" x14ac:dyDescent="0.25"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</row>
    <row r="283" spans="3:42" x14ac:dyDescent="0.25"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</row>
    <row r="284" spans="3:42" x14ac:dyDescent="0.25"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</row>
    <row r="285" spans="3:42" x14ac:dyDescent="0.25"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</row>
    <row r="286" spans="3:42" x14ac:dyDescent="0.25"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</row>
    <row r="287" spans="3:42" x14ac:dyDescent="0.25"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</row>
    <row r="288" spans="3:42" x14ac:dyDescent="0.25"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</row>
    <row r="289" spans="3:42" x14ac:dyDescent="0.25"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</row>
    <row r="290" spans="3:42" x14ac:dyDescent="0.25"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</row>
    <row r="291" spans="3:42" x14ac:dyDescent="0.25"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</row>
    <row r="292" spans="3:42" x14ac:dyDescent="0.25"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</row>
    <row r="293" spans="3:42" x14ac:dyDescent="0.25"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</row>
    <row r="294" spans="3:42" x14ac:dyDescent="0.25"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</row>
    <row r="295" spans="3:42" x14ac:dyDescent="0.25"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</row>
    <row r="296" spans="3:42" x14ac:dyDescent="0.25"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</row>
    <row r="297" spans="3:42" x14ac:dyDescent="0.25"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</row>
    <row r="298" spans="3:42" x14ac:dyDescent="0.25"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</row>
    <row r="299" spans="3:42" x14ac:dyDescent="0.25"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</row>
    <row r="300" spans="3:42" x14ac:dyDescent="0.25"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</row>
    <row r="301" spans="3:42" x14ac:dyDescent="0.25"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</row>
    <row r="302" spans="3:42" x14ac:dyDescent="0.25"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</row>
    <row r="303" spans="3:42" x14ac:dyDescent="0.25"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</row>
    <row r="304" spans="3:42" x14ac:dyDescent="0.25"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</row>
    <row r="305" spans="3:42" x14ac:dyDescent="0.25"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</row>
    <row r="306" spans="3:42" x14ac:dyDescent="0.25"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</row>
    <row r="307" spans="3:42" x14ac:dyDescent="0.25"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</row>
    <row r="308" spans="3:42" x14ac:dyDescent="0.25"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</row>
    <row r="309" spans="3:42" x14ac:dyDescent="0.25"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</row>
    <row r="310" spans="3:42" x14ac:dyDescent="0.25"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</row>
    <row r="311" spans="3:42" x14ac:dyDescent="0.25"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</row>
    <row r="312" spans="3:42" x14ac:dyDescent="0.25"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</row>
    <row r="313" spans="3:42" x14ac:dyDescent="0.25"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</row>
    <row r="314" spans="3:42" x14ac:dyDescent="0.25"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</row>
    <row r="315" spans="3:42" x14ac:dyDescent="0.25"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</row>
    <row r="316" spans="3:42" x14ac:dyDescent="0.25"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</row>
    <row r="317" spans="3:42" x14ac:dyDescent="0.25"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</row>
    <row r="318" spans="3:42" x14ac:dyDescent="0.25"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</row>
    <row r="319" spans="3:42" x14ac:dyDescent="0.25"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</row>
    <row r="320" spans="3:42" x14ac:dyDescent="0.25"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</row>
    <row r="321" spans="3:42" x14ac:dyDescent="0.25"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</row>
    <row r="322" spans="3:42" x14ac:dyDescent="0.25"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</row>
    <row r="323" spans="3:42" x14ac:dyDescent="0.25"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</row>
    <row r="324" spans="3:42" x14ac:dyDescent="0.25"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</row>
    <row r="325" spans="3:42" x14ac:dyDescent="0.25"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</row>
    <row r="326" spans="3:42" x14ac:dyDescent="0.25"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</row>
    <row r="327" spans="3:42" x14ac:dyDescent="0.25"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</row>
    <row r="328" spans="3:42" x14ac:dyDescent="0.25"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</row>
    <row r="329" spans="3:42" x14ac:dyDescent="0.25"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</row>
    <row r="330" spans="3:42" x14ac:dyDescent="0.25"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</row>
    <row r="331" spans="3:42" x14ac:dyDescent="0.25"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</row>
    <row r="332" spans="3:42" x14ac:dyDescent="0.25"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</row>
    <row r="333" spans="3:42" x14ac:dyDescent="0.25"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</row>
    <row r="334" spans="3:42" x14ac:dyDescent="0.25"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</row>
    <row r="335" spans="3:42" x14ac:dyDescent="0.25"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</row>
    <row r="336" spans="3:42" x14ac:dyDescent="0.25"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</row>
    <row r="337" spans="3:42" x14ac:dyDescent="0.25"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</row>
    <row r="338" spans="3:42" x14ac:dyDescent="0.25"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</row>
    <row r="339" spans="3:42" x14ac:dyDescent="0.25"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</row>
    <row r="340" spans="3:42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</row>
    <row r="341" spans="3:42" x14ac:dyDescent="0.25"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</row>
    <row r="342" spans="3:42" x14ac:dyDescent="0.25"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</row>
    <row r="343" spans="3:42" x14ac:dyDescent="0.25"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</row>
    <row r="344" spans="3:42" x14ac:dyDescent="0.25"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</row>
    <row r="345" spans="3:42" x14ac:dyDescent="0.25"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</row>
    <row r="346" spans="3:42" x14ac:dyDescent="0.25"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</row>
    <row r="347" spans="3:42" x14ac:dyDescent="0.25"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</row>
    <row r="348" spans="3:42" x14ac:dyDescent="0.25"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</row>
    <row r="349" spans="3:42" x14ac:dyDescent="0.25"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</row>
    <row r="350" spans="3:42" x14ac:dyDescent="0.25"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</row>
    <row r="351" spans="3:42" x14ac:dyDescent="0.25"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</row>
    <row r="352" spans="3:42" x14ac:dyDescent="0.25"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</row>
    <row r="353" spans="3:42" x14ac:dyDescent="0.25"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</row>
    <row r="354" spans="3:42" x14ac:dyDescent="0.25"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</row>
    <row r="355" spans="3:42" x14ac:dyDescent="0.25"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</row>
    <row r="356" spans="3:42" x14ac:dyDescent="0.25"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</row>
    <row r="357" spans="3:42" x14ac:dyDescent="0.25"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</row>
    <row r="358" spans="3:42" x14ac:dyDescent="0.25"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</row>
    <row r="359" spans="3:42" x14ac:dyDescent="0.25"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</row>
    <row r="360" spans="3:42" x14ac:dyDescent="0.25"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</row>
    <row r="361" spans="3:42" x14ac:dyDescent="0.25"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</row>
    <row r="362" spans="3:42" x14ac:dyDescent="0.25"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</row>
    <row r="363" spans="3:42" x14ac:dyDescent="0.25"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</row>
    <row r="364" spans="3:42" x14ac:dyDescent="0.25"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</row>
    <row r="365" spans="3:42" x14ac:dyDescent="0.25"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</row>
    <row r="366" spans="3:42" x14ac:dyDescent="0.25"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</row>
    <row r="367" spans="3:42" x14ac:dyDescent="0.25"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</row>
    <row r="368" spans="3:42" x14ac:dyDescent="0.25"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</row>
    <row r="369" spans="3:42" x14ac:dyDescent="0.25"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</row>
    <row r="370" spans="3:42" x14ac:dyDescent="0.25"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</row>
    <row r="371" spans="3:42" x14ac:dyDescent="0.25"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</row>
    <row r="372" spans="3:42" x14ac:dyDescent="0.25"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</row>
    <row r="373" spans="3:42" x14ac:dyDescent="0.25"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</row>
    <row r="374" spans="3:42" x14ac:dyDescent="0.25"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</row>
    <row r="375" spans="3:42" x14ac:dyDescent="0.25"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</row>
    <row r="376" spans="3:42" x14ac:dyDescent="0.25"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</row>
    <row r="377" spans="3:42" x14ac:dyDescent="0.25"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</row>
    <row r="378" spans="3:42" x14ac:dyDescent="0.25"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</row>
    <row r="379" spans="3:42" x14ac:dyDescent="0.25"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</row>
    <row r="380" spans="3:42" x14ac:dyDescent="0.25"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</row>
    <row r="381" spans="3:42" x14ac:dyDescent="0.25"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</row>
    <row r="382" spans="3:42" x14ac:dyDescent="0.25"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</row>
    <row r="383" spans="3:42" x14ac:dyDescent="0.25"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</row>
    <row r="384" spans="3:42" x14ac:dyDescent="0.25"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</row>
    <row r="385" spans="3:42" x14ac:dyDescent="0.25"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</row>
    <row r="386" spans="3:42" x14ac:dyDescent="0.25"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</row>
    <row r="387" spans="3:42" x14ac:dyDescent="0.25"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</row>
    <row r="388" spans="3:42" x14ac:dyDescent="0.25"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</row>
    <row r="389" spans="3:42" x14ac:dyDescent="0.25"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</row>
    <row r="390" spans="3:42" x14ac:dyDescent="0.25"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</row>
    <row r="391" spans="3:42" x14ac:dyDescent="0.25"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</row>
    <row r="392" spans="3:42" x14ac:dyDescent="0.25"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</row>
    <row r="393" spans="3:42" x14ac:dyDescent="0.25"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</row>
    <row r="394" spans="3:42" x14ac:dyDescent="0.25"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</row>
    <row r="395" spans="3:42" x14ac:dyDescent="0.25"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</row>
    <row r="396" spans="3:42" x14ac:dyDescent="0.25"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</row>
    <row r="397" spans="3:42" x14ac:dyDescent="0.25"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</row>
    <row r="398" spans="3:42" x14ac:dyDescent="0.25"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</row>
    <row r="399" spans="3:42" x14ac:dyDescent="0.25"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</row>
    <row r="400" spans="3:42" x14ac:dyDescent="0.25"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</row>
    <row r="401" spans="3:42" x14ac:dyDescent="0.25"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</row>
    <row r="402" spans="3:42" x14ac:dyDescent="0.25"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</row>
    <row r="403" spans="3:42" x14ac:dyDescent="0.25"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</row>
    <row r="404" spans="3:42" x14ac:dyDescent="0.25"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</row>
    <row r="405" spans="3:42" x14ac:dyDescent="0.25"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</row>
    <row r="406" spans="3:42" x14ac:dyDescent="0.25"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</row>
    <row r="407" spans="3:42" x14ac:dyDescent="0.25"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</row>
    <row r="408" spans="3:42" x14ac:dyDescent="0.25"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</row>
    <row r="409" spans="3:42" x14ac:dyDescent="0.25"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</row>
    <row r="410" spans="3:42" x14ac:dyDescent="0.25"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</row>
    <row r="411" spans="3:42" x14ac:dyDescent="0.25"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</row>
    <row r="412" spans="3:42" x14ac:dyDescent="0.25"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</row>
    <row r="413" spans="3:42" x14ac:dyDescent="0.25"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</row>
    <row r="414" spans="3:42" x14ac:dyDescent="0.25"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</row>
    <row r="415" spans="3:42" x14ac:dyDescent="0.25"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</row>
    <row r="416" spans="3:42" x14ac:dyDescent="0.25"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</row>
    <row r="417" spans="3:42" x14ac:dyDescent="0.25"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</row>
    <row r="418" spans="3:42" x14ac:dyDescent="0.25"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</row>
    <row r="419" spans="3:42" x14ac:dyDescent="0.25"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</row>
    <row r="420" spans="3:42" x14ac:dyDescent="0.25"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</row>
    <row r="421" spans="3:42" x14ac:dyDescent="0.25"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</row>
    <row r="422" spans="3:42" x14ac:dyDescent="0.25"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</row>
    <row r="423" spans="3:42" x14ac:dyDescent="0.25"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</row>
    <row r="424" spans="3:42" x14ac:dyDescent="0.25"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</row>
    <row r="425" spans="3:42" x14ac:dyDescent="0.25"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</row>
    <row r="426" spans="3:42" x14ac:dyDescent="0.25"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</row>
    <row r="427" spans="3:42" x14ac:dyDescent="0.25"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</row>
    <row r="428" spans="3:42" x14ac:dyDescent="0.25"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</row>
    <row r="429" spans="3:42" x14ac:dyDescent="0.25"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</row>
    <row r="430" spans="3:42" x14ac:dyDescent="0.25"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</row>
    <row r="431" spans="3:42" x14ac:dyDescent="0.25"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</row>
    <row r="432" spans="3:42" x14ac:dyDescent="0.25"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</row>
    <row r="433" spans="3:42" x14ac:dyDescent="0.25"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</row>
    <row r="434" spans="3:42" x14ac:dyDescent="0.25"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</row>
    <row r="435" spans="3:42" x14ac:dyDescent="0.25"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</row>
    <row r="436" spans="3:42" x14ac:dyDescent="0.25"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</row>
    <row r="437" spans="3:42" x14ac:dyDescent="0.25"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</row>
    <row r="438" spans="3:42" x14ac:dyDescent="0.25"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</row>
    <row r="439" spans="3:42" x14ac:dyDescent="0.25"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</row>
    <row r="440" spans="3:42" x14ac:dyDescent="0.25"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</row>
    <row r="441" spans="3:42" x14ac:dyDescent="0.25"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</row>
    <row r="442" spans="3:42" x14ac:dyDescent="0.25"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</row>
    <row r="443" spans="3:42" x14ac:dyDescent="0.25"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</row>
    <row r="444" spans="3:42" x14ac:dyDescent="0.25"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</row>
    <row r="445" spans="3:42" x14ac:dyDescent="0.25"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</row>
    <row r="446" spans="3:42" x14ac:dyDescent="0.25"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</row>
    <row r="447" spans="3:42" x14ac:dyDescent="0.25"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</row>
    <row r="448" spans="3:42" x14ac:dyDescent="0.25"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</row>
    <row r="449" spans="3:42" x14ac:dyDescent="0.25"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</row>
    <row r="450" spans="3:42" x14ac:dyDescent="0.25"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</row>
    <row r="451" spans="3:42" x14ac:dyDescent="0.25"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</row>
    <row r="452" spans="3:42" x14ac:dyDescent="0.25"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</row>
    <row r="453" spans="3:42" x14ac:dyDescent="0.25"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</row>
    <row r="454" spans="3:42" x14ac:dyDescent="0.25"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</row>
    <row r="455" spans="3:42" x14ac:dyDescent="0.25"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</row>
    <row r="456" spans="3:42" x14ac:dyDescent="0.25"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</row>
    <row r="457" spans="3:42" x14ac:dyDescent="0.25"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</row>
    <row r="458" spans="3:42" x14ac:dyDescent="0.25"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</row>
    <row r="459" spans="3:42" x14ac:dyDescent="0.25"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</row>
    <row r="460" spans="3:42" x14ac:dyDescent="0.25"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</row>
    <row r="461" spans="3:42" x14ac:dyDescent="0.25"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</row>
    <row r="462" spans="3:42" x14ac:dyDescent="0.25"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</row>
    <row r="463" spans="3:42" x14ac:dyDescent="0.25"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</row>
    <row r="464" spans="3:42" x14ac:dyDescent="0.25"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</row>
    <row r="465" spans="3:42" x14ac:dyDescent="0.25"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</row>
    <row r="466" spans="3:42" x14ac:dyDescent="0.25"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</row>
    <row r="467" spans="3:42" x14ac:dyDescent="0.25"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</row>
    <row r="468" spans="3:42" x14ac:dyDescent="0.25"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</row>
    <row r="469" spans="3:42" x14ac:dyDescent="0.25"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</row>
    <row r="470" spans="3:42" x14ac:dyDescent="0.25"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</row>
    <row r="471" spans="3:42" x14ac:dyDescent="0.25"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</row>
    <row r="472" spans="3:42" x14ac:dyDescent="0.25"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</row>
    <row r="473" spans="3:42" x14ac:dyDescent="0.25"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</row>
    <row r="474" spans="3:42" x14ac:dyDescent="0.25"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</row>
    <row r="475" spans="3:42" x14ac:dyDescent="0.25"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</row>
    <row r="476" spans="3:42" x14ac:dyDescent="0.25"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</row>
    <row r="477" spans="3:42" x14ac:dyDescent="0.25"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</row>
    <row r="478" spans="3:42" x14ac:dyDescent="0.25"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</row>
    <row r="479" spans="3:42" x14ac:dyDescent="0.25"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</row>
    <row r="480" spans="3:42" x14ac:dyDescent="0.25"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</row>
    <row r="481" spans="3:42" x14ac:dyDescent="0.25"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</row>
    <row r="482" spans="3:42" x14ac:dyDescent="0.25"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</row>
    <row r="483" spans="3:42" x14ac:dyDescent="0.25"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</row>
    <row r="484" spans="3:42" x14ac:dyDescent="0.25"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</row>
    <row r="485" spans="3:42" x14ac:dyDescent="0.25"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</row>
    <row r="486" spans="3:42" x14ac:dyDescent="0.25"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</row>
    <row r="487" spans="3:42" x14ac:dyDescent="0.25"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</row>
    <row r="488" spans="3:42" x14ac:dyDescent="0.25"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</row>
    <row r="489" spans="3:42" x14ac:dyDescent="0.25"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</row>
    <row r="490" spans="3:42" x14ac:dyDescent="0.25"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</row>
    <row r="491" spans="3:42" x14ac:dyDescent="0.25"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</row>
    <row r="492" spans="3:42" x14ac:dyDescent="0.25"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</row>
    <row r="493" spans="3:42" x14ac:dyDescent="0.25"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</row>
    <row r="494" spans="3:42" x14ac:dyDescent="0.25"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</row>
    <row r="495" spans="3:42" x14ac:dyDescent="0.25"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</row>
    <row r="496" spans="3:42" x14ac:dyDescent="0.25"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</row>
    <row r="497" spans="3:42" x14ac:dyDescent="0.25"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</row>
    <row r="498" spans="3:42" x14ac:dyDescent="0.25"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</row>
    <row r="499" spans="3:42" x14ac:dyDescent="0.25"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</row>
    <row r="500" spans="3:42" x14ac:dyDescent="0.25"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</row>
    <row r="501" spans="3:42" x14ac:dyDescent="0.25"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</row>
    <row r="502" spans="3:42" x14ac:dyDescent="0.25"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</row>
    <row r="503" spans="3:42" x14ac:dyDescent="0.25"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</row>
    <row r="504" spans="3:42" x14ac:dyDescent="0.25"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</row>
    <row r="505" spans="3:42" x14ac:dyDescent="0.25"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</row>
    <row r="506" spans="3:42" x14ac:dyDescent="0.25"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</row>
    <row r="507" spans="3:42" x14ac:dyDescent="0.25"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</row>
    <row r="508" spans="3:42" x14ac:dyDescent="0.25"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</row>
    <row r="509" spans="3:42" x14ac:dyDescent="0.25"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</row>
    <row r="510" spans="3:42" x14ac:dyDescent="0.25"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</row>
    <row r="511" spans="3:42" x14ac:dyDescent="0.25"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</row>
    <row r="512" spans="3:42" x14ac:dyDescent="0.25"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</row>
    <row r="513" spans="3:42" x14ac:dyDescent="0.25"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</row>
    <row r="514" spans="3:42" x14ac:dyDescent="0.25"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</row>
    <row r="515" spans="3:42" x14ac:dyDescent="0.25"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</row>
    <row r="516" spans="3:42" x14ac:dyDescent="0.25"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</row>
    <row r="517" spans="3:42" x14ac:dyDescent="0.25"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</row>
    <row r="518" spans="3:42" x14ac:dyDescent="0.25"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</row>
    <row r="519" spans="3:42" x14ac:dyDescent="0.25"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</row>
    <row r="520" spans="3:42" x14ac:dyDescent="0.25"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</row>
    <row r="521" spans="3:42" x14ac:dyDescent="0.25"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</row>
    <row r="522" spans="3:42" x14ac:dyDescent="0.25"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</row>
    <row r="523" spans="3:42" x14ac:dyDescent="0.25"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</row>
    <row r="524" spans="3:42" x14ac:dyDescent="0.25"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</row>
    <row r="525" spans="3:42" x14ac:dyDescent="0.25"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</row>
    <row r="526" spans="3:42" x14ac:dyDescent="0.25"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</row>
    <row r="527" spans="3:42" x14ac:dyDescent="0.25"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</row>
    <row r="528" spans="3:42" x14ac:dyDescent="0.25"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</row>
    <row r="529" spans="3:42" x14ac:dyDescent="0.25"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</row>
    <row r="530" spans="3:42" x14ac:dyDescent="0.25"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</row>
    <row r="531" spans="3:42" x14ac:dyDescent="0.25"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</row>
    <row r="532" spans="3:42" x14ac:dyDescent="0.25"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</row>
    <row r="533" spans="3:42" x14ac:dyDescent="0.25"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</row>
    <row r="534" spans="3:42" x14ac:dyDescent="0.25"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</row>
    <row r="535" spans="3:42" x14ac:dyDescent="0.25"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</row>
    <row r="536" spans="3:42" x14ac:dyDescent="0.25"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</row>
    <row r="537" spans="3:42" x14ac:dyDescent="0.25"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</row>
    <row r="538" spans="3:42" x14ac:dyDescent="0.25"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</row>
    <row r="539" spans="3:42" x14ac:dyDescent="0.25"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</row>
    <row r="540" spans="3:42" x14ac:dyDescent="0.25"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</row>
    <row r="541" spans="3:42" x14ac:dyDescent="0.25"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</row>
    <row r="542" spans="3:42" x14ac:dyDescent="0.25"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</row>
    <row r="543" spans="3:42" x14ac:dyDescent="0.25"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</row>
    <row r="544" spans="3:42" x14ac:dyDescent="0.25"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</row>
    <row r="545" spans="3:42" x14ac:dyDescent="0.25"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</row>
    <row r="546" spans="3:42" x14ac:dyDescent="0.25"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</row>
    <row r="547" spans="3:42" x14ac:dyDescent="0.25"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</row>
    <row r="548" spans="3:42" x14ac:dyDescent="0.25"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</row>
    <row r="549" spans="3:42" x14ac:dyDescent="0.25"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</row>
    <row r="550" spans="3:42" x14ac:dyDescent="0.25"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</row>
    <row r="551" spans="3:42" x14ac:dyDescent="0.25"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</row>
    <row r="552" spans="3:42" x14ac:dyDescent="0.25"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</row>
    <row r="553" spans="3:42" x14ac:dyDescent="0.25"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</row>
    <row r="554" spans="3:42" x14ac:dyDescent="0.25"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</row>
    <row r="555" spans="3:42" x14ac:dyDescent="0.25"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</row>
    <row r="556" spans="3:42" x14ac:dyDescent="0.25"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</row>
    <row r="557" spans="3:42" x14ac:dyDescent="0.25"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</row>
    <row r="558" spans="3:42" x14ac:dyDescent="0.25"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</row>
    <row r="559" spans="3:42" x14ac:dyDescent="0.25"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</row>
    <row r="560" spans="3:42" x14ac:dyDescent="0.25"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</row>
    <row r="561" spans="3:42" x14ac:dyDescent="0.25"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</row>
    <row r="562" spans="3:42" x14ac:dyDescent="0.25"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</row>
    <row r="563" spans="3:42" x14ac:dyDescent="0.25"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</row>
    <row r="564" spans="3:42" x14ac:dyDescent="0.25"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</row>
    <row r="565" spans="3:42" x14ac:dyDescent="0.25"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</row>
    <row r="566" spans="3:42" x14ac:dyDescent="0.25"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</row>
    <row r="567" spans="3:42" x14ac:dyDescent="0.25"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</row>
    <row r="568" spans="3:42" x14ac:dyDescent="0.25"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</row>
    <row r="569" spans="3:42" x14ac:dyDescent="0.25"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</row>
    <row r="570" spans="3:42" x14ac:dyDescent="0.25"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</row>
    <row r="571" spans="3:42" x14ac:dyDescent="0.25"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</row>
    <row r="572" spans="3:42" x14ac:dyDescent="0.25"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</row>
    <row r="573" spans="3:42" x14ac:dyDescent="0.25"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</row>
    <row r="574" spans="3:42" x14ac:dyDescent="0.25"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</row>
    <row r="575" spans="3:42" x14ac:dyDescent="0.25"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</row>
    <row r="576" spans="3:42" x14ac:dyDescent="0.25"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</row>
    <row r="577" spans="3:42" x14ac:dyDescent="0.25"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</row>
    <row r="578" spans="3:42" x14ac:dyDescent="0.25"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</row>
    <row r="579" spans="3:42" x14ac:dyDescent="0.25"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</row>
    <row r="580" spans="3:42" x14ac:dyDescent="0.25"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</row>
    <row r="581" spans="3:42" x14ac:dyDescent="0.25"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</row>
    <row r="582" spans="3:42" x14ac:dyDescent="0.25"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</row>
    <row r="583" spans="3:42" x14ac:dyDescent="0.25"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</row>
    <row r="584" spans="3:42" x14ac:dyDescent="0.25"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</row>
    <row r="585" spans="3:42" x14ac:dyDescent="0.25"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</row>
    <row r="586" spans="3:42" x14ac:dyDescent="0.25"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</row>
    <row r="587" spans="3:42" x14ac:dyDescent="0.25"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</row>
    <row r="588" spans="3:42" x14ac:dyDescent="0.25"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</row>
    <row r="589" spans="3:42" x14ac:dyDescent="0.25"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</row>
    <row r="590" spans="3:42" x14ac:dyDescent="0.25"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</row>
    <row r="591" spans="3:42" x14ac:dyDescent="0.25"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</row>
    <row r="592" spans="3:42" x14ac:dyDescent="0.25"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</row>
    <row r="593" spans="3:42" x14ac:dyDescent="0.25"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</row>
    <row r="594" spans="3:42" x14ac:dyDescent="0.25"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</row>
    <row r="595" spans="3:42" x14ac:dyDescent="0.25"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</row>
    <row r="596" spans="3:42" x14ac:dyDescent="0.25"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</row>
    <row r="597" spans="3:42" x14ac:dyDescent="0.25"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</row>
    <row r="598" spans="3:42" x14ac:dyDescent="0.25"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</row>
    <row r="599" spans="3:42" x14ac:dyDescent="0.25"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</row>
    <row r="600" spans="3:42" x14ac:dyDescent="0.25"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</row>
    <row r="601" spans="3:42" x14ac:dyDescent="0.25"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</row>
    <row r="602" spans="3:42" x14ac:dyDescent="0.25"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</row>
    <row r="603" spans="3:42" x14ac:dyDescent="0.25"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</row>
    <row r="604" spans="3:42" x14ac:dyDescent="0.25"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</row>
    <row r="605" spans="3:42" x14ac:dyDescent="0.25"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</row>
    <row r="606" spans="3:42" x14ac:dyDescent="0.25"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</row>
    <row r="607" spans="3:42" x14ac:dyDescent="0.25"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</row>
    <row r="608" spans="3:42" x14ac:dyDescent="0.25"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</row>
    <row r="609" spans="3:42" x14ac:dyDescent="0.25"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</row>
    <row r="610" spans="3:42" x14ac:dyDescent="0.25"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</row>
    <row r="611" spans="3:42" x14ac:dyDescent="0.25"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</row>
    <row r="612" spans="3:42" x14ac:dyDescent="0.25"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</row>
    <row r="613" spans="3:42" x14ac:dyDescent="0.25"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</row>
    <row r="614" spans="3:42" x14ac:dyDescent="0.25"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</row>
    <row r="615" spans="3:42" x14ac:dyDescent="0.25"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</row>
    <row r="616" spans="3:42" x14ac:dyDescent="0.25"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</row>
    <row r="617" spans="3:42" x14ac:dyDescent="0.25"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</row>
    <row r="618" spans="3:42" x14ac:dyDescent="0.25"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</row>
    <row r="619" spans="3:42" x14ac:dyDescent="0.25"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</row>
    <row r="620" spans="3:42" x14ac:dyDescent="0.25"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</row>
    <row r="621" spans="3:42" x14ac:dyDescent="0.25"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</row>
    <row r="622" spans="3:42" x14ac:dyDescent="0.25"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</row>
    <row r="623" spans="3:42" x14ac:dyDescent="0.25"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</row>
    <row r="624" spans="3:42" x14ac:dyDescent="0.25"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</row>
    <row r="625" spans="3:42" x14ac:dyDescent="0.25"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</row>
    <row r="626" spans="3:42" x14ac:dyDescent="0.25"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</row>
    <row r="627" spans="3:42" x14ac:dyDescent="0.25"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</row>
    <row r="628" spans="3:42" x14ac:dyDescent="0.25"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</row>
    <row r="629" spans="3:42" x14ac:dyDescent="0.25"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</row>
    <row r="630" spans="3:42" x14ac:dyDescent="0.25"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</row>
    <row r="631" spans="3:42" x14ac:dyDescent="0.25"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</row>
    <row r="632" spans="3:42" x14ac:dyDescent="0.25"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</row>
    <row r="633" spans="3:42" x14ac:dyDescent="0.25"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</row>
    <row r="634" spans="3:42" x14ac:dyDescent="0.25"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</row>
    <row r="635" spans="3:42" x14ac:dyDescent="0.25"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</row>
    <row r="636" spans="3:42" x14ac:dyDescent="0.25"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</row>
    <row r="637" spans="3:42" x14ac:dyDescent="0.25"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</row>
    <row r="638" spans="3:42" x14ac:dyDescent="0.25"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</row>
    <row r="639" spans="3:42" x14ac:dyDescent="0.25"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</row>
    <row r="640" spans="3:42" x14ac:dyDescent="0.25"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</row>
    <row r="641" spans="3:42" x14ac:dyDescent="0.25"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</row>
    <row r="642" spans="3:42" x14ac:dyDescent="0.25"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</row>
    <row r="643" spans="3:42" x14ac:dyDescent="0.25"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</row>
    <row r="644" spans="3:42" x14ac:dyDescent="0.25"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</row>
    <row r="645" spans="3:42" x14ac:dyDescent="0.25"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</row>
    <row r="646" spans="3:42" x14ac:dyDescent="0.25"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</row>
    <row r="647" spans="3:42" x14ac:dyDescent="0.25"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</row>
    <row r="648" spans="3:42" x14ac:dyDescent="0.25"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</row>
    <row r="649" spans="3:42" x14ac:dyDescent="0.25"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</row>
    <row r="650" spans="3:42" x14ac:dyDescent="0.25"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</row>
    <row r="651" spans="3:42" x14ac:dyDescent="0.25"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</row>
    <row r="652" spans="3:42" x14ac:dyDescent="0.25"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</row>
    <row r="653" spans="3:42" x14ac:dyDescent="0.25"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</row>
    <row r="654" spans="3:42" x14ac:dyDescent="0.25"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</row>
    <row r="655" spans="3:42" x14ac:dyDescent="0.25"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</row>
    <row r="656" spans="3:42" x14ac:dyDescent="0.25"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</row>
    <row r="657" spans="3:42" x14ac:dyDescent="0.25"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</row>
    <row r="658" spans="3:42" x14ac:dyDescent="0.25"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</row>
    <row r="659" spans="3:42" x14ac:dyDescent="0.25"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</row>
    <row r="660" spans="3:42" x14ac:dyDescent="0.25"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</row>
    <row r="661" spans="3:42" x14ac:dyDescent="0.25"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</row>
    <row r="662" spans="3:42" x14ac:dyDescent="0.25"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</row>
    <row r="663" spans="3:42" x14ac:dyDescent="0.25"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</row>
    <row r="664" spans="3:42" x14ac:dyDescent="0.25"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</row>
    <row r="665" spans="3:42" x14ac:dyDescent="0.25"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</row>
    <row r="666" spans="3:42" x14ac:dyDescent="0.25"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</row>
    <row r="667" spans="3:42" x14ac:dyDescent="0.25"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</row>
    <row r="668" spans="3:42" x14ac:dyDescent="0.25"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</row>
    <row r="669" spans="3:42" x14ac:dyDescent="0.25"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</row>
    <row r="670" spans="3:42" x14ac:dyDescent="0.25"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</row>
    <row r="671" spans="3:42" x14ac:dyDescent="0.25"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</row>
    <row r="672" spans="3:42" x14ac:dyDescent="0.25"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</row>
    <row r="673" spans="3:42" x14ac:dyDescent="0.25"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</row>
    <row r="674" spans="3:42" x14ac:dyDescent="0.25"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</row>
    <row r="675" spans="3:42" x14ac:dyDescent="0.25"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</row>
    <row r="676" spans="3:42" x14ac:dyDescent="0.25"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</row>
    <row r="677" spans="3:42" x14ac:dyDescent="0.25"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</row>
    <row r="678" spans="3:42" x14ac:dyDescent="0.25"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</row>
    <row r="679" spans="3:42" x14ac:dyDescent="0.25"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</row>
    <row r="680" spans="3:42" x14ac:dyDescent="0.25"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</row>
    <row r="681" spans="3:42" x14ac:dyDescent="0.25"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</row>
    <row r="682" spans="3:42" x14ac:dyDescent="0.25"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</row>
    <row r="683" spans="3:42" x14ac:dyDescent="0.25"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</row>
    <row r="684" spans="3:42" x14ac:dyDescent="0.25"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</row>
    <row r="685" spans="3:42" x14ac:dyDescent="0.25"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</row>
    <row r="686" spans="3:42" x14ac:dyDescent="0.25"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</row>
    <row r="687" spans="3:42" x14ac:dyDescent="0.25"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</row>
    <row r="688" spans="3:42" x14ac:dyDescent="0.25"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</row>
    <row r="689" spans="3:42" x14ac:dyDescent="0.25"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</row>
    <row r="690" spans="3:42" x14ac:dyDescent="0.25"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</row>
    <row r="691" spans="3:42" x14ac:dyDescent="0.25"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</row>
    <row r="692" spans="3:42" x14ac:dyDescent="0.25"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</row>
    <row r="693" spans="3:42" x14ac:dyDescent="0.25"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</row>
    <row r="694" spans="3:42" x14ac:dyDescent="0.25"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</row>
    <row r="695" spans="3:42" x14ac:dyDescent="0.25"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</row>
    <row r="696" spans="3:42" x14ac:dyDescent="0.25"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</row>
    <row r="697" spans="3:42" x14ac:dyDescent="0.25"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</row>
    <row r="698" spans="3:42" x14ac:dyDescent="0.25"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</row>
    <row r="699" spans="3:42" x14ac:dyDescent="0.25"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</row>
    <row r="700" spans="3:42" x14ac:dyDescent="0.25"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</row>
    <row r="701" spans="3:42" x14ac:dyDescent="0.25"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</row>
    <row r="702" spans="3:42" x14ac:dyDescent="0.25"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</row>
    <row r="703" spans="3:42" x14ac:dyDescent="0.25"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</row>
    <row r="704" spans="3:42" x14ac:dyDescent="0.25"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</row>
    <row r="705" spans="3:42" x14ac:dyDescent="0.25"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</row>
    <row r="706" spans="3:42" x14ac:dyDescent="0.25"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</row>
    <row r="707" spans="3:42" x14ac:dyDescent="0.25"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</row>
    <row r="708" spans="3:42" x14ac:dyDescent="0.25"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</row>
    <row r="709" spans="3:42" x14ac:dyDescent="0.25"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</row>
    <row r="710" spans="3:42" x14ac:dyDescent="0.25"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</row>
    <row r="711" spans="3:42" x14ac:dyDescent="0.25"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</row>
    <row r="712" spans="3:42" x14ac:dyDescent="0.25"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</row>
    <row r="713" spans="3:42" x14ac:dyDescent="0.25"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</row>
    <row r="714" spans="3:42" x14ac:dyDescent="0.25"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</row>
    <row r="715" spans="3:42" x14ac:dyDescent="0.25"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</row>
    <row r="716" spans="3:42" x14ac:dyDescent="0.25"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</row>
    <row r="717" spans="3:42" x14ac:dyDescent="0.25"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</row>
    <row r="718" spans="3:42" x14ac:dyDescent="0.25"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</row>
    <row r="719" spans="3:42" x14ac:dyDescent="0.25"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</row>
    <row r="720" spans="3:42" x14ac:dyDescent="0.25"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</row>
    <row r="721" spans="3:42" x14ac:dyDescent="0.25"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</row>
    <row r="722" spans="3:42" x14ac:dyDescent="0.25"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</row>
    <row r="723" spans="3:42" x14ac:dyDescent="0.25"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</row>
    <row r="724" spans="3:42" x14ac:dyDescent="0.25"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</row>
    <row r="725" spans="3:42" x14ac:dyDescent="0.25"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</row>
    <row r="726" spans="3:42" x14ac:dyDescent="0.25"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</row>
    <row r="727" spans="3:42" x14ac:dyDescent="0.25"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</row>
    <row r="728" spans="3:42" x14ac:dyDescent="0.25"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</row>
    <row r="729" spans="3:42" x14ac:dyDescent="0.25"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</row>
    <row r="730" spans="3:42" x14ac:dyDescent="0.25"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</row>
    <row r="731" spans="3:42" x14ac:dyDescent="0.25"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</row>
    <row r="732" spans="3:42" x14ac:dyDescent="0.25"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</row>
    <row r="733" spans="3:42" x14ac:dyDescent="0.25"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</row>
    <row r="734" spans="3:42" x14ac:dyDescent="0.25"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</row>
    <row r="735" spans="3:42" x14ac:dyDescent="0.25"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</row>
    <row r="736" spans="3:42" x14ac:dyDescent="0.25"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</row>
    <row r="737" spans="3:42" x14ac:dyDescent="0.25"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</row>
    <row r="738" spans="3:42" x14ac:dyDescent="0.25"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</row>
    <row r="739" spans="3:42" x14ac:dyDescent="0.25"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</row>
    <row r="740" spans="3:42" x14ac:dyDescent="0.25"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</row>
    <row r="741" spans="3:42" x14ac:dyDescent="0.25"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</row>
    <row r="742" spans="3:42" x14ac:dyDescent="0.25"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</row>
    <row r="743" spans="3:42" x14ac:dyDescent="0.25"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</row>
    <row r="744" spans="3:42" x14ac:dyDescent="0.25"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</row>
    <row r="745" spans="3:42" x14ac:dyDescent="0.25"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</row>
    <row r="746" spans="3:42" x14ac:dyDescent="0.25"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</row>
    <row r="747" spans="3:42" x14ac:dyDescent="0.25"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</row>
    <row r="748" spans="3:42" x14ac:dyDescent="0.25"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</row>
    <row r="749" spans="3:42" x14ac:dyDescent="0.25"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</row>
    <row r="750" spans="3:42" x14ac:dyDescent="0.25"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</row>
    <row r="751" spans="3:42" x14ac:dyDescent="0.25"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</row>
    <row r="752" spans="3:42" x14ac:dyDescent="0.25"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</row>
    <row r="753" spans="3:42" x14ac:dyDescent="0.25"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</row>
    <row r="754" spans="3:42" x14ac:dyDescent="0.25"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</row>
    <row r="755" spans="3:42" x14ac:dyDescent="0.25"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</row>
    <row r="756" spans="3:42" x14ac:dyDescent="0.25"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</row>
    <row r="757" spans="3:42" x14ac:dyDescent="0.25"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</row>
    <row r="758" spans="3:42" x14ac:dyDescent="0.25"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</row>
    <row r="759" spans="3:42" x14ac:dyDescent="0.25"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</row>
    <row r="760" spans="3:42" x14ac:dyDescent="0.25"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</row>
    <row r="761" spans="3:42" x14ac:dyDescent="0.25"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</row>
    <row r="762" spans="3:42" x14ac:dyDescent="0.25"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</row>
    <row r="763" spans="3:42" x14ac:dyDescent="0.25"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</row>
    <row r="764" spans="3:42" x14ac:dyDescent="0.25"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</row>
    <row r="765" spans="3:42" x14ac:dyDescent="0.25"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</row>
    <row r="766" spans="3:42" x14ac:dyDescent="0.25"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</row>
    <row r="767" spans="3:42" x14ac:dyDescent="0.25"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</row>
    <row r="768" spans="3:42" x14ac:dyDescent="0.25"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</row>
    <row r="769" spans="3:42" x14ac:dyDescent="0.25"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</row>
    <row r="770" spans="3:42" x14ac:dyDescent="0.25"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</row>
    <row r="771" spans="3:42" x14ac:dyDescent="0.25"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</row>
    <row r="772" spans="3:42" x14ac:dyDescent="0.25"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</row>
    <row r="773" spans="3:42" x14ac:dyDescent="0.25"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</row>
    <row r="774" spans="3:42" x14ac:dyDescent="0.25"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</row>
    <row r="775" spans="3:42" x14ac:dyDescent="0.25"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</row>
    <row r="776" spans="3:42" x14ac:dyDescent="0.25"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</row>
    <row r="777" spans="3:42" x14ac:dyDescent="0.25"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</row>
    <row r="778" spans="3:42" x14ac:dyDescent="0.25"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</row>
    <row r="779" spans="3:42" x14ac:dyDescent="0.25"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</row>
    <row r="780" spans="3:42" x14ac:dyDescent="0.25"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</row>
    <row r="781" spans="3:42" x14ac:dyDescent="0.25"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</row>
    <row r="782" spans="3:42" x14ac:dyDescent="0.25"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</row>
    <row r="783" spans="3:42" x14ac:dyDescent="0.25"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</row>
    <row r="784" spans="3:42" x14ac:dyDescent="0.25"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</row>
    <row r="785" spans="3:42" x14ac:dyDescent="0.25"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</row>
    <row r="786" spans="3:42" x14ac:dyDescent="0.25"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</row>
    <row r="787" spans="3:42" x14ac:dyDescent="0.25"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</row>
    <row r="788" spans="3:42" x14ac:dyDescent="0.25"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</row>
    <row r="789" spans="3:42" x14ac:dyDescent="0.25"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</row>
    <row r="790" spans="3:42" x14ac:dyDescent="0.25"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</row>
    <row r="791" spans="3:42" x14ac:dyDescent="0.25"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</row>
    <row r="792" spans="3:42" x14ac:dyDescent="0.25"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</row>
    <row r="793" spans="3:42" x14ac:dyDescent="0.25"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</row>
    <row r="794" spans="3:42" x14ac:dyDescent="0.25"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</row>
    <row r="795" spans="3:42" x14ac:dyDescent="0.25"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</row>
    <row r="796" spans="3:42" x14ac:dyDescent="0.25"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</row>
    <row r="797" spans="3:42" x14ac:dyDescent="0.25"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</row>
    <row r="798" spans="3:42" x14ac:dyDescent="0.25"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</row>
    <row r="799" spans="3:42" x14ac:dyDescent="0.25"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</row>
    <row r="800" spans="3:42" x14ac:dyDescent="0.25"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</row>
    <row r="801" spans="3:42" x14ac:dyDescent="0.25"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</row>
    <row r="802" spans="3:42" x14ac:dyDescent="0.25"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</row>
    <row r="803" spans="3:42" x14ac:dyDescent="0.25"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</row>
    <row r="804" spans="3:42" x14ac:dyDescent="0.25"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</row>
    <row r="805" spans="3:42" x14ac:dyDescent="0.25"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</row>
    <row r="806" spans="3:42" x14ac:dyDescent="0.25"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</row>
    <row r="807" spans="3:42" x14ac:dyDescent="0.25"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</row>
    <row r="808" spans="3:42" x14ac:dyDescent="0.25"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</row>
    <row r="809" spans="3:42" x14ac:dyDescent="0.25"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</row>
    <row r="810" spans="3:42" x14ac:dyDescent="0.25"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</row>
    <row r="811" spans="3:42" x14ac:dyDescent="0.25"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</row>
    <row r="812" spans="3:42" x14ac:dyDescent="0.25"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</row>
    <row r="813" spans="3:42" x14ac:dyDescent="0.25"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</row>
    <row r="814" spans="3:42" x14ac:dyDescent="0.25"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</row>
    <row r="815" spans="3:42" x14ac:dyDescent="0.25"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</row>
    <row r="816" spans="3:42" x14ac:dyDescent="0.25"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</row>
    <row r="817" spans="3:42" x14ac:dyDescent="0.25"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</row>
    <row r="818" spans="3:42" x14ac:dyDescent="0.25"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</row>
    <row r="819" spans="3:42" x14ac:dyDescent="0.25"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</row>
    <row r="820" spans="3:42" x14ac:dyDescent="0.25"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</row>
    <row r="821" spans="3:42" x14ac:dyDescent="0.25"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</row>
    <row r="822" spans="3:42" x14ac:dyDescent="0.25"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</row>
    <row r="823" spans="3:42" x14ac:dyDescent="0.25"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</row>
    <row r="824" spans="3:42" x14ac:dyDescent="0.25"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</row>
    <row r="825" spans="3:42" x14ac:dyDescent="0.25"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</row>
    <row r="826" spans="3:42" x14ac:dyDescent="0.25"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</row>
    <row r="827" spans="3:42" x14ac:dyDescent="0.25"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</row>
    <row r="828" spans="3:42" x14ac:dyDescent="0.25"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</row>
    <row r="829" spans="3:42" x14ac:dyDescent="0.25"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</row>
    <row r="830" spans="3:42" x14ac:dyDescent="0.25"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</row>
    <row r="831" spans="3:42" x14ac:dyDescent="0.25"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</row>
    <row r="832" spans="3:42" x14ac:dyDescent="0.25"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</row>
    <row r="833" spans="3:42" x14ac:dyDescent="0.25"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</row>
    <row r="834" spans="3:42" x14ac:dyDescent="0.25"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</row>
    <row r="835" spans="3:42" x14ac:dyDescent="0.25"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</row>
    <row r="836" spans="3:42" x14ac:dyDescent="0.25"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</row>
    <row r="837" spans="3:42" x14ac:dyDescent="0.25"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</row>
    <row r="838" spans="3:42" x14ac:dyDescent="0.25"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</row>
    <row r="839" spans="3:42" x14ac:dyDescent="0.25"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</row>
    <row r="840" spans="3:42" x14ac:dyDescent="0.25"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</row>
    <row r="841" spans="3:42" x14ac:dyDescent="0.25"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</row>
    <row r="842" spans="3:42" x14ac:dyDescent="0.25"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</row>
    <row r="843" spans="3:42" x14ac:dyDescent="0.25"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</row>
    <row r="844" spans="3:42" x14ac:dyDescent="0.25"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</row>
    <row r="845" spans="3:42" x14ac:dyDescent="0.25"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</row>
    <row r="846" spans="3:42" x14ac:dyDescent="0.25"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</row>
    <row r="847" spans="3:42" x14ac:dyDescent="0.25"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</row>
    <row r="848" spans="3:42" x14ac:dyDescent="0.25"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</row>
    <row r="849" spans="3:42" x14ac:dyDescent="0.25"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</row>
    <row r="850" spans="3:42" x14ac:dyDescent="0.25"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</row>
    <row r="851" spans="3:42" x14ac:dyDescent="0.25"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</row>
    <row r="852" spans="3:42" x14ac:dyDescent="0.25"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</row>
    <row r="853" spans="3:42" x14ac:dyDescent="0.25"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</row>
    <row r="854" spans="3:42" x14ac:dyDescent="0.25"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</row>
    <row r="855" spans="3:42" x14ac:dyDescent="0.25"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</row>
    <row r="856" spans="3:42" x14ac:dyDescent="0.25"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</row>
    <row r="857" spans="3:42" x14ac:dyDescent="0.25"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</row>
    <row r="858" spans="3:42" x14ac:dyDescent="0.25"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</row>
    <row r="859" spans="3:42" x14ac:dyDescent="0.25"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</row>
    <row r="860" spans="3:42" x14ac:dyDescent="0.25"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</row>
    <row r="861" spans="3:42" x14ac:dyDescent="0.25"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</row>
    <row r="862" spans="3:42" x14ac:dyDescent="0.25"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</row>
    <row r="863" spans="3:42" x14ac:dyDescent="0.25"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</row>
    <row r="864" spans="3:42" x14ac:dyDescent="0.25"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</row>
    <row r="865" spans="3:42" x14ac:dyDescent="0.25"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</row>
    <row r="866" spans="3:42" x14ac:dyDescent="0.25"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</row>
    <row r="867" spans="3:42" x14ac:dyDescent="0.25"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</row>
    <row r="868" spans="3:42" x14ac:dyDescent="0.25"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</row>
    <row r="869" spans="3:42" x14ac:dyDescent="0.25"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</row>
    <row r="870" spans="3:42" x14ac:dyDescent="0.25"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</row>
    <row r="871" spans="3:42" x14ac:dyDescent="0.25"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</row>
    <row r="872" spans="3:42" x14ac:dyDescent="0.25"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</row>
    <row r="873" spans="3:42" x14ac:dyDescent="0.25"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</row>
    <row r="874" spans="3:42" x14ac:dyDescent="0.25"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</row>
    <row r="875" spans="3:42" x14ac:dyDescent="0.25"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</row>
    <row r="876" spans="3:42" x14ac:dyDescent="0.25"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</row>
    <row r="877" spans="3:42" x14ac:dyDescent="0.25"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</row>
    <row r="878" spans="3:42" x14ac:dyDescent="0.25"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</row>
    <row r="879" spans="3:42" x14ac:dyDescent="0.25"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</row>
    <row r="880" spans="3:42" x14ac:dyDescent="0.25"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</row>
    <row r="881" spans="3:42" x14ac:dyDescent="0.25"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</row>
    <row r="882" spans="3:42" x14ac:dyDescent="0.25"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</row>
    <row r="883" spans="3:42" x14ac:dyDescent="0.25"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</row>
    <row r="884" spans="3:42" x14ac:dyDescent="0.25"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</row>
    <row r="885" spans="3:42" x14ac:dyDescent="0.25"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</row>
    <row r="886" spans="3:42" x14ac:dyDescent="0.25"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</row>
    <row r="887" spans="3:42" x14ac:dyDescent="0.25"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</row>
    <row r="888" spans="3:42" x14ac:dyDescent="0.25"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</row>
    <row r="889" spans="3:42" x14ac:dyDescent="0.25"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</row>
    <row r="890" spans="3:42" x14ac:dyDescent="0.25"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</row>
    <row r="891" spans="3:42" x14ac:dyDescent="0.25"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</row>
    <row r="892" spans="3:42" x14ac:dyDescent="0.25"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</row>
    <row r="893" spans="3:42" x14ac:dyDescent="0.25"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</row>
    <row r="894" spans="3:42" x14ac:dyDescent="0.25"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</row>
    <row r="895" spans="3:42" x14ac:dyDescent="0.25"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</row>
    <row r="896" spans="3:42" x14ac:dyDescent="0.25"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</row>
    <row r="897" spans="3:42" x14ac:dyDescent="0.25"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</row>
    <row r="898" spans="3:42" x14ac:dyDescent="0.25"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</row>
    <row r="899" spans="3:42" x14ac:dyDescent="0.25"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</row>
    <row r="900" spans="3:42" x14ac:dyDescent="0.25"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</row>
    <row r="901" spans="3:42" x14ac:dyDescent="0.25"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</row>
    <row r="902" spans="3:42" x14ac:dyDescent="0.25"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</row>
    <row r="903" spans="3:42" x14ac:dyDescent="0.25"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</row>
    <row r="904" spans="3:42" x14ac:dyDescent="0.25"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</row>
    <row r="905" spans="3:42" x14ac:dyDescent="0.25"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</row>
    <row r="906" spans="3:42" x14ac:dyDescent="0.25"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</row>
    <row r="907" spans="3:42" x14ac:dyDescent="0.25"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</row>
    <row r="908" spans="3:42" x14ac:dyDescent="0.25"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</row>
    <row r="909" spans="3:42" x14ac:dyDescent="0.25"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</row>
    <row r="910" spans="3:42" x14ac:dyDescent="0.25"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</row>
    <row r="911" spans="3:42" x14ac:dyDescent="0.25"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</row>
    <row r="912" spans="3:42" x14ac:dyDescent="0.25"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</row>
    <row r="913" spans="3:42" x14ac:dyDescent="0.25"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</row>
    <row r="914" spans="3:42" x14ac:dyDescent="0.25"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</row>
    <row r="915" spans="3:42" x14ac:dyDescent="0.25"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</row>
    <row r="916" spans="3:42" x14ac:dyDescent="0.25"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</row>
    <row r="917" spans="3:42" x14ac:dyDescent="0.25"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</row>
    <row r="918" spans="3:42" x14ac:dyDescent="0.25"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</row>
    <row r="919" spans="3:42" x14ac:dyDescent="0.25"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</row>
    <row r="920" spans="3:42" x14ac:dyDescent="0.25"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</row>
    <row r="921" spans="3:42" x14ac:dyDescent="0.25"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</row>
    <row r="922" spans="3:42" x14ac:dyDescent="0.25"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</row>
    <row r="923" spans="3:42" x14ac:dyDescent="0.25"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</row>
    <row r="924" spans="3:42" x14ac:dyDescent="0.25"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</row>
    <row r="925" spans="3:42" x14ac:dyDescent="0.25"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</row>
    <row r="926" spans="3:42" x14ac:dyDescent="0.25"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</row>
    <row r="927" spans="3:42" x14ac:dyDescent="0.25"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</row>
    <row r="928" spans="3:42" x14ac:dyDescent="0.25"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</row>
    <row r="929" spans="3:42" x14ac:dyDescent="0.25"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</row>
    <row r="930" spans="3:42" x14ac:dyDescent="0.25"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</row>
    <row r="931" spans="3:42" x14ac:dyDescent="0.25"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</row>
    <row r="932" spans="3:42" x14ac:dyDescent="0.25"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</row>
    <row r="933" spans="3:42" x14ac:dyDescent="0.25"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</row>
    <row r="934" spans="3:42" x14ac:dyDescent="0.25"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</row>
    <row r="935" spans="3:42" x14ac:dyDescent="0.25"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</row>
    <row r="936" spans="3:42" x14ac:dyDescent="0.25"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</row>
    <row r="937" spans="3:42" x14ac:dyDescent="0.25"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</row>
    <row r="938" spans="3:42" x14ac:dyDescent="0.25"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</row>
    <row r="939" spans="3:42" x14ac:dyDescent="0.25"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</row>
    <row r="940" spans="3:42" x14ac:dyDescent="0.25"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</row>
    <row r="941" spans="3:42" x14ac:dyDescent="0.25"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</row>
    <row r="942" spans="3:42" x14ac:dyDescent="0.25"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</row>
    <row r="943" spans="3:42" x14ac:dyDescent="0.25"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</row>
    <row r="944" spans="3:42" x14ac:dyDescent="0.25"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</row>
    <row r="945" spans="3:42" x14ac:dyDescent="0.25"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</row>
    <row r="946" spans="3:42" x14ac:dyDescent="0.25"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</row>
    <row r="947" spans="3:42" x14ac:dyDescent="0.25"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</row>
    <row r="948" spans="3:42" x14ac:dyDescent="0.25"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</row>
    <row r="949" spans="3:42" x14ac:dyDescent="0.25"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</row>
    <row r="950" spans="3:42" x14ac:dyDescent="0.25"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</row>
    <row r="951" spans="3:42" x14ac:dyDescent="0.25"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</row>
    <row r="952" spans="3:42" x14ac:dyDescent="0.25"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</row>
    <row r="953" spans="3:42" x14ac:dyDescent="0.25"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</row>
    <row r="954" spans="3:42" x14ac:dyDescent="0.25"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</row>
    <row r="955" spans="3:42" x14ac:dyDescent="0.25"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</row>
    <row r="956" spans="3:42" x14ac:dyDescent="0.25"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</row>
    <row r="957" spans="3:42" x14ac:dyDescent="0.25"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</row>
    <row r="958" spans="3:42" x14ac:dyDescent="0.25"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</row>
    <row r="959" spans="3:42" x14ac:dyDescent="0.25"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</row>
    <row r="960" spans="3:42" x14ac:dyDescent="0.25"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</row>
    <row r="961" spans="3:42" x14ac:dyDescent="0.25"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</row>
    <row r="962" spans="3:42" x14ac:dyDescent="0.25"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</row>
    <row r="963" spans="3:42" x14ac:dyDescent="0.25"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</row>
    <row r="964" spans="3:42" x14ac:dyDescent="0.25"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</row>
    <row r="965" spans="3:42" x14ac:dyDescent="0.25"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</row>
    <row r="966" spans="3:42" x14ac:dyDescent="0.25"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</row>
    <row r="967" spans="3:42" x14ac:dyDescent="0.25"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</row>
    <row r="968" spans="3:42" x14ac:dyDescent="0.25"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</row>
    <row r="969" spans="3:42" x14ac:dyDescent="0.25"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</row>
    <row r="970" spans="3:42" x14ac:dyDescent="0.25"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</row>
    <row r="971" spans="3:42" x14ac:dyDescent="0.25"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</row>
    <row r="972" spans="3:42" x14ac:dyDescent="0.25"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</row>
    <row r="973" spans="3:42" x14ac:dyDescent="0.25"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</row>
    <row r="974" spans="3:42" x14ac:dyDescent="0.25"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</row>
    <row r="975" spans="3:42" x14ac:dyDescent="0.25"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</row>
    <row r="976" spans="3:42" x14ac:dyDescent="0.25"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</row>
    <row r="977" spans="3:42" x14ac:dyDescent="0.25"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</row>
    <row r="978" spans="3:42" x14ac:dyDescent="0.25"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</row>
    <row r="979" spans="3:42" x14ac:dyDescent="0.25"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</row>
    <row r="980" spans="3:42" x14ac:dyDescent="0.25"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</row>
    <row r="981" spans="3:42" x14ac:dyDescent="0.25"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</row>
    <row r="982" spans="3:42" x14ac:dyDescent="0.25"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</row>
    <row r="983" spans="3:42" x14ac:dyDescent="0.25"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</row>
    <row r="984" spans="3:42" x14ac:dyDescent="0.25"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</row>
    <row r="985" spans="3:42" x14ac:dyDescent="0.25"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</row>
    <row r="986" spans="3:42" x14ac:dyDescent="0.25"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</row>
    <row r="987" spans="3:42" x14ac:dyDescent="0.25"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</row>
    <row r="988" spans="3:42" x14ac:dyDescent="0.25"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</row>
    <row r="989" spans="3:42" x14ac:dyDescent="0.25"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</row>
    <row r="990" spans="3:42" x14ac:dyDescent="0.25"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</row>
    <row r="991" spans="3:42" x14ac:dyDescent="0.25"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</row>
    <row r="992" spans="3:42" x14ac:dyDescent="0.25"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</row>
    <row r="993" spans="3:42" x14ac:dyDescent="0.25"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</row>
    <row r="994" spans="3:42" x14ac:dyDescent="0.25"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</row>
    <row r="995" spans="3:42" x14ac:dyDescent="0.25"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</row>
    <row r="996" spans="3:42" x14ac:dyDescent="0.25"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</row>
    <row r="997" spans="3:42" x14ac:dyDescent="0.25"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</row>
    <row r="998" spans="3:42" x14ac:dyDescent="0.25"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</row>
    <row r="999" spans="3:42" x14ac:dyDescent="0.25"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</row>
    <row r="1000" spans="3:42" x14ac:dyDescent="0.25"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</row>
    <row r="1001" spans="3:42" x14ac:dyDescent="0.25"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</row>
    <row r="1002" spans="3:42" x14ac:dyDescent="0.25"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</row>
    <row r="1003" spans="3:42" x14ac:dyDescent="0.25"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</row>
    <row r="1004" spans="3:42" x14ac:dyDescent="0.25"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</row>
    <row r="1005" spans="3:42" x14ac:dyDescent="0.25"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</row>
    <row r="1006" spans="3:42" x14ac:dyDescent="0.25"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</row>
    <row r="1007" spans="3:42" x14ac:dyDescent="0.25"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</row>
    <row r="1008" spans="3:42" x14ac:dyDescent="0.25"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</row>
    <row r="1009" spans="3:42" x14ac:dyDescent="0.25"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</row>
    <row r="1010" spans="3:42" x14ac:dyDescent="0.25"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</row>
    <row r="1011" spans="3:42" x14ac:dyDescent="0.25"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</row>
    <row r="1012" spans="3:42" x14ac:dyDescent="0.25"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</row>
    <row r="1013" spans="3:42" x14ac:dyDescent="0.25"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</row>
    <row r="1014" spans="3:42" x14ac:dyDescent="0.25"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</row>
    <row r="1015" spans="3:42" x14ac:dyDescent="0.25"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</row>
    <row r="1016" spans="3:42" x14ac:dyDescent="0.25"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</row>
    <row r="1017" spans="3:42" x14ac:dyDescent="0.25"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</row>
    <row r="1018" spans="3:42" x14ac:dyDescent="0.25"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</row>
    <row r="1019" spans="3:42" x14ac:dyDescent="0.25"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</row>
    <row r="1020" spans="3:42" x14ac:dyDescent="0.25"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</row>
    <row r="1021" spans="3:42" x14ac:dyDescent="0.25"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</row>
    <row r="1022" spans="3:42" x14ac:dyDescent="0.25"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</row>
    <row r="1023" spans="3:42" x14ac:dyDescent="0.25"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</row>
    <row r="1024" spans="3:42" x14ac:dyDescent="0.25"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</row>
    <row r="1025" spans="3:42" x14ac:dyDescent="0.25"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</row>
    <row r="1026" spans="3:42" x14ac:dyDescent="0.25"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</row>
    <row r="1027" spans="3:42" x14ac:dyDescent="0.25"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</row>
    <row r="1028" spans="3:42" x14ac:dyDescent="0.25"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</row>
    <row r="1029" spans="3:42" x14ac:dyDescent="0.25"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</row>
    <row r="1030" spans="3:42" x14ac:dyDescent="0.25"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</row>
    <row r="1031" spans="3:42" x14ac:dyDescent="0.25"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</row>
    <row r="1032" spans="3:42" x14ac:dyDescent="0.25"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</row>
    <row r="1033" spans="3:42" x14ac:dyDescent="0.25"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</row>
    <row r="1034" spans="3:42" x14ac:dyDescent="0.25"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</row>
    <row r="1035" spans="3:42" x14ac:dyDescent="0.25"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</row>
    <row r="1036" spans="3:42" x14ac:dyDescent="0.25"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</row>
    <row r="1037" spans="3:42" x14ac:dyDescent="0.25"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</row>
    <row r="1038" spans="3:42" x14ac:dyDescent="0.25"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</row>
    <row r="1039" spans="3:42" x14ac:dyDescent="0.25"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</row>
    <row r="1040" spans="3:42" x14ac:dyDescent="0.25"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</row>
    <row r="1041" spans="3:42" x14ac:dyDescent="0.25"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</row>
    <row r="1042" spans="3:42" x14ac:dyDescent="0.25"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</row>
    <row r="1043" spans="3:42" x14ac:dyDescent="0.25"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</row>
    <row r="1044" spans="3:42" x14ac:dyDescent="0.25"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</row>
    <row r="1045" spans="3:42" x14ac:dyDescent="0.25"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</row>
    <row r="1046" spans="3:42" x14ac:dyDescent="0.25"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</row>
    <row r="1047" spans="3:42" x14ac:dyDescent="0.25"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</row>
    <row r="1048" spans="3:42" x14ac:dyDescent="0.25"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</row>
    <row r="1049" spans="3:42" x14ac:dyDescent="0.25"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</row>
    <row r="1050" spans="3:42" x14ac:dyDescent="0.25"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</row>
    <row r="1051" spans="3:42" x14ac:dyDescent="0.25"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</row>
    <row r="1052" spans="3:42" x14ac:dyDescent="0.25"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</row>
    <row r="1053" spans="3:42" x14ac:dyDescent="0.25"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</row>
    <row r="1054" spans="3:42" x14ac:dyDescent="0.25"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</row>
    <row r="1055" spans="3:42" x14ac:dyDescent="0.25"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</row>
    <row r="1056" spans="3:42" x14ac:dyDescent="0.25"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</row>
    <row r="1057" spans="3:42" x14ac:dyDescent="0.25"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</row>
    <row r="1058" spans="3:42" x14ac:dyDescent="0.25"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</row>
    <row r="1059" spans="3:42" x14ac:dyDescent="0.25"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</row>
    <row r="1060" spans="3:42" x14ac:dyDescent="0.25"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</row>
    <row r="1061" spans="3:42" x14ac:dyDescent="0.25"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</row>
    <row r="1062" spans="3:42" x14ac:dyDescent="0.25"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</row>
    <row r="1063" spans="3:42" x14ac:dyDescent="0.25"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</row>
    <row r="1064" spans="3:42" x14ac:dyDescent="0.25"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</row>
    <row r="1065" spans="3:42" x14ac:dyDescent="0.25"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</row>
    <row r="1066" spans="3:42" x14ac:dyDescent="0.25"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</row>
    <row r="1067" spans="3:42" x14ac:dyDescent="0.25"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</row>
    <row r="1068" spans="3:42" x14ac:dyDescent="0.25"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</row>
    <row r="1069" spans="3:42" x14ac:dyDescent="0.25"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</row>
    <row r="1070" spans="3:42" x14ac:dyDescent="0.25"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</row>
    <row r="1071" spans="3:42" x14ac:dyDescent="0.25"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</row>
    <row r="1072" spans="3:42" x14ac:dyDescent="0.25"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</row>
    <row r="1073" spans="3:42" x14ac:dyDescent="0.25"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</row>
    <row r="1074" spans="3:42" x14ac:dyDescent="0.25"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</row>
    <row r="1075" spans="3:42" x14ac:dyDescent="0.25"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</row>
    <row r="1076" spans="3:42" x14ac:dyDescent="0.25"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</row>
    <row r="1077" spans="3:42" x14ac:dyDescent="0.25"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</row>
    <row r="1078" spans="3:42" x14ac:dyDescent="0.25"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</row>
    <row r="1079" spans="3:42" x14ac:dyDescent="0.25"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</row>
    <row r="1080" spans="3:42" x14ac:dyDescent="0.25"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</row>
    <row r="1081" spans="3:42" x14ac:dyDescent="0.25"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</row>
    <row r="1082" spans="3:42" x14ac:dyDescent="0.25"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</row>
    <row r="1083" spans="3:42" x14ac:dyDescent="0.25"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</row>
    <row r="1084" spans="3:42" x14ac:dyDescent="0.25"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</row>
    <row r="1085" spans="3:42" x14ac:dyDescent="0.25"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</row>
    <row r="1086" spans="3:42" x14ac:dyDescent="0.25"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</row>
    <row r="1087" spans="3:42" x14ac:dyDescent="0.25"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</row>
    <row r="1088" spans="3:42" x14ac:dyDescent="0.25"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</row>
    <row r="1089" spans="3:42" x14ac:dyDescent="0.25"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</row>
    <row r="1090" spans="3:42" x14ac:dyDescent="0.25"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</row>
    <row r="1091" spans="3:42" x14ac:dyDescent="0.25"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</row>
    <row r="1092" spans="3:42" x14ac:dyDescent="0.25"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</row>
    <row r="1093" spans="3:42" x14ac:dyDescent="0.25"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</row>
    <row r="1094" spans="3:42" x14ac:dyDescent="0.25"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</row>
    <row r="1095" spans="3:42" x14ac:dyDescent="0.25"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</row>
    <row r="1096" spans="3:42" x14ac:dyDescent="0.25"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</row>
    <row r="1097" spans="3:42" x14ac:dyDescent="0.25"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</row>
    <row r="1098" spans="3:42" x14ac:dyDescent="0.25"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</row>
    <row r="1099" spans="3:42" x14ac:dyDescent="0.25"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</row>
    <row r="1100" spans="3:42" x14ac:dyDescent="0.25"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</row>
    <row r="1101" spans="3:42" x14ac:dyDescent="0.25"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</row>
    <row r="1102" spans="3:42" x14ac:dyDescent="0.25"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</row>
    <row r="1103" spans="3:42" x14ac:dyDescent="0.25"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</row>
    <row r="1104" spans="3:42" x14ac:dyDescent="0.25"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</row>
    <row r="1105" spans="3:42" x14ac:dyDescent="0.25"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</row>
    <row r="1106" spans="3:42" x14ac:dyDescent="0.25"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</row>
    <row r="1107" spans="3:42" x14ac:dyDescent="0.25"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</row>
    <row r="1108" spans="3:42" x14ac:dyDescent="0.25"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</row>
    <row r="1109" spans="3:42" x14ac:dyDescent="0.25"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</row>
    <row r="1110" spans="3:42" x14ac:dyDescent="0.25"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</row>
    <row r="1111" spans="3:42" x14ac:dyDescent="0.25"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</row>
    <row r="1112" spans="3:42" x14ac:dyDescent="0.25"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</row>
    <row r="1113" spans="3:42" x14ac:dyDescent="0.25"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</row>
    <row r="1114" spans="3:42" x14ac:dyDescent="0.25"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</row>
    <row r="1115" spans="3:42" x14ac:dyDescent="0.25"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</row>
    <row r="1116" spans="3:42" x14ac:dyDescent="0.25"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</row>
    <row r="1117" spans="3:42" x14ac:dyDescent="0.25"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</row>
    <row r="1118" spans="3:42" x14ac:dyDescent="0.25"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</row>
    <row r="1119" spans="3:42" x14ac:dyDescent="0.25"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</row>
    <row r="1120" spans="3:42" x14ac:dyDescent="0.25"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</row>
    <row r="1121" spans="3:42" x14ac:dyDescent="0.25"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</row>
    <row r="1122" spans="3:42" x14ac:dyDescent="0.25"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</row>
    <row r="1123" spans="3:42" x14ac:dyDescent="0.25"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</row>
    <row r="1124" spans="3:42" x14ac:dyDescent="0.25"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</row>
    <row r="1125" spans="3:42" x14ac:dyDescent="0.25"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</row>
    <row r="1126" spans="3:42" x14ac:dyDescent="0.25"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</row>
    <row r="1127" spans="3:42" x14ac:dyDescent="0.25"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</row>
    <row r="1128" spans="3:42" x14ac:dyDescent="0.25"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</row>
    <row r="1129" spans="3:42" x14ac:dyDescent="0.25"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</row>
    <row r="1130" spans="3:42" x14ac:dyDescent="0.25"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</row>
    <row r="1131" spans="3:42" x14ac:dyDescent="0.25"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</row>
    <row r="1132" spans="3:42" x14ac:dyDescent="0.25"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</row>
    <row r="1133" spans="3:42" x14ac:dyDescent="0.25"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</row>
    <row r="1134" spans="3:42" x14ac:dyDescent="0.25"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</row>
    <row r="1135" spans="3:42" x14ac:dyDescent="0.25"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</row>
    <row r="1136" spans="3:42" x14ac:dyDescent="0.25"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</row>
    <row r="1137" spans="3:42" x14ac:dyDescent="0.25"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</row>
    <row r="1138" spans="3:42" x14ac:dyDescent="0.25"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</row>
    <row r="1139" spans="3:42" x14ac:dyDescent="0.25"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</row>
    <row r="1140" spans="3:42" x14ac:dyDescent="0.25"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</row>
    <row r="1141" spans="3:42" x14ac:dyDescent="0.25"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</row>
    <row r="1142" spans="3:42" x14ac:dyDescent="0.25"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</row>
    <row r="1143" spans="3:42" x14ac:dyDescent="0.25"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</row>
    <row r="1144" spans="3:42" x14ac:dyDescent="0.25"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</row>
    <row r="1145" spans="3:42" x14ac:dyDescent="0.25"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</row>
    <row r="1146" spans="3:42" x14ac:dyDescent="0.25"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</row>
    <row r="1147" spans="3:42" x14ac:dyDescent="0.25"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</row>
    <row r="1148" spans="3:42" x14ac:dyDescent="0.25"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</row>
    <row r="1149" spans="3:42" x14ac:dyDescent="0.25"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</row>
    <row r="1150" spans="3:42" x14ac:dyDescent="0.25"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</row>
    <row r="1151" spans="3:42" x14ac:dyDescent="0.25"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</row>
    <row r="1152" spans="3:42" x14ac:dyDescent="0.25"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</row>
    <row r="1153" spans="3:42" x14ac:dyDescent="0.25"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</row>
    <row r="1154" spans="3:42" x14ac:dyDescent="0.25"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</row>
    <row r="1155" spans="3:42" x14ac:dyDescent="0.25"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</row>
    <row r="1156" spans="3:42" x14ac:dyDescent="0.25"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</row>
    <row r="1157" spans="3:42" x14ac:dyDescent="0.25"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</row>
    <row r="1158" spans="3:42" x14ac:dyDescent="0.25"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</row>
    <row r="1159" spans="3:42" x14ac:dyDescent="0.25"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</row>
    <row r="1160" spans="3:42" x14ac:dyDescent="0.25"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</row>
    <row r="1161" spans="3:42" x14ac:dyDescent="0.25"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</row>
    <row r="1162" spans="3:42" x14ac:dyDescent="0.25"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</row>
    <row r="1163" spans="3:42" x14ac:dyDescent="0.25"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</row>
    <row r="1164" spans="3:42" x14ac:dyDescent="0.25"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</row>
    <row r="1165" spans="3:42" x14ac:dyDescent="0.25"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</row>
    <row r="1166" spans="3:42" x14ac:dyDescent="0.25"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</row>
    <row r="1167" spans="3:42" x14ac:dyDescent="0.25"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</row>
    <row r="1168" spans="3:42" x14ac:dyDescent="0.25"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</row>
    <row r="1169" spans="3:42" x14ac:dyDescent="0.25"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</row>
    <row r="1170" spans="3:42" x14ac:dyDescent="0.25"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</row>
    <row r="1171" spans="3:42" x14ac:dyDescent="0.25"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</row>
    <row r="1172" spans="3:42" x14ac:dyDescent="0.25"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</row>
    <row r="1173" spans="3:42" x14ac:dyDescent="0.25"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</row>
    <row r="1174" spans="3:42" x14ac:dyDescent="0.25"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</row>
    <row r="1175" spans="3:42" x14ac:dyDescent="0.25"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</row>
    <row r="1176" spans="3:42" x14ac:dyDescent="0.25"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</row>
    <row r="1177" spans="3:42" x14ac:dyDescent="0.25"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</row>
    <row r="1178" spans="3:42" x14ac:dyDescent="0.25"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</row>
    <row r="1179" spans="3:42" x14ac:dyDescent="0.25"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</row>
    <row r="1180" spans="3:42" x14ac:dyDescent="0.25"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</row>
    <row r="1181" spans="3:42" x14ac:dyDescent="0.25"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</row>
    <row r="1182" spans="3:42" x14ac:dyDescent="0.25"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</row>
    <row r="1183" spans="3:42" x14ac:dyDescent="0.25"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</row>
    <row r="1184" spans="3:42" x14ac:dyDescent="0.25"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</row>
    <row r="1185" spans="3:42" x14ac:dyDescent="0.25"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</row>
    <row r="1186" spans="3:42" x14ac:dyDescent="0.25"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</row>
    <row r="1187" spans="3:42" x14ac:dyDescent="0.25"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</row>
    <row r="1188" spans="3:42" x14ac:dyDescent="0.25"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</row>
    <row r="1189" spans="3:42" x14ac:dyDescent="0.25"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</row>
    <row r="1190" spans="3:42" x14ac:dyDescent="0.25"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</row>
    <row r="1191" spans="3:42" x14ac:dyDescent="0.25"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</row>
    <row r="1192" spans="3:42" x14ac:dyDescent="0.25"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</row>
    <row r="1193" spans="3:42" x14ac:dyDescent="0.25"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</row>
    <row r="1194" spans="3:42" x14ac:dyDescent="0.25"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</row>
    <row r="1195" spans="3:42" x14ac:dyDescent="0.25"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</row>
    <row r="1196" spans="3:42" x14ac:dyDescent="0.25"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</row>
    <row r="1197" spans="3:42" x14ac:dyDescent="0.25"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</row>
    <row r="1198" spans="3:42" x14ac:dyDescent="0.25"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</row>
    <row r="1199" spans="3:42" x14ac:dyDescent="0.25"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</row>
    <row r="1200" spans="3:42" x14ac:dyDescent="0.25"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</row>
    <row r="1201" spans="3:42" x14ac:dyDescent="0.25"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</row>
    <row r="1202" spans="3:42" x14ac:dyDescent="0.25"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</row>
    <row r="1203" spans="3:42" x14ac:dyDescent="0.25"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</row>
    <row r="1204" spans="3:42" x14ac:dyDescent="0.25"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</row>
    <row r="1205" spans="3:42" x14ac:dyDescent="0.25"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</row>
    <row r="1206" spans="3:42" x14ac:dyDescent="0.25"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</row>
    <row r="1207" spans="3:42" x14ac:dyDescent="0.25"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</row>
    <row r="1208" spans="3:42" x14ac:dyDescent="0.25"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</row>
    <row r="1209" spans="3:42" x14ac:dyDescent="0.25"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</row>
    <row r="1210" spans="3:42" x14ac:dyDescent="0.25"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</row>
    <row r="1211" spans="3:42" x14ac:dyDescent="0.25"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</row>
    <row r="1212" spans="3:42" x14ac:dyDescent="0.25"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</row>
    <row r="1213" spans="3:42" x14ac:dyDescent="0.25"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</row>
    <row r="1214" spans="3:42" x14ac:dyDescent="0.25"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</row>
    <row r="1215" spans="3:42" x14ac:dyDescent="0.25"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</row>
    <row r="1216" spans="3:42" x14ac:dyDescent="0.25"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</row>
    <row r="1217" spans="3:42" x14ac:dyDescent="0.25"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</row>
    <row r="1218" spans="3:42" x14ac:dyDescent="0.25"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</row>
    <row r="1219" spans="3:42" x14ac:dyDescent="0.25"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</row>
    <row r="1220" spans="3:42" x14ac:dyDescent="0.25"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</row>
    <row r="1221" spans="3:42" x14ac:dyDescent="0.25"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</row>
    <row r="1222" spans="3:42" x14ac:dyDescent="0.25"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</row>
    <row r="1223" spans="3:42" x14ac:dyDescent="0.25"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</row>
    <row r="1224" spans="3:42" x14ac:dyDescent="0.25"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</row>
    <row r="1225" spans="3:42" x14ac:dyDescent="0.25"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</row>
    <row r="1226" spans="3:42" x14ac:dyDescent="0.25"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</row>
    <row r="1227" spans="3:42" x14ac:dyDescent="0.25"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</row>
    <row r="1228" spans="3:42" x14ac:dyDescent="0.25"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</row>
    <row r="1229" spans="3:42" x14ac:dyDescent="0.25"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</row>
    <row r="1230" spans="3:42" x14ac:dyDescent="0.25"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</row>
    <row r="1231" spans="3:42" x14ac:dyDescent="0.25"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</row>
    <row r="1232" spans="3:42" x14ac:dyDescent="0.25"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</row>
    <row r="1233" spans="3:42" x14ac:dyDescent="0.25"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</row>
    <row r="1234" spans="3:42" x14ac:dyDescent="0.25"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</row>
    <row r="1235" spans="3:42" x14ac:dyDescent="0.25"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</row>
    <row r="1236" spans="3:42" x14ac:dyDescent="0.25"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</row>
    <row r="1237" spans="3:42" x14ac:dyDescent="0.25"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</row>
    <row r="1238" spans="3:42" x14ac:dyDescent="0.25"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</row>
    <row r="1239" spans="3:42" x14ac:dyDescent="0.25"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</row>
    <row r="1240" spans="3:42" x14ac:dyDescent="0.25"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</row>
    <row r="1241" spans="3:42" x14ac:dyDescent="0.25"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</row>
    <row r="1242" spans="3:42" x14ac:dyDescent="0.25"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</row>
    <row r="1243" spans="3:42" x14ac:dyDescent="0.25"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</row>
    <row r="1244" spans="3:42" x14ac:dyDescent="0.25"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</row>
    <row r="1245" spans="3:42" x14ac:dyDescent="0.25"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</row>
    <row r="1246" spans="3:42" x14ac:dyDescent="0.25"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</row>
    <row r="1247" spans="3:42" x14ac:dyDescent="0.25"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</row>
    <row r="1248" spans="3:42" x14ac:dyDescent="0.25"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</row>
    <row r="1249" spans="3:42" x14ac:dyDescent="0.25"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</row>
    <row r="1250" spans="3:42" x14ac:dyDescent="0.25"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</row>
  </sheetData>
  <pageMargins left="0.7" right="0.7" top="0.75" bottom="0.75" header="0.3" footer="0.3"/>
  <pageSetup paperSize="9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árok5">
    <tabColor rgb="FF00B050"/>
  </sheetPr>
  <dimension ref="A1:BN349"/>
  <sheetViews>
    <sheetView showGridLines="0" zoomScaleNormal="100" workbookViewId="0"/>
  </sheetViews>
  <sheetFormatPr defaultRowHeight="15" x14ac:dyDescent="0.25"/>
  <cols>
    <col min="1" max="1" width="24.28515625" customWidth="1"/>
    <col min="2" max="13" width="7.5703125" customWidth="1"/>
    <col min="14" max="14" width="8.5703125" customWidth="1"/>
    <col min="15" max="37" width="7.5703125" customWidth="1"/>
    <col min="38" max="38" width="8.42578125" bestFit="1" customWidth="1"/>
    <col min="39" max="42" width="7.5703125" customWidth="1"/>
    <col min="43" max="43" width="8.42578125" bestFit="1" customWidth="1"/>
    <col min="44" max="47" width="7.5703125" customWidth="1"/>
    <col min="48" max="48" width="8.85546875" bestFit="1" customWidth="1"/>
    <col min="49" max="49" width="7.5703125" customWidth="1"/>
    <col min="50" max="50" width="8.42578125" bestFit="1" customWidth="1"/>
    <col min="51" max="52" width="7.5703125" customWidth="1"/>
    <col min="53" max="53" width="8.28515625" bestFit="1" customWidth="1"/>
    <col min="54" max="54" width="7.5703125" customWidth="1"/>
    <col min="55" max="56" width="8.5703125" bestFit="1" customWidth="1"/>
    <col min="57" max="57" width="7.5703125" customWidth="1"/>
    <col min="58" max="58" width="8.85546875" bestFit="1" customWidth="1"/>
    <col min="59" max="61" width="7.5703125" customWidth="1"/>
    <col min="62" max="62" width="10" bestFit="1" customWidth="1"/>
    <col min="63" max="63" width="10.140625" bestFit="1" customWidth="1"/>
    <col min="64" max="64" width="9.5703125" bestFit="1" customWidth="1"/>
  </cols>
  <sheetData>
    <row r="1" spans="1:64" s="39" customFormat="1" ht="18.75" x14ac:dyDescent="0.3">
      <c r="A1" s="184" t="s">
        <v>1068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</row>
    <row r="2" spans="1:64" s="39" customFormat="1" ht="16.5" thickBot="1" x14ac:dyDescent="0.3">
      <c r="A2" s="176" t="s">
        <v>1069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176" t="s">
        <v>1070</v>
      </c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</row>
    <row r="3" spans="1:64" ht="15.75" thickBot="1" x14ac:dyDescent="0.3">
      <c r="A3" s="252" t="s">
        <v>680</v>
      </c>
      <c r="B3" s="253">
        <f>C3-1</f>
        <v>2012</v>
      </c>
      <c r="C3" s="254">
        <v>2013</v>
      </c>
      <c r="D3" s="69"/>
      <c r="E3" s="128"/>
      <c r="F3" s="128"/>
      <c r="G3" s="128"/>
      <c r="H3" s="128"/>
      <c r="I3" s="128"/>
      <c r="J3" s="128"/>
      <c r="K3" s="128"/>
      <c r="L3" s="128"/>
      <c r="M3" s="128"/>
      <c r="N3" s="255"/>
      <c r="O3" s="256">
        <f>$C$3+1</f>
        <v>2014</v>
      </c>
      <c r="P3" s="257">
        <f t="shared" ref="P3:BL3" si="0">O3+1</f>
        <v>2015</v>
      </c>
      <c r="Q3" s="257">
        <f t="shared" si="0"/>
        <v>2016</v>
      </c>
      <c r="R3" s="257">
        <f t="shared" si="0"/>
        <v>2017</v>
      </c>
      <c r="S3" s="257">
        <f t="shared" si="0"/>
        <v>2018</v>
      </c>
      <c r="T3" s="257">
        <f t="shared" si="0"/>
        <v>2019</v>
      </c>
      <c r="U3" s="257">
        <f t="shared" si="0"/>
        <v>2020</v>
      </c>
      <c r="V3" s="257">
        <f t="shared" si="0"/>
        <v>2021</v>
      </c>
      <c r="W3" s="257">
        <f t="shared" si="0"/>
        <v>2022</v>
      </c>
      <c r="X3" s="257">
        <f t="shared" si="0"/>
        <v>2023</v>
      </c>
      <c r="Y3" s="257">
        <f t="shared" si="0"/>
        <v>2024</v>
      </c>
      <c r="Z3" s="257">
        <f t="shared" si="0"/>
        <v>2025</v>
      </c>
      <c r="AA3" s="257">
        <f t="shared" si="0"/>
        <v>2026</v>
      </c>
      <c r="AB3" s="257">
        <f t="shared" si="0"/>
        <v>2027</v>
      </c>
      <c r="AC3" s="257">
        <f t="shared" si="0"/>
        <v>2028</v>
      </c>
      <c r="AD3" s="257">
        <f t="shared" si="0"/>
        <v>2029</v>
      </c>
      <c r="AE3" s="257">
        <f t="shared" si="0"/>
        <v>2030</v>
      </c>
      <c r="AF3" s="257">
        <f t="shared" si="0"/>
        <v>2031</v>
      </c>
      <c r="AG3" s="257">
        <f t="shared" si="0"/>
        <v>2032</v>
      </c>
      <c r="AH3" s="257">
        <f t="shared" si="0"/>
        <v>2033</v>
      </c>
      <c r="AI3" s="257">
        <f t="shared" si="0"/>
        <v>2034</v>
      </c>
      <c r="AJ3" s="257">
        <f t="shared" si="0"/>
        <v>2035</v>
      </c>
      <c r="AK3" s="257">
        <f t="shared" si="0"/>
        <v>2036</v>
      </c>
      <c r="AL3" s="257">
        <f t="shared" si="0"/>
        <v>2037</v>
      </c>
      <c r="AM3" s="257">
        <f t="shared" si="0"/>
        <v>2038</v>
      </c>
      <c r="AN3" s="257">
        <f t="shared" si="0"/>
        <v>2039</v>
      </c>
      <c r="AO3" s="257">
        <f t="shared" si="0"/>
        <v>2040</v>
      </c>
      <c r="AP3" s="257">
        <f t="shared" si="0"/>
        <v>2041</v>
      </c>
      <c r="AQ3" s="257">
        <f t="shared" si="0"/>
        <v>2042</v>
      </c>
      <c r="AR3" s="257">
        <f t="shared" si="0"/>
        <v>2043</v>
      </c>
      <c r="AS3" s="257">
        <f t="shared" si="0"/>
        <v>2044</v>
      </c>
      <c r="AT3" s="257">
        <f t="shared" si="0"/>
        <v>2045</v>
      </c>
      <c r="AU3" s="257">
        <f t="shared" si="0"/>
        <v>2046</v>
      </c>
      <c r="AV3" s="257">
        <f t="shared" si="0"/>
        <v>2047</v>
      </c>
      <c r="AW3" s="257">
        <f t="shared" si="0"/>
        <v>2048</v>
      </c>
      <c r="AX3" s="257">
        <f t="shared" si="0"/>
        <v>2049</v>
      </c>
      <c r="AY3" s="257">
        <f t="shared" si="0"/>
        <v>2050</v>
      </c>
      <c r="AZ3" s="257">
        <f t="shared" si="0"/>
        <v>2051</v>
      </c>
      <c r="BA3" s="257">
        <f t="shared" si="0"/>
        <v>2052</v>
      </c>
      <c r="BB3" s="257">
        <f t="shared" si="0"/>
        <v>2053</v>
      </c>
      <c r="BC3" s="257">
        <f t="shared" si="0"/>
        <v>2054</v>
      </c>
      <c r="BD3" s="257">
        <f t="shared" si="0"/>
        <v>2055</v>
      </c>
      <c r="BE3" s="257">
        <f t="shared" si="0"/>
        <v>2056</v>
      </c>
      <c r="BF3" s="257">
        <f t="shared" si="0"/>
        <v>2057</v>
      </c>
      <c r="BG3" s="257">
        <f t="shared" si="0"/>
        <v>2058</v>
      </c>
      <c r="BH3" s="257">
        <f t="shared" si="0"/>
        <v>2059</v>
      </c>
      <c r="BI3" s="257">
        <f t="shared" si="0"/>
        <v>2060</v>
      </c>
      <c r="BJ3" s="257">
        <f t="shared" si="0"/>
        <v>2061</v>
      </c>
      <c r="BK3" s="257">
        <f t="shared" si="0"/>
        <v>2062</v>
      </c>
      <c r="BL3" s="258">
        <f t="shared" si="0"/>
        <v>2063</v>
      </c>
    </row>
    <row r="4" spans="1:64" ht="15.75" thickBot="1" x14ac:dyDescent="0.3">
      <c r="A4" s="259" t="s">
        <v>681</v>
      </c>
      <c r="B4" s="260">
        <v>37438.711000000003</v>
      </c>
      <c r="C4" s="261">
        <v>39975.175999999999</v>
      </c>
      <c r="D4" s="69"/>
      <c r="E4" s="128"/>
      <c r="F4" s="128"/>
      <c r="G4" s="128"/>
      <c r="H4" s="128"/>
      <c r="I4" s="128"/>
      <c r="J4" s="128"/>
      <c r="K4" s="128"/>
      <c r="L4" s="128"/>
      <c r="M4" s="128"/>
      <c r="N4" s="262" t="s">
        <v>654</v>
      </c>
      <c r="O4" s="263">
        <v>2216.4084670444463</v>
      </c>
      <c r="P4" s="263">
        <v>2788.1158930072243</v>
      </c>
      <c r="Q4" s="263">
        <v>2752.0926755259588</v>
      </c>
      <c r="R4" s="263">
        <v>3106.0031833040316</v>
      </c>
      <c r="S4" s="263">
        <v>3342.9046968100638</v>
      </c>
      <c r="T4" s="263">
        <v>3737.4721063118395</v>
      </c>
      <c r="U4" s="263">
        <v>4091.4669291885834</v>
      </c>
      <c r="V4" s="263">
        <v>4451.8205531082476</v>
      </c>
      <c r="W4" s="263">
        <v>4801.3168183811631</v>
      </c>
      <c r="X4" s="263">
        <v>5190.8458044683393</v>
      </c>
      <c r="Y4" s="263">
        <v>5636.7480063444982</v>
      </c>
      <c r="Z4" s="263">
        <v>6230.7574885003014</v>
      </c>
      <c r="AA4" s="263">
        <v>6775.3820152529133</v>
      </c>
      <c r="AB4" s="263">
        <v>7367.5742684965071</v>
      </c>
      <c r="AC4" s="263">
        <v>7961.5494266127207</v>
      </c>
      <c r="AD4" s="263">
        <v>8432.2488124737356</v>
      </c>
      <c r="AE4" s="263">
        <v>8927.0377927484496</v>
      </c>
      <c r="AF4" s="263">
        <v>9500.4819988917152</v>
      </c>
      <c r="AG4" s="263">
        <v>10148.610164011854</v>
      </c>
      <c r="AH4" s="263">
        <v>10749.772922372176</v>
      </c>
      <c r="AI4" s="263">
        <v>11387.768431163766</v>
      </c>
      <c r="AJ4" s="263">
        <v>12078.336240371144</v>
      </c>
      <c r="AK4" s="263">
        <v>12960.061307712775</v>
      </c>
      <c r="AL4" s="263">
        <v>13615.901647905705</v>
      </c>
      <c r="AM4" s="263">
        <v>14520.462487968587</v>
      </c>
      <c r="AN4" s="263">
        <v>15451.874376906122</v>
      </c>
      <c r="AO4" s="263">
        <v>16510.144266069754</v>
      </c>
      <c r="AP4" s="263">
        <v>17524.170785307928</v>
      </c>
      <c r="AQ4" s="263">
        <v>18744.26603282533</v>
      </c>
      <c r="AR4" s="263">
        <v>20109.587665972493</v>
      </c>
      <c r="AS4" s="263">
        <v>21482.185256002806</v>
      </c>
      <c r="AT4" s="263">
        <v>22719.466860870383</v>
      </c>
      <c r="AU4" s="263">
        <v>24103.213858473027</v>
      </c>
      <c r="AV4" s="263">
        <v>25908.464405861429</v>
      </c>
      <c r="AW4" s="263">
        <v>27710.323173664707</v>
      </c>
      <c r="AX4" s="263">
        <v>29628.888154099623</v>
      </c>
      <c r="AY4" s="263">
        <v>31779.911997391657</v>
      </c>
      <c r="AZ4" s="263">
        <v>34121.156474549571</v>
      </c>
      <c r="BA4" s="263">
        <v>36517.456737946348</v>
      </c>
      <c r="BB4" s="263">
        <v>38815.391112175086</v>
      </c>
      <c r="BC4" s="263">
        <v>41595.668048074556</v>
      </c>
      <c r="BD4" s="263">
        <v>44612.693617323981</v>
      </c>
      <c r="BE4" s="263">
        <v>47849.911672583497</v>
      </c>
      <c r="BF4" s="263">
        <v>50969.047358326708</v>
      </c>
      <c r="BG4" s="263">
        <v>54452.287290157561</v>
      </c>
      <c r="BH4" s="263">
        <v>57983.754131558402</v>
      </c>
      <c r="BI4" s="263">
        <v>61777.898622046428</v>
      </c>
      <c r="BJ4" s="263">
        <v>65225.659509074881</v>
      </c>
      <c r="BK4" s="263">
        <v>68756.114213601206</v>
      </c>
      <c r="BL4" s="264">
        <v>72572.709374934289</v>
      </c>
    </row>
    <row r="5" spans="1:64" x14ac:dyDescent="0.25">
      <c r="A5" s="128"/>
      <c r="B5" s="237"/>
      <c r="C5" s="237"/>
      <c r="D5" s="237"/>
      <c r="E5" s="128"/>
      <c r="F5" s="128"/>
      <c r="G5" s="128"/>
      <c r="H5" s="128"/>
      <c r="I5" s="128"/>
      <c r="J5" s="128"/>
      <c r="K5" s="128"/>
      <c r="L5" s="128"/>
      <c r="M5" s="128"/>
      <c r="N5" s="265" t="s">
        <v>684</v>
      </c>
      <c r="O5" s="237">
        <f>-(vystup_ZS2013!D3-vystup_ZS2013!D15)/1000</f>
        <v>920.84248464095594</v>
      </c>
      <c r="P5" s="237">
        <f>-(vystup_ZS2013!E3-vystup_ZS2013!E15)/1000</f>
        <v>1467.4993311154806</v>
      </c>
      <c r="Q5" s="237">
        <f>-(vystup_ZS2013!F3-vystup_ZS2013!F15)/1000</f>
        <v>1374.5505299723745</v>
      </c>
      <c r="R5" s="237">
        <f>-(vystup_ZS2013!G3-vystup_ZS2013!G15)/1000</f>
        <v>1625.1784323692621</v>
      </c>
      <c r="S5" s="237">
        <f>-(vystup_ZS2013!H3-vystup_ZS2013!H15)/1000</f>
        <v>1745.8365838627033</v>
      </c>
      <c r="T5" s="237">
        <f>-(vystup_ZS2013!I3-vystup_ZS2013!I15)/1000</f>
        <v>1814.7170739972032</v>
      </c>
      <c r="U5" s="237">
        <f>-(vystup_ZS2013!J3-vystup_ZS2013!J15)/1000</f>
        <v>1938.5043841245845</v>
      </c>
      <c r="V5" s="237">
        <f>-(vystup_ZS2013!K3-vystup_ZS2013!K15)/1000</f>
        <v>2053.2170527915359</v>
      </c>
      <c r="W5" s="237">
        <f>-(vystup_ZS2013!L3-vystup_ZS2013!L15)/1000</f>
        <v>2137.6471976924836</v>
      </c>
      <c r="X5" s="237">
        <f>-(vystup_ZS2013!M3-vystup_ZS2013!M15)/1000</f>
        <v>2238.4245734589549</v>
      </c>
      <c r="Y5" s="237">
        <f>-(vystup_ZS2013!N3-vystup_ZS2013!N15)/1000</f>
        <v>2387.5145380940289</v>
      </c>
      <c r="Z5" s="237">
        <f>-(vystup_ZS2013!O3-vystup_ZS2013!O15)/1000</f>
        <v>2492.1295134477391</v>
      </c>
      <c r="AA5" s="237">
        <f>-(vystup_ZS2013!P3-vystup_ZS2013!P15)/1000</f>
        <v>2634.6363353715838</v>
      </c>
      <c r="AB5" s="237">
        <f>-(vystup_ZS2013!Q3-vystup_ZS2013!Q15)/1000</f>
        <v>2792.8529519185722</v>
      </c>
      <c r="AC5" s="237">
        <f>-(vystup_ZS2013!R3-vystup_ZS2013!R15)/1000</f>
        <v>2978.2616376254632</v>
      </c>
      <c r="AD5" s="237">
        <f>-(vystup_ZS2013!S3-vystup_ZS2013!S15)/1000</f>
        <v>3039.6068556646183</v>
      </c>
      <c r="AE5" s="237">
        <f>-(vystup_ZS2013!T3-vystup_ZS2013!T15)/1000</f>
        <v>3114.420521310471</v>
      </c>
      <c r="AF5" s="237">
        <f>-(vystup_ZS2013!U3-vystup_ZS2013!U15)/1000</f>
        <v>3249.9296318183915</v>
      </c>
      <c r="AG5" s="237">
        <f>-(vystup_ZS2013!V3-vystup_ZS2013!V15)/1000</f>
        <v>3432.0042719862163</v>
      </c>
      <c r="AH5" s="237">
        <f>-(vystup_ZS2013!W3-vystup_ZS2013!W15)/1000</f>
        <v>3534.8350206923187</v>
      </c>
      <c r="AI5" s="237">
        <f>-(vystup_ZS2013!X3-vystup_ZS2013!X15)/1000</f>
        <v>3643.1631592796593</v>
      </c>
      <c r="AJ5" s="237">
        <f>-(vystup_ZS2013!Y3-vystup_ZS2013!Y15)/1000</f>
        <v>3843.256821525134</v>
      </c>
      <c r="AK5" s="237">
        <f>-(vystup_ZS2013!Z3-vystup_ZS2013!Z15)/1000</f>
        <v>4048.1260491633266</v>
      </c>
      <c r="AL5" s="237">
        <f>-(vystup_ZS2013!AA3-vystup_ZS2013!AA15)/1000</f>
        <v>4098.5424365684466</v>
      </c>
      <c r="AM5" s="237">
        <f>-(vystup_ZS2013!AB3-vystup_ZS2013!AB15)/1000</f>
        <v>4311.8401110330369</v>
      </c>
      <c r="AN5" s="237">
        <f>-(vystup_ZS2013!AC3-vystup_ZS2013!AC15)/1000</f>
        <v>4539.2020064792778</v>
      </c>
      <c r="AO5" s="237">
        <f>-(vystup_ZS2013!AD3-vystup_ZS2013!AD15)/1000</f>
        <v>4837.8908961658035</v>
      </c>
      <c r="AP5" s="237">
        <f>-(vystup_ZS2013!AE3-vystup_ZS2013!AE15)/1000</f>
        <v>5038.817127948746</v>
      </c>
      <c r="AQ5" s="237">
        <f>-(vystup_ZS2013!AF3-vystup_ZS2013!AF15)/1000</f>
        <v>5399.4415236360283</v>
      </c>
      <c r="AR5" s="237">
        <f>-(vystup_ZS2013!AG3-vystup_ZS2013!AG15)/1000</f>
        <v>5847.0635963774175</v>
      </c>
      <c r="AS5" s="237">
        <f>-(vystup_ZS2013!AH3-vystup_ZS2013!AH15)/1000</f>
        <v>6233.5447900777908</v>
      </c>
      <c r="AT5" s="237">
        <f>-(vystup_ZS2013!AI3-vystup_ZS2013!AI15)/1000</f>
        <v>6418.8378114674088</v>
      </c>
      <c r="AU5" s="237">
        <f>-(vystup_ZS2013!AJ3-vystup_ZS2013!AJ15)/1000</f>
        <v>6756.6054186873589</v>
      </c>
      <c r="AV5" s="237">
        <f>-(vystup_ZS2013!AK3-vystup_ZS2013!AK15)/1000</f>
        <v>7289.4434998914749</v>
      </c>
      <c r="AW5" s="237">
        <f>-(vystup_ZS2013!AL3-vystup_ZS2013!AL15)/1000</f>
        <v>7852.4919189760085</v>
      </c>
      <c r="AX5" s="237">
        <f>-(vystup_ZS2013!AM3-vystup_ZS2013!AM15)/1000</f>
        <v>8399.9650450374029</v>
      </c>
      <c r="AY5" s="237">
        <f>-(vystup_ZS2013!AN3-vystup_ZS2013!AN15)/1000</f>
        <v>9106.1051386085746</v>
      </c>
      <c r="AZ5" s="237">
        <f>-(vystup_ZS2013!AO3-vystup_ZS2013!AO15)/1000</f>
        <v>9891.6521308163701</v>
      </c>
      <c r="BA5" s="237">
        <f>-(vystup_ZS2013!AP3-vystup_ZS2013!AP15)/1000</f>
        <v>10613.320392257958</v>
      </c>
      <c r="BB5" s="237">
        <f>-(vystup_ZS2013!AQ3-vystup_ZS2013!AQ15)/1000</f>
        <v>11131.279319289983</v>
      </c>
      <c r="BC5" s="237">
        <f>-(vystup_ZS2013!AR3-vystup_ZS2013!AR15)/1000</f>
        <v>12005.750922396242</v>
      </c>
      <c r="BD5" s="237">
        <f>-(vystup_ZS2013!AS3-vystup_ZS2013!AS15)/1000</f>
        <v>12980.737811633006</v>
      </c>
      <c r="BE5" s="237">
        <f>-(vystup_ZS2013!AT3-vystup_ZS2013!AT15)/1000</f>
        <v>14031.469820912511</v>
      </c>
      <c r="BF5" s="237">
        <f>-(vystup_ZS2013!AU3-vystup_ZS2013!AU15)/1000</f>
        <v>14888.345257136732</v>
      </c>
      <c r="BG5" s="237">
        <f>-(vystup_ZS2013!AV3-vystup_ZS2013!AV15)/1000</f>
        <v>15783.261195991308</v>
      </c>
      <c r="BH5" s="237">
        <f>-(vystup_ZS2013!AW3-vystup_ZS2013!AW15)/1000</f>
        <v>16674.698736679882</v>
      </c>
      <c r="BI5" s="237">
        <f>-(vystup_ZS2013!AX3-vystup_ZS2013!AX15)/1000</f>
        <v>17610.183846739888</v>
      </c>
      <c r="BJ5" s="237">
        <f>-(vystup_ZS2013!AY3-vystup_ZS2013!AY15)/1000</f>
        <v>18041.021641745923</v>
      </c>
      <c r="BK5" s="237">
        <f>-(vystup_ZS2013!AZ3-vystup_ZS2013!AZ15)/1000</f>
        <v>18358.43501176521</v>
      </c>
      <c r="BL5" s="266">
        <f>-(vystup_ZS2013!BA3-vystup_ZS2013!BA15)/1000</f>
        <v>18778.228536867111</v>
      </c>
    </row>
    <row r="6" spans="1:64" x14ac:dyDescent="0.25">
      <c r="A6" s="128"/>
      <c r="B6" s="237"/>
      <c r="C6" s="237"/>
      <c r="D6" s="237"/>
      <c r="E6" s="128"/>
      <c r="F6" s="128"/>
      <c r="G6" s="128"/>
      <c r="H6" s="128"/>
      <c r="I6" s="128"/>
      <c r="J6" s="128"/>
      <c r="K6" s="128"/>
      <c r="L6" s="128"/>
      <c r="M6" s="128"/>
      <c r="N6" s="265" t="s">
        <v>683</v>
      </c>
      <c r="O6" s="237">
        <f>N14</f>
        <v>1413.3570068050039</v>
      </c>
      <c r="P6" s="237">
        <f t="shared" ref="P6:AT6" ca="1" si="1">O14</f>
        <v>1438.2319833565184</v>
      </c>
      <c r="Q6" s="237">
        <f t="shared" ca="1" si="1"/>
        <v>1494.9819640816208</v>
      </c>
      <c r="R6" s="237">
        <f t="shared" ca="1" si="1"/>
        <v>1598.0889665260645</v>
      </c>
      <c r="S6" s="237">
        <f t="shared" ca="1" si="1"/>
        <v>1738.6836198952392</v>
      </c>
      <c r="T6" s="237">
        <f t="shared" si="1"/>
        <v>1922.7548309813255</v>
      </c>
      <c r="U6" s="237">
        <f t="shared" si="1"/>
        <v>2152.9622609271373</v>
      </c>
      <c r="V6" s="237">
        <f t="shared" si="1"/>
        <v>2398.6031644561463</v>
      </c>
      <c r="W6" s="237">
        <f t="shared" si="1"/>
        <v>2663.6692507151993</v>
      </c>
      <c r="X6" s="237">
        <f t="shared" si="1"/>
        <v>2952.4208240960302</v>
      </c>
      <c r="Y6" s="237">
        <f t="shared" si="1"/>
        <v>3249.2330134824233</v>
      </c>
      <c r="Z6" s="237">
        <f t="shared" si="1"/>
        <v>3738.6274547046983</v>
      </c>
      <c r="AA6" s="237">
        <f t="shared" si="1"/>
        <v>4140.7450651353474</v>
      </c>
      <c r="AB6" s="237">
        <f t="shared" si="1"/>
        <v>4574.7205809069437</v>
      </c>
      <c r="AC6" s="237">
        <f t="shared" si="1"/>
        <v>4983.2868875590348</v>
      </c>
      <c r="AD6" s="237">
        <f t="shared" si="1"/>
        <v>5392.6408330701506</v>
      </c>
      <c r="AE6" s="237">
        <f t="shared" si="1"/>
        <v>5812.6158887515803</v>
      </c>
      <c r="AF6" s="237">
        <f t="shared" si="1"/>
        <v>6250.5507128649324</v>
      </c>
      <c r="AG6" s="237">
        <f t="shared" si="1"/>
        <v>6716.6039139522118</v>
      </c>
      <c r="AH6" s="237">
        <f t="shared" si="1"/>
        <v>7214.9355430202177</v>
      </c>
      <c r="AI6" s="237">
        <f t="shared" si="1"/>
        <v>7744.6024887133462</v>
      </c>
      <c r="AJ6" s="237">
        <f t="shared" si="1"/>
        <v>8235.0761903338862</v>
      </c>
      <c r="AK6" s="237">
        <f t="shared" si="1"/>
        <v>8911.9315750202786</v>
      </c>
      <c r="AL6" s="237">
        <f t="shared" si="1"/>
        <v>9517.3550698204835</v>
      </c>
      <c r="AM6" s="237">
        <f t="shared" si="1"/>
        <v>10208.617777923995</v>
      </c>
      <c r="AN6" s="237">
        <f t="shared" si="1"/>
        <v>10912.66732098351</v>
      </c>
      <c r="AO6" s="237">
        <f t="shared" si="1"/>
        <v>11672.24789012134</v>
      </c>
      <c r="AP6" s="237">
        <f t="shared" si="1"/>
        <v>12485.347790127395</v>
      </c>
      <c r="AQ6" s="237">
        <f t="shared" si="1"/>
        <v>13344.818303876975</v>
      </c>
      <c r="AR6" s="237">
        <f t="shared" si="1"/>
        <v>14262.517578204533</v>
      </c>
      <c r="AS6" s="237">
        <f t="shared" si="1"/>
        <v>15248.633747378593</v>
      </c>
      <c r="AT6" s="237">
        <f t="shared" si="1"/>
        <v>16300.622164362467</v>
      </c>
      <c r="AU6" s="237">
        <f t="shared" ref="AU6:BL6" si="2">AT14</f>
        <v>17346.60145885935</v>
      </c>
      <c r="AV6" s="237">
        <f t="shared" si="2"/>
        <v>18619.013900240694</v>
      </c>
      <c r="AW6" s="237">
        <f t="shared" si="2"/>
        <v>19857.824283618975</v>
      </c>
      <c r="AX6" s="237">
        <f t="shared" si="2"/>
        <v>21228.916215825524</v>
      </c>
      <c r="AY6" s="237">
        <f t="shared" si="2"/>
        <v>22673.800085688876</v>
      </c>
      <c r="AZ6" s="237">
        <f t="shared" si="2"/>
        <v>24229.497729434141</v>
      </c>
      <c r="BA6" s="237">
        <f t="shared" si="2"/>
        <v>25904.12991451818</v>
      </c>
      <c r="BB6" s="237">
        <f t="shared" si="2"/>
        <v>27684.105556132192</v>
      </c>
      <c r="BC6" s="237">
        <f t="shared" si="2"/>
        <v>29589.9110714577</v>
      </c>
      <c r="BD6" s="237">
        <f t="shared" si="2"/>
        <v>31631.949908815248</v>
      </c>
      <c r="BE6" s="237">
        <f t="shared" si="2"/>
        <v>33818.436073294884</v>
      </c>
      <c r="BF6" s="237">
        <f t="shared" si="2"/>
        <v>36080.696381654299</v>
      </c>
      <c r="BG6" s="237">
        <f t="shared" si="2"/>
        <v>38669.020358688329</v>
      </c>
      <c r="BH6" s="237">
        <f t="shared" si="2"/>
        <v>41309.049556616141</v>
      </c>
      <c r="BI6" s="237">
        <f t="shared" si="2"/>
        <v>44167.708722746596</v>
      </c>
      <c r="BJ6" s="237">
        <f t="shared" si="2"/>
        <v>47184.631630727992</v>
      </c>
      <c r="BK6" s="237">
        <f t="shared" si="2"/>
        <v>50397.67277559785</v>
      </c>
      <c r="BL6" s="266">
        <f t="shared" si="2"/>
        <v>53794.474216425515</v>
      </c>
    </row>
    <row r="7" spans="1:64" ht="15.75" thickBot="1" x14ac:dyDescent="0.3">
      <c r="A7" s="128"/>
      <c r="B7" s="237"/>
      <c r="C7" s="237"/>
      <c r="D7" s="237"/>
      <c r="E7" s="128"/>
      <c r="F7" s="128"/>
      <c r="G7" s="128"/>
      <c r="H7" s="128"/>
      <c r="I7" s="128"/>
      <c r="J7" s="128"/>
      <c r="K7" s="128"/>
      <c r="L7" s="128"/>
      <c r="M7" s="128"/>
      <c r="N7" s="267" t="s">
        <v>682</v>
      </c>
      <c r="O7" s="268">
        <f>-465.2/4</f>
        <v>-116.3</v>
      </c>
      <c r="P7" s="268">
        <f t="shared" ref="P7:R7" si="3">-465.2/4</f>
        <v>-116.3</v>
      </c>
      <c r="Q7" s="268">
        <f t="shared" si="3"/>
        <v>-116.3</v>
      </c>
      <c r="R7" s="268">
        <f t="shared" si="3"/>
        <v>-116.3</v>
      </c>
      <c r="S7" s="268">
        <v>0</v>
      </c>
      <c r="T7" s="268">
        <v>0</v>
      </c>
      <c r="U7" s="268">
        <v>0</v>
      </c>
      <c r="V7" s="268">
        <v>0</v>
      </c>
      <c r="W7" s="268">
        <v>0</v>
      </c>
      <c r="X7" s="268">
        <v>0</v>
      </c>
      <c r="Y7" s="268">
        <v>0</v>
      </c>
      <c r="Z7" s="268">
        <v>0</v>
      </c>
      <c r="AA7" s="268">
        <v>0</v>
      </c>
      <c r="AB7" s="268">
        <v>0</v>
      </c>
      <c r="AC7" s="268">
        <v>0</v>
      </c>
      <c r="AD7" s="268">
        <v>0</v>
      </c>
      <c r="AE7" s="268">
        <v>0</v>
      </c>
      <c r="AF7" s="268">
        <v>0</v>
      </c>
      <c r="AG7" s="268">
        <v>0</v>
      </c>
      <c r="AH7" s="268">
        <v>0</v>
      </c>
      <c r="AI7" s="268">
        <v>0</v>
      </c>
      <c r="AJ7" s="268">
        <v>0</v>
      </c>
      <c r="AK7" s="268">
        <v>0</v>
      </c>
      <c r="AL7" s="268">
        <v>0</v>
      </c>
      <c r="AM7" s="268">
        <v>0</v>
      </c>
      <c r="AN7" s="268">
        <v>0</v>
      </c>
      <c r="AO7" s="268">
        <v>0</v>
      </c>
      <c r="AP7" s="268">
        <v>0</v>
      </c>
      <c r="AQ7" s="268">
        <v>0</v>
      </c>
      <c r="AR7" s="268">
        <v>0</v>
      </c>
      <c r="AS7" s="268">
        <v>0</v>
      </c>
      <c r="AT7" s="268">
        <v>0</v>
      </c>
      <c r="AU7" s="268">
        <v>0</v>
      </c>
      <c r="AV7" s="268">
        <v>0</v>
      </c>
      <c r="AW7" s="268">
        <v>0</v>
      </c>
      <c r="AX7" s="268">
        <v>0</v>
      </c>
      <c r="AY7" s="268">
        <v>0</v>
      </c>
      <c r="AZ7" s="268">
        <v>0</v>
      </c>
      <c r="BA7" s="268">
        <v>0</v>
      </c>
      <c r="BB7" s="268">
        <v>0</v>
      </c>
      <c r="BC7" s="268">
        <v>0</v>
      </c>
      <c r="BD7" s="268">
        <v>0</v>
      </c>
      <c r="BE7" s="268">
        <v>0</v>
      </c>
      <c r="BF7" s="268">
        <v>0</v>
      </c>
      <c r="BG7" s="268">
        <v>0</v>
      </c>
      <c r="BH7" s="268">
        <v>0</v>
      </c>
      <c r="BI7" s="268">
        <v>0</v>
      </c>
      <c r="BJ7" s="268">
        <v>0</v>
      </c>
      <c r="BK7" s="268">
        <v>0</v>
      </c>
      <c r="BL7" s="260">
        <v>0</v>
      </c>
    </row>
    <row r="8" spans="1:64" x14ac:dyDescent="0.25">
      <c r="A8" s="128"/>
      <c r="B8" s="269"/>
      <c r="C8" s="269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/>
      <c r="O8" s="270"/>
      <c r="P8" s="270"/>
      <c r="Q8" s="270"/>
      <c r="R8" s="270"/>
      <c r="S8" s="270"/>
      <c r="T8" s="270"/>
      <c r="U8" s="270"/>
      <c r="V8" s="270"/>
      <c r="W8" s="270"/>
      <c r="X8" s="270"/>
      <c r="Y8" s="270"/>
      <c r="Z8" s="270"/>
      <c r="AA8" s="270"/>
      <c r="AB8" s="270"/>
      <c r="AC8" s="270"/>
      <c r="AD8" s="270"/>
      <c r="AE8" s="270"/>
      <c r="AF8" s="270"/>
      <c r="AG8" s="270"/>
      <c r="AH8" s="270"/>
      <c r="AI8" s="270"/>
      <c r="AJ8" s="270"/>
      <c r="AK8" s="270"/>
      <c r="AL8" s="270"/>
      <c r="AM8" s="270"/>
      <c r="AN8" s="270"/>
      <c r="AO8" s="270"/>
      <c r="AP8" s="270"/>
      <c r="AQ8" s="270"/>
      <c r="AR8" s="270"/>
      <c r="AS8" s="270"/>
      <c r="AT8" s="270"/>
      <c r="AU8" s="270"/>
      <c r="AV8" s="270"/>
      <c r="AW8" s="270"/>
      <c r="AX8" s="270"/>
      <c r="AY8" s="270"/>
      <c r="AZ8" s="270"/>
      <c r="BA8" s="270"/>
      <c r="BB8" s="270"/>
      <c r="BC8" s="270"/>
      <c r="BD8" s="270"/>
      <c r="BE8" s="270"/>
      <c r="BF8" s="270"/>
      <c r="BG8" s="270"/>
      <c r="BH8" s="270"/>
      <c r="BI8" s="270"/>
      <c r="BJ8" s="270"/>
      <c r="BK8" s="270"/>
      <c r="BL8" s="270"/>
    </row>
    <row r="9" spans="1:64" ht="16.5" thickBot="1" x14ac:dyDescent="0.3">
      <c r="A9" s="178" t="s">
        <v>1072</v>
      </c>
      <c r="B9" s="177"/>
      <c r="C9" s="177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/>
      <c r="BG9" s="67"/>
      <c r="BH9" s="67"/>
      <c r="BI9" s="67"/>
      <c r="BJ9" s="67"/>
      <c r="BK9" s="67"/>
      <c r="BL9" s="67"/>
    </row>
    <row r="10" spans="1:64" ht="15.75" thickBot="1" x14ac:dyDescent="0.3">
      <c r="A10" s="271"/>
      <c r="B10" s="272"/>
      <c r="C10" s="273">
        <f t="shared" ref="C10:L10" si="4">D10-1</f>
        <v>2002</v>
      </c>
      <c r="D10" s="273">
        <f t="shared" si="4"/>
        <v>2003</v>
      </c>
      <c r="E10" s="273">
        <f t="shared" si="4"/>
        <v>2004</v>
      </c>
      <c r="F10" s="273">
        <f t="shared" si="4"/>
        <v>2005</v>
      </c>
      <c r="G10" s="273">
        <f t="shared" si="4"/>
        <v>2006</v>
      </c>
      <c r="H10" s="273">
        <f t="shared" si="4"/>
        <v>2007</v>
      </c>
      <c r="I10" s="273">
        <f t="shared" si="4"/>
        <v>2008</v>
      </c>
      <c r="J10" s="273">
        <f t="shared" si="4"/>
        <v>2009</v>
      </c>
      <c r="K10" s="273">
        <f t="shared" si="4"/>
        <v>2010</v>
      </c>
      <c r="L10" s="273">
        <f t="shared" si="4"/>
        <v>2011</v>
      </c>
      <c r="M10" s="274">
        <f>N10-1</f>
        <v>2012</v>
      </c>
      <c r="N10" s="275">
        <f>$C$3</f>
        <v>2013</v>
      </c>
      <c r="O10" s="255">
        <f>N10+1</f>
        <v>2014</v>
      </c>
      <c r="P10" s="273">
        <f>O10+1</f>
        <v>2015</v>
      </c>
      <c r="Q10" s="273">
        <f t="shared" ref="Q10:AO10" si="5">P10+1</f>
        <v>2016</v>
      </c>
      <c r="R10" s="273">
        <f t="shared" si="5"/>
        <v>2017</v>
      </c>
      <c r="S10" s="273">
        <f t="shared" si="5"/>
        <v>2018</v>
      </c>
      <c r="T10" s="273">
        <f t="shared" si="5"/>
        <v>2019</v>
      </c>
      <c r="U10" s="273">
        <f t="shared" si="5"/>
        <v>2020</v>
      </c>
      <c r="V10" s="273">
        <f t="shared" si="5"/>
        <v>2021</v>
      </c>
      <c r="W10" s="273">
        <f t="shared" si="5"/>
        <v>2022</v>
      </c>
      <c r="X10" s="273">
        <f t="shared" si="5"/>
        <v>2023</v>
      </c>
      <c r="Y10" s="273">
        <f t="shared" si="5"/>
        <v>2024</v>
      </c>
      <c r="Z10" s="273">
        <f t="shared" si="5"/>
        <v>2025</v>
      </c>
      <c r="AA10" s="273">
        <f t="shared" si="5"/>
        <v>2026</v>
      </c>
      <c r="AB10" s="273">
        <f t="shared" si="5"/>
        <v>2027</v>
      </c>
      <c r="AC10" s="273">
        <f t="shared" si="5"/>
        <v>2028</v>
      </c>
      <c r="AD10" s="273">
        <f t="shared" si="5"/>
        <v>2029</v>
      </c>
      <c r="AE10" s="273">
        <f t="shared" si="5"/>
        <v>2030</v>
      </c>
      <c r="AF10" s="273">
        <f t="shared" si="5"/>
        <v>2031</v>
      </c>
      <c r="AG10" s="273">
        <f t="shared" si="5"/>
        <v>2032</v>
      </c>
      <c r="AH10" s="273">
        <f t="shared" si="5"/>
        <v>2033</v>
      </c>
      <c r="AI10" s="273">
        <f t="shared" si="5"/>
        <v>2034</v>
      </c>
      <c r="AJ10" s="273">
        <f t="shared" si="5"/>
        <v>2035</v>
      </c>
      <c r="AK10" s="273">
        <f t="shared" si="5"/>
        <v>2036</v>
      </c>
      <c r="AL10" s="273">
        <f t="shared" si="5"/>
        <v>2037</v>
      </c>
      <c r="AM10" s="273">
        <f t="shared" si="5"/>
        <v>2038</v>
      </c>
      <c r="AN10" s="273">
        <f t="shared" si="5"/>
        <v>2039</v>
      </c>
      <c r="AO10" s="273">
        <f t="shared" si="5"/>
        <v>2040</v>
      </c>
      <c r="AP10" s="273">
        <f t="shared" ref="AP10" si="6">AO10+1</f>
        <v>2041</v>
      </c>
      <c r="AQ10" s="273">
        <f t="shared" ref="AQ10" si="7">AP10+1</f>
        <v>2042</v>
      </c>
      <c r="AR10" s="273">
        <f t="shared" ref="AR10" si="8">AQ10+1</f>
        <v>2043</v>
      </c>
      <c r="AS10" s="273">
        <f t="shared" ref="AS10" si="9">AR10+1</f>
        <v>2044</v>
      </c>
      <c r="AT10" s="273">
        <f t="shared" ref="AT10" si="10">AS10+1</f>
        <v>2045</v>
      </c>
      <c r="AU10" s="273">
        <f t="shared" ref="AU10" si="11">AT10+1</f>
        <v>2046</v>
      </c>
      <c r="AV10" s="273">
        <f t="shared" ref="AV10" si="12">AU10+1</f>
        <v>2047</v>
      </c>
      <c r="AW10" s="273">
        <f t="shared" ref="AW10" si="13">AV10+1</f>
        <v>2048</v>
      </c>
      <c r="AX10" s="273">
        <f t="shared" ref="AX10" si="14">AW10+1</f>
        <v>2049</v>
      </c>
      <c r="AY10" s="273">
        <f t="shared" ref="AY10" si="15">AX10+1</f>
        <v>2050</v>
      </c>
      <c r="AZ10" s="273">
        <f t="shared" ref="AZ10" si="16">AY10+1</f>
        <v>2051</v>
      </c>
      <c r="BA10" s="273">
        <f t="shared" ref="BA10" si="17">AZ10+1</f>
        <v>2052</v>
      </c>
      <c r="BB10" s="273">
        <f t="shared" ref="BB10" si="18">BA10+1</f>
        <v>2053</v>
      </c>
      <c r="BC10" s="273">
        <f t="shared" ref="BC10" si="19">BB10+1</f>
        <v>2054</v>
      </c>
      <c r="BD10" s="273">
        <f t="shared" ref="BD10" si="20">BC10+1</f>
        <v>2055</v>
      </c>
      <c r="BE10" s="273">
        <f t="shared" ref="BE10" si="21">BD10+1</f>
        <v>2056</v>
      </c>
      <c r="BF10" s="273">
        <f t="shared" ref="BF10" si="22">BE10+1</f>
        <v>2057</v>
      </c>
      <c r="BG10" s="273">
        <f t="shared" ref="BG10" si="23">BF10+1</f>
        <v>2058</v>
      </c>
      <c r="BH10" s="273">
        <f t="shared" ref="BH10" si="24">BG10+1</f>
        <v>2059</v>
      </c>
      <c r="BI10" s="273">
        <f t="shared" ref="BI10" si="25">BH10+1</f>
        <v>2060</v>
      </c>
      <c r="BJ10" s="273">
        <f t="shared" ref="BJ10" si="26">BI10+1</f>
        <v>2061</v>
      </c>
      <c r="BK10" s="273">
        <f t="shared" ref="BK10" si="27">BJ10+1</f>
        <v>2062</v>
      </c>
      <c r="BL10" s="274">
        <f t="shared" ref="BL10" si="28">BK10+1</f>
        <v>2063</v>
      </c>
    </row>
    <row r="11" spans="1:64" ht="15.75" thickBot="1" x14ac:dyDescent="0.3">
      <c r="A11" s="259" t="s">
        <v>1066</v>
      </c>
      <c r="B11" s="276"/>
      <c r="C11" s="277">
        <v>3.7503804990897317E-2</v>
      </c>
      <c r="D11" s="277">
        <f>C11</f>
        <v>3.7503804990897317E-2</v>
      </c>
      <c r="E11" s="277">
        <f t="shared" ref="E11:L11" si="29">D11</f>
        <v>3.7503804990897317E-2</v>
      </c>
      <c r="F11" s="277">
        <f t="shared" si="29"/>
        <v>3.7503804990897317E-2</v>
      </c>
      <c r="G11" s="277">
        <f t="shared" si="29"/>
        <v>3.7503804990897317E-2</v>
      </c>
      <c r="H11" s="277">
        <f t="shared" si="29"/>
        <v>3.7503804990897317E-2</v>
      </c>
      <c r="I11" s="277">
        <f t="shared" si="29"/>
        <v>3.7503804990897317E-2</v>
      </c>
      <c r="J11" s="277">
        <f t="shared" si="29"/>
        <v>3.7503804990897317E-2</v>
      </c>
      <c r="K11" s="277">
        <f t="shared" si="29"/>
        <v>3.7503804990897317E-2</v>
      </c>
      <c r="L11" s="277">
        <f t="shared" si="29"/>
        <v>3.7503804990897317E-2</v>
      </c>
      <c r="M11" s="278">
        <f>HLOOKUP(M10,DD_projekcie!$B$1:$BC$60,60)/100</f>
        <v>3.4448477045297694E-2</v>
      </c>
      <c r="N11" s="278">
        <f>HLOOKUP(N10,DD_projekcie!$B$1:$BC$60,60)/100</f>
        <v>2.5784231366459624E-2</v>
      </c>
      <c r="O11" s="278">
        <f>HLOOKUP(O10,DD_projekcie!$B$1:$BC$60,60)/100</f>
        <v>2.8317936507936507E-2</v>
      </c>
      <c r="P11" s="278">
        <f>HLOOKUP(P10,DD_projekcie!$B$1:$BC$60,60)/100</f>
        <v>3.464248015873015E-2</v>
      </c>
      <c r="Q11" s="278">
        <f>HLOOKUP(Q10,DD_projekcie!$B$1:$BC$60,60)/100</f>
        <v>4.0240396825396797E-2</v>
      </c>
      <c r="R11" s="278">
        <f>HLOOKUP(R10,DD_projekcie!$B$1:$BC$60,60)/100</f>
        <v>4.3982063492063503E-2</v>
      </c>
      <c r="S11" s="278">
        <f>HLOOKUP(S10,DD_projekcie!$B$1:$BC$60,60)/100</f>
        <v>5.0599999999999999E-2</v>
      </c>
      <c r="T11" s="278">
        <f>HLOOKUP(T10,DD_projekcie!$B$1:$BC$60,60)/100</f>
        <v>5.0599999999999999E-2</v>
      </c>
      <c r="U11" s="278">
        <f>HLOOKUP(U10,DD_projekcie!$B$1:$BC$60,60)/100</f>
        <v>5.0599999999999999E-2</v>
      </c>
      <c r="V11" s="278">
        <f>HLOOKUP(V10,DD_projekcie!$B$1:$BC$60,60)/100</f>
        <v>5.0599999999999999E-2</v>
      </c>
      <c r="W11" s="278">
        <f>HLOOKUP(W10,DD_projekcie!$B$1:$BC$60,60)/100</f>
        <v>5.0599999999999999E-2</v>
      </c>
      <c r="X11" s="278">
        <f>HLOOKUP(X10,DD_projekcie!$B$1:$BC$60,60)/100</f>
        <v>5.0599999999999999E-2</v>
      </c>
      <c r="Y11" s="278">
        <f>HLOOKUP(Y10,DD_projekcie!$B$1:$BC$60,60)/100</f>
        <v>5.0599999999999999E-2</v>
      </c>
      <c r="Z11" s="278">
        <f>HLOOKUP(Z10,DD_projekcie!$B$1:$BC$60,60)/100</f>
        <v>5.0599999999999999E-2</v>
      </c>
      <c r="AA11" s="278">
        <f>HLOOKUP(AA10,DD_projekcie!$B$1:$BC$60,60)/100</f>
        <v>5.0599999999999999E-2</v>
      </c>
      <c r="AB11" s="278">
        <f>HLOOKUP(AB10,DD_projekcie!$B$1:$BC$60,60)/100</f>
        <v>5.0599999999999999E-2</v>
      </c>
      <c r="AC11" s="278">
        <f>HLOOKUP(AC10,DD_projekcie!$B$1:$BC$60,60)/100</f>
        <v>5.0599999999999999E-2</v>
      </c>
      <c r="AD11" s="278">
        <f>HLOOKUP(AD10,DD_projekcie!$B$1:$BC$60,60)/100</f>
        <v>5.0599999999999999E-2</v>
      </c>
      <c r="AE11" s="278">
        <f>HLOOKUP(AE10,DD_projekcie!$B$1:$BC$60,60)/100</f>
        <v>5.0599999999999999E-2</v>
      </c>
      <c r="AF11" s="278">
        <f>HLOOKUP(AF10,DD_projekcie!$B$1:$BC$60,60)/100</f>
        <v>5.0599999999999999E-2</v>
      </c>
      <c r="AG11" s="278">
        <f>HLOOKUP(AG10,DD_projekcie!$B$1:$BC$60,60)/100</f>
        <v>5.0599999999999999E-2</v>
      </c>
      <c r="AH11" s="278">
        <f>HLOOKUP(AH10,DD_projekcie!$B$1:$BC$60,60)/100</f>
        <v>5.0599999999999999E-2</v>
      </c>
      <c r="AI11" s="278">
        <f>HLOOKUP(AI10,DD_projekcie!$B$1:$BC$60,60)/100</f>
        <v>5.0599999999999999E-2</v>
      </c>
      <c r="AJ11" s="278">
        <f>HLOOKUP(AJ10,DD_projekcie!$B$1:$BC$60,60)/100</f>
        <v>5.0599999999999999E-2</v>
      </c>
      <c r="AK11" s="278">
        <f>HLOOKUP(AK10,DD_projekcie!$B$1:$BC$60,60)/100</f>
        <v>5.0599999999999999E-2</v>
      </c>
      <c r="AL11" s="278">
        <f>HLOOKUP(AL10,DD_projekcie!$B$1:$BC$60,60)/100</f>
        <v>5.0599999999999999E-2</v>
      </c>
      <c r="AM11" s="278">
        <f>HLOOKUP(AM10,DD_projekcie!$B$1:$BC$60,60)/100</f>
        <v>5.0599999999999999E-2</v>
      </c>
      <c r="AN11" s="278">
        <f>HLOOKUP(AN10,DD_projekcie!$B$1:$BC$60,60)/100</f>
        <v>5.0599999999999999E-2</v>
      </c>
      <c r="AO11" s="278">
        <f>HLOOKUP(AO10,DD_projekcie!$B$1:$BC$60,60)/100</f>
        <v>5.0599999999999999E-2</v>
      </c>
      <c r="AP11" s="278">
        <f>HLOOKUP(AP10,DD_projekcie!$B$1:$BC$60,60)/100</f>
        <v>5.0599999999999999E-2</v>
      </c>
      <c r="AQ11" s="278">
        <f>HLOOKUP(AQ10,DD_projekcie!$B$1:$BC$60,60)/100</f>
        <v>5.0599999999999999E-2</v>
      </c>
      <c r="AR11" s="278">
        <f>HLOOKUP(AR10,DD_projekcie!$B$1:$BC$60,60)/100</f>
        <v>5.0599999999999999E-2</v>
      </c>
      <c r="AS11" s="278">
        <f>HLOOKUP(AS10,DD_projekcie!$B$1:$BC$60,60)/100</f>
        <v>5.0599999999999999E-2</v>
      </c>
      <c r="AT11" s="278">
        <f>HLOOKUP(AT10,DD_projekcie!$B$1:$BC$60,60)/100</f>
        <v>5.0599999999999999E-2</v>
      </c>
      <c r="AU11" s="278">
        <f>HLOOKUP(AU10,DD_projekcie!$B$1:$BC$60,60)/100</f>
        <v>5.0599999999999999E-2</v>
      </c>
      <c r="AV11" s="278">
        <f>HLOOKUP(AV10,DD_projekcie!$B$1:$BC$60,60)/100</f>
        <v>5.0599999999999999E-2</v>
      </c>
      <c r="AW11" s="278">
        <f>HLOOKUP(AW10,DD_projekcie!$B$1:$BC$60,60)/100</f>
        <v>5.0599999999999999E-2</v>
      </c>
      <c r="AX11" s="278">
        <f>HLOOKUP(AX10,DD_projekcie!$B$1:$BC$60,60)/100</f>
        <v>5.0599999999999999E-2</v>
      </c>
      <c r="AY11" s="278">
        <f>HLOOKUP(AY10,DD_projekcie!$B$1:$BC$60,60)/100</f>
        <v>5.0599999999999999E-2</v>
      </c>
      <c r="AZ11" s="278">
        <f>HLOOKUP(AZ10,DD_projekcie!$B$1:$BC$60,60)/100</f>
        <v>5.0599999999999999E-2</v>
      </c>
      <c r="BA11" s="278">
        <f>HLOOKUP(BA10,DD_projekcie!$B$1:$BC$60,60)/100</f>
        <v>5.0599999999999999E-2</v>
      </c>
      <c r="BB11" s="278">
        <f>HLOOKUP(BB10,DD_projekcie!$B$1:$BC$60,60)/100</f>
        <v>5.0599999999999999E-2</v>
      </c>
      <c r="BC11" s="278">
        <f>HLOOKUP(BC10,DD_projekcie!$B$1:$BC$60,60)/100</f>
        <v>5.0599999999999999E-2</v>
      </c>
      <c r="BD11" s="278">
        <f>HLOOKUP(BD10,DD_projekcie!$B$1:$BC$60,60)/100</f>
        <v>5.0599999999999999E-2</v>
      </c>
      <c r="BE11" s="278">
        <f>HLOOKUP(BE10,DD_projekcie!$B$1:$BC$60,60)/100</f>
        <v>5.0599999999999999E-2</v>
      </c>
      <c r="BF11" s="278">
        <f>HLOOKUP(BF10,DD_projekcie!$B$1:$BC$60,60)/100</f>
        <v>5.0599999999999999E-2</v>
      </c>
      <c r="BG11" s="278">
        <f>HLOOKUP(BG10,DD_projekcie!$B$1:$BC$60,60)/100</f>
        <v>5.0599999999999999E-2</v>
      </c>
      <c r="BH11" s="278">
        <f>HLOOKUP(BH10,DD_projekcie!$B$1:$BC$60,60)/100</f>
        <v>5.0599999999999999E-2</v>
      </c>
      <c r="BI11" s="278">
        <f>HLOOKUP(BI10,DD_projekcie!$B$1:$BC$60,60)/100</f>
        <v>5.0599999999999999E-2</v>
      </c>
      <c r="BJ11" s="278">
        <f>HLOOKUP(BJ10,DD_projekcie!$B$1:$BC$60,60)/100</f>
        <v>5.0599999999999999E-2</v>
      </c>
      <c r="BK11" s="278">
        <f>HLOOKUP(BK10,DD_projekcie!$B$1:$BC$60,60)/100</f>
        <v>5.0599999999999999E-2</v>
      </c>
      <c r="BL11" s="279">
        <f>HLOOKUP(BL10,DD_projekcie!$B$1:$BC$60,60)/100</f>
        <v>5.0599999999999999E-2</v>
      </c>
    </row>
    <row r="12" spans="1:64" s="39" customFormat="1" x14ac:dyDescent="0.25">
      <c r="A12" s="88"/>
      <c r="B12" s="177"/>
      <c r="C12" s="177"/>
      <c r="D12" s="179"/>
      <c r="E12" s="180"/>
      <c r="F12" s="180"/>
      <c r="G12" s="180"/>
      <c r="H12" s="180"/>
      <c r="I12" s="180"/>
      <c r="J12" s="180"/>
      <c r="K12" s="180"/>
      <c r="L12" s="180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</row>
    <row r="13" spans="1:64" ht="19.5" thickBot="1" x14ac:dyDescent="0.35">
      <c r="A13" s="184" t="s">
        <v>1071</v>
      </c>
      <c r="B13" s="177"/>
      <c r="C13" s="177"/>
      <c r="D13" s="179"/>
      <c r="E13" s="180"/>
      <c r="F13" s="180"/>
      <c r="G13" s="180"/>
      <c r="H13" s="180"/>
      <c r="I13" s="180"/>
      <c r="J13" s="180"/>
      <c r="K13" s="180"/>
      <c r="L13" s="180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81"/>
      <c r="AG13" s="181"/>
      <c r="AH13" s="181"/>
      <c r="AI13" s="181"/>
      <c r="AJ13" s="181"/>
      <c r="AK13" s="181"/>
      <c r="AL13" s="181"/>
      <c r="AM13" s="181"/>
      <c r="AN13" s="181"/>
      <c r="AO13" s="181"/>
      <c r="AP13" s="181"/>
      <c r="AQ13" s="181"/>
      <c r="AR13" s="181"/>
      <c r="AS13" s="181"/>
      <c r="AT13" s="181"/>
      <c r="AU13" s="181"/>
      <c r="AV13" s="181"/>
      <c r="AW13" s="181"/>
      <c r="AX13" s="181"/>
      <c r="AY13" s="181"/>
      <c r="AZ13" s="181"/>
      <c r="BA13" s="181"/>
      <c r="BB13" s="181"/>
      <c r="BC13" s="181"/>
      <c r="BD13" s="181"/>
      <c r="BE13" s="181"/>
      <c r="BF13" s="181"/>
      <c r="BG13" s="181"/>
      <c r="BH13" s="181"/>
      <c r="BI13" s="181"/>
      <c r="BJ13" s="181"/>
      <c r="BK13" s="181"/>
      <c r="BL13" s="181"/>
    </row>
    <row r="14" spans="1:64" s="16" customFormat="1" x14ac:dyDescent="0.25">
      <c r="A14" s="280" t="s">
        <v>679</v>
      </c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2"/>
      <c r="N14" s="282">
        <f>N15+N16</f>
        <v>1413.3570068050039</v>
      </c>
      <c r="O14" s="282">
        <f t="shared" ref="O14:BL14" ca="1" si="30">O15+O16</f>
        <v>1438.2319833565184</v>
      </c>
      <c r="P14" s="282">
        <f t="shared" ca="1" si="30"/>
        <v>1494.9819640816208</v>
      </c>
      <c r="Q14" s="282">
        <f t="shared" ca="1" si="30"/>
        <v>1598.0889665260645</v>
      </c>
      <c r="R14" s="282">
        <f t="shared" ca="1" si="30"/>
        <v>1738.6836198952392</v>
      </c>
      <c r="S14" s="282">
        <f t="shared" si="30"/>
        <v>1922.7548309813255</v>
      </c>
      <c r="T14" s="282">
        <f t="shared" si="30"/>
        <v>2152.9622609271373</v>
      </c>
      <c r="U14" s="282">
        <f t="shared" si="30"/>
        <v>2398.6031644561463</v>
      </c>
      <c r="V14" s="282">
        <f t="shared" si="30"/>
        <v>2663.6692507151993</v>
      </c>
      <c r="W14" s="282">
        <f t="shared" si="30"/>
        <v>2952.4208240960302</v>
      </c>
      <c r="X14" s="282">
        <f t="shared" si="30"/>
        <v>3249.2330134824233</v>
      </c>
      <c r="Y14" s="282">
        <f t="shared" si="30"/>
        <v>3738.6274547046983</v>
      </c>
      <c r="Z14" s="282">
        <f t="shared" si="30"/>
        <v>4140.7450651353474</v>
      </c>
      <c r="AA14" s="282">
        <f t="shared" si="30"/>
        <v>4574.7205809069437</v>
      </c>
      <c r="AB14" s="282">
        <f t="shared" si="30"/>
        <v>4983.2868875590348</v>
      </c>
      <c r="AC14" s="282">
        <f t="shared" si="30"/>
        <v>5392.6408330701506</v>
      </c>
      <c r="AD14" s="282">
        <f t="shared" si="30"/>
        <v>5812.6158887515803</v>
      </c>
      <c r="AE14" s="282">
        <f t="shared" si="30"/>
        <v>6250.5507128649324</v>
      </c>
      <c r="AF14" s="282">
        <f t="shared" si="30"/>
        <v>6716.6039139522118</v>
      </c>
      <c r="AG14" s="282">
        <f t="shared" si="30"/>
        <v>7214.9355430202177</v>
      </c>
      <c r="AH14" s="282">
        <f t="shared" si="30"/>
        <v>7744.6024887133462</v>
      </c>
      <c r="AI14" s="282">
        <f t="shared" si="30"/>
        <v>8235.0761903338862</v>
      </c>
      <c r="AJ14" s="282">
        <f t="shared" si="30"/>
        <v>8911.9315750202786</v>
      </c>
      <c r="AK14" s="282">
        <f t="shared" si="30"/>
        <v>9517.3550698204835</v>
      </c>
      <c r="AL14" s="282">
        <f t="shared" si="30"/>
        <v>10208.617777923995</v>
      </c>
      <c r="AM14" s="282">
        <f t="shared" si="30"/>
        <v>10912.66732098351</v>
      </c>
      <c r="AN14" s="282">
        <f t="shared" si="30"/>
        <v>11672.24789012134</v>
      </c>
      <c r="AO14" s="282">
        <f t="shared" si="30"/>
        <v>12485.347790127395</v>
      </c>
      <c r="AP14" s="282">
        <f t="shared" si="30"/>
        <v>13344.818303876975</v>
      </c>
      <c r="AQ14" s="282">
        <f t="shared" si="30"/>
        <v>14262.517578204533</v>
      </c>
      <c r="AR14" s="282">
        <f t="shared" si="30"/>
        <v>15248.633747378593</v>
      </c>
      <c r="AS14" s="282">
        <f t="shared" si="30"/>
        <v>16300.622164362467</v>
      </c>
      <c r="AT14" s="282">
        <f t="shared" si="30"/>
        <v>17346.60145885935</v>
      </c>
      <c r="AU14" s="282">
        <f t="shared" si="30"/>
        <v>18619.013900240694</v>
      </c>
      <c r="AV14" s="282">
        <f t="shared" si="30"/>
        <v>19857.824283618975</v>
      </c>
      <c r="AW14" s="282">
        <f t="shared" si="30"/>
        <v>21228.916215825524</v>
      </c>
      <c r="AX14" s="282">
        <f t="shared" si="30"/>
        <v>22673.800085688876</v>
      </c>
      <c r="AY14" s="282">
        <f t="shared" si="30"/>
        <v>24229.497729434141</v>
      </c>
      <c r="AZ14" s="282">
        <f t="shared" si="30"/>
        <v>25904.12991451818</v>
      </c>
      <c r="BA14" s="282">
        <f t="shared" si="30"/>
        <v>27684.105556132192</v>
      </c>
      <c r="BB14" s="282">
        <f t="shared" si="30"/>
        <v>29589.9110714577</v>
      </c>
      <c r="BC14" s="282">
        <f t="shared" si="30"/>
        <v>31631.949908815248</v>
      </c>
      <c r="BD14" s="282">
        <f t="shared" si="30"/>
        <v>33818.436073294884</v>
      </c>
      <c r="BE14" s="282">
        <f t="shared" si="30"/>
        <v>36080.696381654299</v>
      </c>
      <c r="BF14" s="282">
        <f t="shared" si="30"/>
        <v>38669.020358688329</v>
      </c>
      <c r="BG14" s="282">
        <f t="shared" si="30"/>
        <v>41309.049556616141</v>
      </c>
      <c r="BH14" s="282">
        <f t="shared" si="30"/>
        <v>44167.708722746596</v>
      </c>
      <c r="BI14" s="282">
        <f t="shared" si="30"/>
        <v>47184.631630727992</v>
      </c>
      <c r="BJ14" s="282">
        <f t="shared" si="30"/>
        <v>50397.67277559785</v>
      </c>
      <c r="BK14" s="282">
        <f t="shared" si="30"/>
        <v>53794.474216425515</v>
      </c>
      <c r="BL14" s="283">
        <f t="shared" si="30"/>
        <v>57362.925376123399</v>
      </c>
    </row>
    <row r="15" spans="1:64" x14ac:dyDescent="0.25">
      <c r="A15" s="284" t="s">
        <v>977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227"/>
      <c r="N15" s="227">
        <f>SUMPRODUCT(N89:N150,N24:N85)</f>
        <v>1402.2560068050038</v>
      </c>
      <c r="O15" s="227">
        <f ca="1">SUMPRODUCT(O89:O150,O24:O85)</f>
        <v>1427.1309833565183</v>
      </c>
      <c r="P15" s="227">
        <f ca="1">SUMPRODUCT(P89:P150,P24:P85)</f>
        <v>1483.8809640816207</v>
      </c>
      <c r="Q15" s="227">
        <f ca="1">SUMPRODUCT(Q89:Q150,Q24:Q85)</f>
        <v>1586.9879665260644</v>
      </c>
      <c r="R15" s="227">
        <f ca="1">SUMPRODUCT(R89:R150,R24:R85)</f>
        <v>1727.5826198952391</v>
      </c>
      <c r="S15" s="227">
        <v>1911.0778104741225</v>
      </c>
      <c r="T15" s="227">
        <v>2140.6860044264672</v>
      </c>
      <c r="U15" s="227">
        <v>2385.7055235306007</v>
      </c>
      <c r="V15" s="227">
        <v>2650.1377764240133</v>
      </c>
      <c r="W15" s="227">
        <v>2938.2379529041018</v>
      </c>
      <c r="X15" s="227">
        <v>3234.377422375801</v>
      </c>
      <c r="Y15" s="227">
        <v>3723.0748887895966</v>
      </c>
      <c r="Z15" s="227">
        <v>4124.4706253700124</v>
      </c>
      <c r="AA15" s="227">
        <v>4557.7043859367495</v>
      </c>
      <c r="AB15" s="227">
        <v>4965.5206075386368</v>
      </c>
      <c r="AC15" s="227">
        <v>5374.1226087384121</v>
      </c>
      <c r="AD15" s="227">
        <v>5793.34369717143</v>
      </c>
      <c r="AE15" s="227">
        <v>6230.5304643173613</v>
      </c>
      <c r="AF15" s="227">
        <v>6695.8385335154708</v>
      </c>
      <c r="AG15" s="227">
        <v>7193.4065751341568</v>
      </c>
      <c r="AH15" s="227">
        <v>7722.2914207088943</v>
      </c>
      <c r="AI15" s="227">
        <v>8211.9649469855103</v>
      </c>
      <c r="AJ15" s="227">
        <v>8888.0052675930474</v>
      </c>
      <c r="AK15" s="227">
        <v>9492.6000596604426</v>
      </c>
      <c r="AL15" s="227">
        <v>10183.018094543782</v>
      </c>
      <c r="AM15" s="227">
        <v>10886.203364162518</v>
      </c>
      <c r="AN15" s="227">
        <v>11644.899496463018</v>
      </c>
      <c r="AO15" s="227">
        <v>12457.09423550015</v>
      </c>
      <c r="AP15" s="227">
        <v>13315.64723842688</v>
      </c>
      <c r="AQ15" s="227">
        <v>14232.414164299396</v>
      </c>
      <c r="AR15" s="227">
        <v>15217.581872064808</v>
      </c>
      <c r="AS15" s="227">
        <v>16268.606466636849</v>
      </c>
      <c r="AT15" s="227">
        <v>17313.604970397842</v>
      </c>
      <c r="AU15" s="227">
        <v>18585.020883937006</v>
      </c>
      <c r="AV15" s="227">
        <v>19822.816561540934</v>
      </c>
      <c r="AW15" s="227">
        <v>21192.87208536411</v>
      </c>
      <c r="AX15" s="227">
        <v>22636.69314864077</v>
      </c>
      <c r="AY15" s="227">
        <v>24191.300918827328</v>
      </c>
      <c r="AZ15" s="227">
        <v>25864.814886032316</v>
      </c>
      <c r="BA15" s="227">
        <v>27643.642146605835</v>
      </c>
      <c r="BB15" s="227">
        <v>29548.266328842972</v>
      </c>
      <c r="BC15" s="227">
        <v>31589.084197733948</v>
      </c>
      <c r="BD15" s="227">
        <v>33774.308232487972</v>
      </c>
      <c r="BE15" s="227">
        <v>36035.262707907023</v>
      </c>
      <c r="BF15" s="227">
        <v>38622.234081947448</v>
      </c>
      <c r="BG15" s="227">
        <v>41260.86108231292</v>
      </c>
      <c r="BH15" s="227">
        <v>44118.068646974294</v>
      </c>
      <c r="BI15" s="227">
        <v>47133.482142337882</v>
      </c>
      <c r="BJ15" s="227">
        <v>50344.96797767267</v>
      </c>
      <c r="BK15" s="227">
        <v>53740.166816454119</v>
      </c>
      <c r="BL15" s="285">
        <v>57306.966643564738</v>
      </c>
    </row>
    <row r="16" spans="1:64" x14ac:dyDescent="0.25">
      <c r="A16" s="284" t="s">
        <v>978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227"/>
      <c r="N16" s="227">
        <f>(SD_prognozy!F88+SD_prognozy!F89)/1000</f>
        <v>11.101000000000001</v>
      </c>
      <c r="O16" s="227">
        <f>(SD_prognozy!G88+SD_prognozy!G89)/1000</f>
        <v>11.101000000000001</v>
      </c>
      <c r="P16" s="227">
        <f>(SD_prognozy!H88+SD_prognozy!H89)/1000</f>
        <v>11.101000000000001</v>
      </c>
      <c r="Q16" s="227">
        <f>(SD_prognozy!I88+SD_prognozy!I89)/1000</f>
        <v>11.101000000000001</v>
      </c>
      <c r="R16" s="227">
        <f>(SD_prognozy!J88+SD_prognozy!J89)/1000</f>
        <v>11.101000000000001</v>
      </c>
      <c r="S16" s="227">
        <f>R16*(1+DD_projekcie!J57/100)</f>
        <v>11.677020507202892</v>
      </c>
      <c r="T16" s="227">
        <f>S16*(1+DD_projekcie!K57/100)</f>
        <v>12.27625650067003</v>
      </c>
      <c r="U16" s="227">
        <f>T16*(1+DD_projekcie!L57/100)</f>
        <v>12.897640925545447</v>
      </c>
      <c r="V16" s="227">
        <f>U16*(1+DD_projekcie!M57/100)</f>
        <v>13.53147429118596</v>
      </c>
      <c r="W16" s="227">
        <f>V16*(1+DD_projekcie!N57/100)</f>
        <v>14.182871191928433</v>
      </c>
      <c r="X16" s="227">
        <f>W16*(1+DD_projekcie!O57/100)</f>
        <v>14.855591106622464</v>
      </c>
      <c r="Y16" s="227">
        <f>X16*(1+DD_projekcie!P57/100)</f>
        <v>15.552565915101598</v>
      </c>
      <c r="Z16" s="227">
        <f>Y16*(1+DD_projekcie!Q57/100)</f>
        <v>16.274439765334705</v>
      </c>
      <c r="AA16" s="227">
        <f>Z16*(1+DD_projekcie!R57/100)</f>
        <v>17.016194970194228</v>
      </c>
      <c r="AB16" s="227">
        <f>AA16*(1+DD_projekcie!S57/100)</f>
        <v>17.766280020397598</v>
      </c>
      <c r="AC16" s="227">
        <f>AB16*(1+DD_projekcie!T57/100)</f>
        <v>18.518224331738146</v>
      </c>
      <c r="AD16" s="227">
        <f>AC16*(1+DD_projekcie!U57/100)</f>
        <v>19.272191580150345</v>
      </c>
      <c r="AE16" s="227">
        <f>AD16*(1+DD_projekcie!V57/100)</f>
        <v>20.020248547571452</v>
      </c>
      <c r="AF16" s="227">
        <f>AE16*(1+DD_projekcie!W57/100)</f>
        <v>20.765380436740951</v>
      </c>
      <c r="AG16" s="227">
        <f>AF16*(1+DD_projekcie!X57/100)</f>
        <v>21.528967886060663</v>
      </c>
      <c r="AH16" s="227">
        <f>AG16*(1+DD_projekcie!Y57/100)</f>
        <v>22.311068004452025</v>
      </c>
      <c r="AI16" s="227">
        <f>AH16*(1+DD_projekcie!Z57/100)</f>
        <v>23.111243348375758</v>
      </c>
      <c r="AJ16" s="227">
        <f>AI16*(1+DD_projekcie!AA57/100)</f>
        <v>23.926307427231063</v>
      </c>
      <c r="AK16" s="227">
        <f>AJ16*(1+DD_projekcie!AB57/100)</f>
        <v>24.755010160041383</v>
      </c>
      <c r="AL16" s="227">
        <f>AK16*(1+DD_projekcie!AC57/100)</f>
        <v>25.599683380211907</v>
      </c>
      <c r="AM16" s="227">
        <f>AL16*(1+DD_projekcie!AD57/100)</f>
        <v>26.463956820991246</v>
      </c>
      <c r="AN16" s="227">
        <f>AM16*(1+DD_projekcie!AE57/100)</f>
        <v>27.348393658320866</v>
      </c>
      <c r="AO16" s="227">
        <f>AN16*(1+DD_projekcie!AF57/100)</f>
        <v>28.253554627245364</v>
      </c>
      <c r="AP16" s="227">
        <f>AO16*(1+DD_projekcie!AG57/100)</f>
        <v>29.171065450094968</v>
      </c>
      <c r="AQ16" s="227">
        <f>AP16*(1+DD_projekcie!AH57/100)</f>
        <v>30.103413905136996</v>
      </c>
      <c r="AR16" s="227">
        <f>AQ16*(1+DD_projekcie!AI57/100)</f>
        <v>31.05187531378645</v>
      </c>
      <c r="AS16" s="227">
        <f>AR16*(1+DD_projekcie!AJ57/100)</f>
        <v>32.015697725617031</v>
      </c>
      <c r="AT16" s="227">
        <f>AS16*(1+DD_projekcie!AK57/100)</f>
        <v>32.996488461508363</v>
      </c>
      <c r="AU16" s="227">
        <f>AT16*(1+DD_projekcie!AL57/100)</f>
        <v>33.993016303687384</v>
      </c>
      <c r="AV16" s="227">
        <f>AU16*(1+DD_projekcie!AM57/100)</f>
        <v>35.007722078039258</v>
      </c>
      <c r="AW16" s="227">
        <f>AV16*(1+DD_projekcie!AN57/100)</f>
        <v>36.044130461415868</v>
      </c>
      <c r="AX16" s="227">
        <f>AW16*(1+DD_projekcie!AO57/100)</f>
        <v>37.10693704810474</v>
      </c>
      <c r="AY16" s="227">
        <f>AX16*(1+DD_projekcie!AP57/100)</f>
        <v>38.196810606811063</v>
      </c>
      <c r="AZ16" s="227">
        <f>AY16*(1+DD_projekcie!AQ57/100)</f>
        <v>39.315028485864616</v>
      </c>
      <c r="BA16" s="227">
        <f>AZ16*(1+DD_projekcie!AR57/100)</f>
        <v>40.463409526356074</v>
      </c>
      <c r="BB16" s="227">
        <f>BA16*(1+DD_projekcie!AS57/100)</f>
        <v>41.644742614728365</v>
      </c>
      <c r="BC16" s="227">
        <f>BB16*(1+DD_projekcie!AT57/100)</f>
        <v>42.865711081301384</v>
      </c>
      <c r="BD16" s="227">
        <f>BC16*(1+DD_projekcie!AU57/100)</f>
        <v>44.127840806912836</v>
      </c>
      <c r="BE16" s="227">
        <f>BD16*(1+DD_projekcie!AV57/100)</f>
        <v>45.433673747276245</v>
      </c>
      <c r="BF16" s="227">
        <f>BE16*(1+DD_projekcie!AW57/100)</f>
        <v>46.786276740880652</v>
      </c>
      <c r="BG16" s="227">
        <f>BF16*(1+DD_projekcie!AX57/100)</f>
        <v>48.188474303217298</v>
      </c>
      <c r="BH16" s="227">
        <f>BG16*(1+DD_projekcie!AY57/100)</f>
        <v>49.640075772302438</v>
      </c>
      <c r="BI16" s="227">
        <f>BH16*(1+DD_projekcie!AZ57/100)</f>
        <v>51.149488390107685</v>
      </c>
      <c r="BJ16" s="227">
        <f>BI16*(1+DD_projekcie!BA57/100)</f>
        <v>52.704797925178731</v>
      </c>
      <c r="BK16" s="227">
        <f>BJ16*(1+DD_projekcie!BB57/100)</f>
        <v>54.307399971397373</v>
      </c>
      <c r="BL16" s="285">
        <f>BK16*(1+DD_projekcie!BC57/100)</f>
        <v>55.958732558660692</v>
      </c>
    </row>
    <row r="17" spans="1:66" s="16" customFormat="1" x14ac:dyDescent="0.25">
      <c r="A17" s="286" t="s">
        <v>1073</v>
      </c>
      <c r="B17" s="269"/>
      <c r="C17" s="269"/>
      <c r="D17" s="269"/>
      <c r="E17" s="269"/>
      <c r="F17" s="269"/>
      <c r="G17" s="269"/>
      <c r="H17" s="269"/>
      <c r="I17" s="269"/>
      <c r="J17" s="269"/>
      <c r="K17" s="269"/>
      <c r="L17" s="269"/>
      <c r="M17" s="242"/>
      <c r="N17" s="242">
        <f>SUM(N24:N85)-N25</f>
        <v>39975.176000000007</v>
      </c>
      <c r="O17" s="242">
        <f ca="1">SUM(O24:O85)-O26</f>
        <v>42191.584467044449</v>
      </c>
      <c r="P17" s="242">
        <f ca="1">SUM(P24:P85)-P27</f>
        <v>44979.700360051676</v>
      </c>
      <c r="Q17" s="242">
        <f ca="1">SUM(Q24:Q85)-Q28</f>
        <v>47731.793035577633</v>
      </c>
      <c r="R17" s="242">
        <f ca="1">SUM(R24:R85)-R29</f>
        <v>50837.79621888166</v>
      </c>
      <c r="S17" s="242">
        <f ca="1">SUM(S24:S85)-S30</f>
        <v>54180.700915691719</v>
      </c>
      <c r="T17" s="242">
        <f ca="1">SUM(T24:T85)-T31</f>
        <v>57918.173022003568</v>
      </c>
      <c r="U17" s="242">
        <f ca="1">SUM(U24:U85)-U32</f>
        <v>62009.639951192148</v>
      </c>
      <c r="V17" s="242">
        <f ca="1">SUM(V24:V85)-V33</f>
        <v>66461.460504300383</v>
      </c>
      <c r="W17" s="242">
        <f ca="1">SUM(W24:W85)-W34</f>
        <v>71262.777322681563</v>
      </c>
      <c r="X17" s="242">
        <f ca="1">SUM(X24:X85)-X35</f>
        <v>76453.623127149884</v>
      </c>
      <c r="Y17" s="242">
        <f ca="1">SUM(Y24:Y85)-Y36</f>
        <v>82090.37113349438</v>
      </c>
      <c r="Z17" s="242">
        <f ca="1">SUM(Z24:Z85)-Z37</f>
        <v>88321.128621994692</v>
      </c>
      <c r="AA17" s="242">
        <f ca="1">SUM(AA24:AA85)-AA38</f>
        <v>95096.5106372476</v>
      </c>
      <c r="AB17" s="242">
        <f ca="1">SUM(AB24:AB85)-AB39</f>
        <v>102464.08490574412</v>
      </c>
      <c r="AC17" s="242">
        <f ca="1">SUM(AC24:AC85)-AC40</f>
        <v>110425.63433235683</v>
      </c>
      <c r="AD17" s="242">
        <f ca="1">SUM(AD24:AD85)-AD41</f>
        <v>118857.88314483057</v>
      </c>
      <c r="AE17" s="242">
        <f ca="1">SUM(AE24:AE85)-AE42</f>
        <v>127784.92093757902</v>
      </c>
      <c r="AF17" s="242">
        <f ca="1">SUM(AF24:AF85)-AF43</f>
        <v>137285.40293647072</v>
      </c>
      <c r="AG17" s="242">
        <f ca="1">SUM(AG24:AG85)-AG44</f>
        <v>147434.01310048258</v>
      </c>
      <c r="AH17" s="242">
        <f ca="1">SUM(AH24:AH85)-AH45</f>
        <v>158183.78602285477</v>
      </c>
      <c r="AI17" s="242">
        <f ca="1">SUM(AI24:AI85)-AI46</f>
        <v>169571.55445401854</v>
      </c>
      <c r="AJ17" s="242">
        <f ca="1">SUM(AJ24:AJ85)-AJ47</f>
        <v>181649.8906943897</v>
      </c>
      <c r="AK17" s="242">
        <f ca="1">SUM(AK24:AK85)-AK48</f>
        <v>194609.95200210248</v>
      </c>
      <c r="AL17" s="242">
        <f ca="1">SUM(AL24:AL85)-AL49</f>
        <v>208225.85365000818</v>
      </c>
      <c r="AM17" s="242">
        <f ca="1">SUM(AM24:AM85)-AM50</f>
        <v>222746.31613797677</v>
      </c>
      <c r="AN17" s="242">
        <f ca="1">SUM(AN24:AN85)-AN51</f>
        <v>238198.19051488291</v>
      </c>
      <c r="AO17" s="242">
        <f ca="1">SUM(AO24:AO85)-AO52</f>
        <v>254708.3347809526</v>
      </c>
      <c r="AP17" s="242">
        <f ca="1">SUM(AP24:AP85)-AP53</f>
        <v>272232.50556626054</v>
      </c>
      <c r="AQ17" s="242">
        <f ca="1">SUM(AQ24:AQ85)-AQ54</f>
        <v>290976.77159908594</v>
      </c>
      <c r="AR17" s="242">
        <f ca="1">SUM(AR24:AR85)-AR55</f>
        <v>311086.35926505842</v>
      </c>
      <c r="AS17" s="242">
        <f ca="1">SUM(AS24:AS85)-AS56</f>
        <v>332568.54452106118</v>
      </c>
      <c r="AT17" s="242">
        <f ca="1">SUM(AT24:AT85)-AT57</f>
        <v>355288.01138193149</v>
      </c>
      <c r="AU17" s="242">
        <f ca="1">SUM(AU24:AU85)-AU58</f>
        <v>379391.2252404046</v>
      </c>
      <c r="AV17" s="242">
        <f ca="1">SUM(AV24:AV85)-AV59</f>
        <v>405299.68964626605</v>
      </c>
      <c r="AW17" s="242">
        <f ca="1">SUM(AW24:AW85)-AW60</f>
        <v>433010.01281993068</v>
      </c>
      <c r="AX17" s="242">
        <f ca="1">SUM(AX24:AX85)-AX61</f>
        <v>462638.90097403037</v>
      </c>
      <c r="AY17" s="242">
        <f ca="1">SUM(AY24:AY85)-AY62</f>
        <v>494418.81297142192</v>
      </c>
      <c r="AZ17" s="242">
        <f ca="1">SUM(AZ24:AZ85)-AZ63</f>
        <v>528539.96944597154</v>
      </c>
      <c r="BA17" s="242">
        <f ca="1">SUM(BA24:BA85)-BA64</f>
        <v>565057.42618391791</v>
      </c>
      <c r="BB17" s="242">
        <f ca="1">SUM(BB24:BB85)-BB65</f>
        <v>603872.8172960931</v>
      </c>
      <c r="BC17" s="242">
        <f ca="1">SUM(BC24:BC85)-BC66</f>
        <v>645468.48534416757</v>
      </c>
      <c r="BD17" s="242">
        <f ca="1">SUM(BD24:BD85)-BD67</f>
        <v>690081.17896149156</v>
      </c>
      <c r="BE17" s="242">
        <f ca="1">SUM(BE24:BE85)-BE68</f>
        <v>737931.09063407511</v>
      </c>
      <c r="BF17" s="242">
        <f ca="1">SUM(BF24:BF85)-BF69</f>
        <v>788900.13799240161</v>
      </c>
      <c r="BG17" s="242">
        <f ca="1">SUM(BG24:BG85)-BG70</f>
        <v>843352.42528255924</v>
      </c>
      <c r="BH17" s="242">
        <f ca="1">SUM(BH24:BH85)-BH71</f>
        <v>901336.17941411759</v>
      </c>
      <c r="BI17" s="242">
        <f ca="1">SUM(BI24:BI85)-BI72</f>
        <v>963114.07803616405</v>
      </c>
      <c r="BJ17" s="242">
        <f ca="1">SUM(BJ24:BJ85)-BJ73</f>
        <v>1028339.7375452388</v>
      </c>
      <c r="BK17" s="242">
        <f ca="1">SUM(BK24:BK85)-BK74</f>
        <v>1097095.85175884</v>
      </c>
      <c r="BL17" s="287">
        <f ca="1">SUM(BL24:BL85)-BL75</f>
        <v>1169668.5611337745</v>
      </c>
    </row>
    <row r="18" spans="1:66" ht="15.75" thickBot="1" x14ac:dyDescent="0.3">
      <c r="A18" s="288" t="s">
        <v>1067</v>
      </c>
      <c r="B18" s="289"/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290">
        <f>N14/B4</f>
        <v>3.7751219768356978E-2</v>
      </c>
      <c r="O18" s="290">
        <f ca="1">O14/N17</f>
        <v>3.5978127609907665E-2</v>
      </c>
      <c r="P18" s="290">
        <f t="shared" ref="P18:BL18" ca="1" si="31">P14/O17</f>
        <v>3.543317898500211E-2</v>
      </c>
      <c r="Q18" s="290">
        <f t="shared" ca="1" si="31"/>
        <v>3.5529115439492637E-2</v>
      </c>
      <c r="R18" s="290">
        <f t="shared" ca="1" si="31"/>
        <v>3.6426111598181203E-2</v>
      </c>
      <c r="S18" s="290">
        <f t="shared" ca="1" si="31"/>
        <v>3.7821364692972183E-2</v>
      </c>
      <c r="T18" s="290">
        <f t="shared" ca="1" si="31"/>
        <v>3.9736700052612282E-2</v>
      </c>
      <c r="U18" s="290">
        <f t="shared" ca="1" si="31"/>
        <v>4.1413653768824825E-2</v>
      </c>
      <c r="V18" s="290">
        <f t="shared" ca="1" si="31"/>
        <v>4.2955728380486904E-2</v>
      </c>
      <c r="W18" s="290">
        <f t="shared" ca="1" si="31"/>
        <v>4.442305061750778E-2</v>
      </c>
      <c r="X18" s="290">
        <f t="shared" ca="1" si="31"/>
        <v>4.5595093757989917E-2</v>
      </c>
      <c r="Y18" s="290">
        <f t="shared" ca="1" si="31"/>
        <v>4.8900592304003614E-2</v>
      </c>
      <c r="Z18" s="290">
        <f t="shared" ca="1" si="31"/>
        <v>5.0441300337182263E-2</v>
      </c>
      <c r="AA18" s="290">
        <f t="shared" ca="1" si="31"/>
        <v>5.1796446131098205E-2</v>
      </c>
      <c r="AB18" s="290">
        <f t="shared" ca="1" si="31"/>
        <v>5.2402415758114794E-2</v>
      </c>
      <c r="AC18" s="290">
        <f t="shared" ca="1" si="31"/>
        <v>5.262957101535428E-2</v>
      </c>
      <c r="AD18" s="290">
        <f t="shared" ca="1" si="31"/>
        <v>5.263828389028663E-2</v>
      </c>
      <c r="AE18" s="290">
        <f t="shared" ca="1" si="31"/>
        <v>5.258844047599702E-2</v>
      </c>
      <c r="AF18" s="290">
        <f t="shared" ca="1" si="31"/>
        <v>5.2561787922012881E-2</v>
      </c>
      <c r="AG18" s="290">
        <f t="shared" ca="1" si="31"/>
        <v>5.2554280270852634E-2</v>
      </c>
      <c r="AH18" s="290">
        <f t="shared" ca="1" si="31"/>
        <v>5.252927954579293E-2</v>
      </c>
      <c r="AI18" s="290">
        <f t="shared" ca="1" si="31"/>
        <v>5.206017884250199E-2</v>
      </c>
      <c r="AJ18" s="290">
        <f t="shared" ca="1" si="31"/>
        <v>5.2555581056708781E-2</v>
      </c>
      <c r="AK18" s="290">
        <f t="shared" ca="1" si="31"/>
        <v>5.2393948784877686E-2</v>
      </c>
      <c r="AL18" s="290">
        <f t="shared" ca="1" si="31"/>
        <v>5.2456812577671805E-2</v>
      </c>
      <c r="AM18" s="290">
        <f t="shared" ca="1" si="31"/>
        <v>5.2407840475591591E-2</v>
      </c>
      <c r="AN18" s="290">
        <f t="shared" ca="1" si="31"/>
        <v>5.2401530550526126E-2</v>
      </c>
      <c r="AO18" s="290">
        <f t="shared" ca="1" si="31"/>
        <v>5.2415796119774871E-2</v>
      </c>
      <c r="AP18" s="290">
        <f t="shared" ca="1" si="31"/>
        <v>5.2392546617500466E-2</v>
      </c>
      <c r="AQ18" s="290">
        <f t="shared" ca="1" si="31"/>
        <v>5.2390942619205627E-2</v>
      </c>
      <c r="AR18" s="290">
        <f t="shared" ca="1" si="31"/>
        <v>5.2404986362239558E-2</v>
      </c>
      <c r="AS18" s="290">
        <f t="shared" ca="1" si="31"/>
        <v>5.2399025797443162E-2</v>
      </c>
      <c r="AT18" s="290">
        <f t="shared" ca="1" si="31"/>
        <v>5.2159477330727559E-2</v>
      </c>
      <c r="AU18" s="290">
        <f t="shared" ca="1" si="31"/>
        <v>5.2405409987857476E-2</v>
      </c>
      <c r="AV18" s="290">
        <f t="shared" ca="1" si="31"/>
        <v>5.2341285097028505E-2</v>
      </c>
      <c r="AW18" s="290">
        <f t="shared" ca="1" si="31"/>
        <v>5.2378318459492319E-2</v>
      </c>
      <c r="AX18" s="290">
        <f t="shared" ca="1" si="31"/>
        <v>5.2363223515382973E-2</v>
      </c>
      <c r="AY18" s="290">
        <f t="shared" ca="1" si="31"/>
        <v>5.2372374390527596E-2</v>
      </c>
      <c r="AZ18" s="290">
        <f t="shared" ca="1" si="31"/>
        <v>5.2393091110017033E-2</v>
      </c>
      <c r="BA18" s="290">
        <f t="shared" ca="1" si="31"/>
        <v>5.2378452258116534E-2</v>
      </c>
      <c r="BB18" s="290">
        <f t="shared" ca="1" si="31"/>
        <v>5.2366201558116714E-2</v>
      </c>
      <c r="BC18" s="290">
        <f t="shared" ca="1" si="31"/>
        <v>5.238180789532932E-2</v>
      </c>
      <c r="BD18" s="290">
        <f t="shared" ca="1" si="31"/>
        <v>5.2393628567725808E-2</v>
      </c>
      <c r="BE18" s="290">
        <f ca="1">BE14/BD17</f>
        <v>5.2284712989785369E-2</v>
      </c>
      <c r="BF18" s="290">
        <f t="shared" ca="1" si="31"/>
        <v>5.2401939489311343E-2</v>
      </c>
      <c r="BG18" s="290">
        <f t="shared" ca="1" si="31"/>
        <v>5.2362837280951285E-2</v>
      </c>
      <c r="BH18" s="290">
        <f t="shared" ca="1" si="31"/>
        <v>5.2371591518158636E-2</v>
      </c>
      <c r="BI18" s="290">
        <f t="shared" ca="1" si="31"/>
        <v>5.2349647898743766E-2</v>
      </c>
      <c r="BJ18" s="290">
        <f t="shared" ca="1" si="31"/>
        <v>5.2327833145540903E-2</v>
      </c>
      <c r="BK18" s="290">
        <f t="shared" ca="1" si="31"/>
        <v>5.2311966806649818E-2</v>
      </c>
      <c r="BL18" s="291">
        <f t="shared" ca="1" si="31"/>
        <v>5.2286156477722903E-2</v>
      </c>
    </row>
    <row r="19" spans="1:66" x14ac:dyDescent="0.25">
      <c r="A19" s="69"/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</row>
    <row r="20" spans="1:66" ht="18.75" x14ac:dyDescent="0.3">
      <c r="A20" s="184" t="s">
        <v>1074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54"/>
      <c r="N20" s="183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</row>
    <row r="21" spans="1:66" ht="15.75" x14ac:dyDescent="0.25">
      <c r="A21" s="176" t="s">
        <v>1075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  <c r="BK21" s="67"/>
      <c r="BL21" s="67"/>
    </row>
    <row r="22" spans="1:66" s="39" customFormat="1" ht="15.75" thickBot="1" x14ac:dyDescent="0.3">
      <c r="A22" s="293"/>
      <c r="B22" s="69"/>
      <c r="C22" s="294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162" t="s">
        <v>1192</v>
      </c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294"/>
    </row>
    <row r="23" spans="1:66" ht="15.75" thickBot="1" x14ac:dyDescent="0.3">
      <c r="A23" s="252"/>
      <c r="B23" s="295"/>
      <c r="C23" s="273">
        <f t="shared" ref="C23:L23" si="32">D23-1</f>
        <v>2002</v>
      </c>
      <c r="D23" s="273">
        <f t="shared" si="32"/>
        <v>2003</v>
      </c>
      <c r="E23" s="273">
        <f t="shared" si="32"/>
        <v>2004</v>
      </c>
      <c r="F23" s="273">
        <f t="shared" si="32"/>
        <v>2005</v>
      </c>
      <c r="G23" s="273">
        <f t="shared" si="32"/>
        <v>2006</v>
      </c>
      <c r="H23" s="273">
        <f t="shared" si="32"/>
        <v>2007</v>
      </c>
      <c r="I23" s="273">
        <f t="shared" si="32"/>
        <v>2008</v>
      </c>
      <c r="J23" s="273">
        <f t="shared" si="32"/>
        <v>2009</v>
      </c>
      <c r="K23" s="273">
        <f t="shared" si="32"/>
        <v>2010</v>
      </c>
      <c r="L23" s="273">
        <f t="shared" si="32"/>
        <v>2011</v>
      </c>
      <c r="M23" s="274">
        <f>N23-1</f>
        <v>2012</v>
      </c>
      <c r="N23" s="275">
        <f>$C$3</f>
        <v>2013</v>
      </c>
      <c r="O23" s="255">
        <f>N23+1</f>
        <v>2014</v>
      </c>
      <c r="P23" s="273">
        <f t="shared" ref="P23:AO23" si="33">O23+1</f>
        <v>2015</v>
      </c>
      <c r="Q23" s="273">
        <f t="shared" si="33"/>
        <v>2016</v>
      </c>
      <c r="R23" s="273">
        <f t="shared" si="33"/>
        <v>2017</v>
      </c>
      <c r="S23" s="273">
        <f t="shared" si="33"/>
        <v>2018</v>
      </c>
      <c r="T23" s="273">
        <f t="shared" si="33"/>
        <v>2019</v>
      </c>
      <c r="U23" s="273">
        <f t="shared" si="33"/>
        <v>2020</v>
      </c>
      <c r="V23" s="273">
        <f t="shared" si="33"/>
        <v>2021</v>
      </c>
      <c r="W23" s="273">
        <f t="shared" si="33"/>
        <v>2022</v>
      </c>
      <c r="X23" s="273">
        <f t="shared" si="33"/>
        <v>2023</v>
      </c>
      <c r="Y23" s="273">
        <f t="shared" si="33"/>
        <v>2024</v>
      </c>
      <c r="Z23" s="273">
        <f t="shared" si="33"/>
        <v>2025</v>
      </c>
      <c r="AA23" s="273">
        <f t="shared" si="33"/>
        <v>2026</v>
      </c>
      <c r="AB23" s="273">
        <f t="shared" si="33"/>
        <v>2027</v>
      </c>
      <c r="AC23" s="273">
        <f t="shared" si="33"/>
        <v>2028</v>
      </c>
      <c r="AD23" s="273">
        <f t="shared" si="33"/>
        <v>2029</v>
      </c>
      <c r="AE23" s="273">
        <f t="shared" si="33"/>
        <v>2030</v>
      </c>
      <c r="AF23" s="273">
        <f t="shared" si="33"/>
        <v>2031</v>
      </c>
      <c r="AG23" s="273">
        <f t="shared" si="33"/>
        <v>2032</v>
      </c>
      <c r="AH23" s="273">
        <f t="shared" si="33"/>
        <v>2033</v>
      </c>
      <c r="AI23" s="273">
        <f t="shared" si="33"/>
        <v>2034</v>
      </c>
      <c r="AJ23" s="273">
        <f t="shared" si="33"/>
        <v>2035</v>
      </c>
      <c r="AK23" s="273">
        <f t="shared" si="33"/>
        <v>2036</v>
      </c>
      <c r="AL23" s="273">
        <f t="shared" si="33"/>
        <v>2037</v>
      </c>
      <c r="AM23" s="273">
        <f t="shared" si="33"/>
        <v>2038</v>
      </c>
      <c r="AN23" s="273">
        <f t="shared" si="33"/>
        <v>2039</v>
      </c>
      <c r="AO23" s="273">
        <f t="shared" si="33"/>
        <v>2040</v>
      </c>
      <c r="AP23" s="273">
        <f t="shared" ref="AP23" si="34">AO23+1</f>
        <v>2041</v>
      </c>
      <c r="AQ23" s="273">
        <f t="shared" ref="AQ23" si="35">AP23+1</f>
        <v>2042</v>
      </c>
      <c r="AR23" s="273">
        <f t="shared" ref="AR23" si="36">AQ23+1</f>
        <v>2043</v>
      </c>
      <c r="AS23" s="273">
        <f t="shared" ref="AS23" si="37">AR23+1</f>
        <v>2044</v>
      </c>
      <c r="AT23" s="273">
        <f t="shared" ref="AT23" si="38">AS23+1</f>
        <v>2045</v>
      </c>
      <c r="AU23" s="273">
        <f t="shared" ref="AU23" si="39">AT23+1</f>
        <v>2046</v>
      </c>
      <c r="AV23" s="273">
        <f t="shared" ref="AV23" si="40">AU23+1</f>
        <v>2047</v>
      </c>
      <c r="AW23" s="273">
        <f t="shared" ref="AW23" si="41">AV23+1</f>
        <v>2048</v>
      </c>
      <c r="AX23" s="273">
        <f t="shared" ref="AX23" si="42">AW23+1</f>
        <v>2049</v>
      </c>
      <c r="AY23" s="273">
        <f t="shared" ref="AY23" si="43">AX23+1</f>
        <v>2050</v>
      </c>
      <c r="AZ23" s="273">
        <f t="shared" ref="AZ23" si="44">AY23+1</f>
        <v>2051</v>
      </c>
      <c r="BA23" s="273">
        <f t="shared" ref="BA23" si="45">AZ23+1</f>
        <v>2052</v>
      </c>
      <c r="BB23" s="273">
        <f t="shared" ref="BB23" si="46">BA23+1</f>
        <v>2053</v>
      </c>
      <c r="BC23" s="273">
        <f t="shared" ref="BC23" si="47">BB23+1</f>
        <v>2054</v>
      </c>
      <c r="BD23" s="273">
        <f t="shared" ref="BD23" si="48">BC23+1</f>
        <v>2055</v>
      </c>
      <c r="BE23" s="273">
        <f t="shared" ref="BE23" si="49">BD23+1</f>
        <v>2056</v>
      </c>
      <c r="BF23" s="273">
        <f t="shared" ref="BF23" si="50">BE23+1</f>
        <v>2057</v>
      </c>
      <c r="BG23" s="273">
        <f t="shared" ref="BG23" si="51">BF23+1</f>
        <v>2058</v>
      </c>
      <c r="BH23" s="273">
        <f t="shared" ref="BH23" si="52">BG23+1</f>
        <v>2059</v>
      </c>
      <c r="BI23" s="273">
        <f t="shared" ref="BI23" si="53">BH23+1</f>
        <v>2060</v>
      </c>
      <c r="BJ23" s="273">
        <f t="shared" ref="BJ23" si="54">BI23+1</f>
        <v>2061</v>
      </c>
      <c r="BK23" s="273">
        <f t="shared" ref="BK23" si="55">BJ23+1</f>
        <v>2062</v>
      </c>
      <c r="BL23" s="274">
        <f t="shared" ref="BL23" si="56">BK23+1</f>
        <v>2063</v>
      </c>
      <c r="BM23" s="296"/>
      <c r="BN23" s="32"/>
    </row>
    <row r="24" spans="1:66" ht="15.75" thickBot="1" x14ac:dyDescent="0.3">
      <c r="A24" s="294"/>
      <c r="B24" s="297">
        <f t="shared" ref="B24:B33" si="57">B25-1</f>
        <v>2002</v>
      </c>
      <c r="C24" s="298">
        <f>$B$4/10</f>
        <v>3743.8711000000003</v>
      </c>
      <c r="D24" s="299">
        <f>C24</f>
        <v>3743.8711000000003</v>
      </c>
      <c r="E24" s="300">
        <f t="shared" ref="E24:M24" si="58">D24</f>
        <v>3743.8711000000003</v>
      </c>
      <c r="F24" s="300">
        <f t="shared" si="58"/>
        <v>3743.8711000000003</v>
      </c>
      <c r="G24" s="300">
        <f t="shared" si="58"/>
        <v>3743.8711000000003</v>
      </c>
      <c r="H24" s="300">
        <f t="shared" si="58"/>
        <v>3743.8711000000003</v>
      </c>
      <c r="I24" s="300">
        <f t="shared" si="58"/>
        <v>3743.8711000000003</v>
      </c>
      <c r="J24" s="300">
        <f t="shared" si="58"/>
        <v>3743.8711000000003</v>
      </c>
      <c r="K24" s="300">
        <f t="shared" si="58"/>
        <v>3743.8711000000003</v>
      </c>
      <c r="L24" s="300">
        <f t="shared" si="58"/>
        <v>3743.8711000000003</v>
      </c>
      <c r="M24" s="300">
        <f t="shared" si="58"/>
        <v>3743.8711000000003</v>
      </c>
      <c r="N24" s="301"/>
      <c r="O24" s="302"/>
      <c r="P24" s="302"/>
      <c r="Q24" s="302"/>
      <c r="R24" s="302"/>
      <c r="S24" s="302"/>
      <c r="T24" s="302"/>
      <c r="U24" s="302"/>
      <c r="V24" s="302"/>
      <c r="W24" s="302"/>
      <c r="X24" s="302"/>
      <c r="Y24" s="302"/>
      <c r="Z24" s="302"/>
      <c r="AA24" s="302"/>
      <c r="AB24" s="302"/>
      <c r="AC24" s="302"/>
      <c r="AD24" s="302"/>
      <c r="AE24" s="302"/>
      <c r="AF24" s="302"/>
      <c r="AG24" s="302"/>
      <c r="AH24" s="302"/>
      <c r="AI24" s="302"/>
      <c r="AJ24" s="302"/>
      <c r="AK24" s="302"/>
      <c r="AL24" s="302"/>
      <c r="AM24" s="302"/>
      <c r="AN24" s="302"/>
      <c r="AO24" s="302"/>
      <c r="AP24" s="302"/>
      <c r="AQ24" s="302"/>
      <c r="AR24" s="302"/>
      <c r="AS24" s="302"/>
      <c r="AT24" s="302"/>
      <c r="AU24" s="302"/>
      <c r="AV24" s="302"/>
      <c r="AW24" s="302"/>
      <c r="AX24" s="302"/>
      <c r="AY24" s="302"/>
      <c r="AZ24" s="302"/>
      <c r="BA24" s="302"/>
      <c r="BB24" s="302"/>
      <c r="BC24" s="302"/>
      <c r="BD24" s="302"/>
      <c r="BE24" s="302"/>
      <c r="BF24" s="302"/>
      <c r="BG24" s="302"/>
      <c r="BH24" s="302"/>
      <c r="BI24" s="302"/>
      <c r="BJ24" s="302"/>
      <c r="BK24" s="302"/>
      <c r="BL24" s="303"/>
      <c r="BM24" s="296"/>
      <c r="BN24" s="32"/>
    </row>
    <row r="25" spans="1:66" ht="15.75" thickBot="1" x14ac:dyDescent="0.3">
      <c r="A25" s="284"/>
      <c r="B25" s="297">
        <f t="shared" si="57"/>
        <v>2003</v>
      </c>
      <c r="C25" s="304"/>
      <c r="D25" s="298">
        <f>$B$4/10</f>
        <v>3743.8711000000003</v>
      </c>
      <c r="E25" s="241">
        <f>D25</f>
        <v>3743.8711000000003</v>
      </c>
      <c r="F25" s="241">
        <f t="shared" ref="F25:W34" si="59">E25</f>
        <v>3743.8711000000003</v>
      </c>
      <c r="G25" s="241">
        <f t="shared" si="59"/>
        <v>3743.8711000000003</v>
      </c>
      <c r="H25" s="241">
        <f t="shared" si="59"/>
        <v>3743.8711000000003</v>
      </c>
      <c r="I25" s="241">
        <f t="shared" si="59"/>
        <v>3743.8711000000003</v>
      </c>
      <c r="J25" s="241">
        <f t="shared" si="59"/>
        <v>3743.8711000000003</v>
      </c>
      <c r="K25" s="241">
        <f t="shared" si="59"/>
        <v>3743.8711000000003</v>
      </c>
      <c r="L25" s="241">
        <f t="shared" si="59"/>
        <v>3743.8711000000003</v>
      </c>
      <c r="M25" s="241">
        <f t="shared" si="59"/>
        <v>3743.8711000000003</v>
      </c>
      <c r="N25" s="305">
        <f t="shared" si="59"/>
        <v>3743.8711000000003</v>
      </c>
      <c r="O25" s="306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B25" s="227"/>
      <c r="AC25" s="227"/>
      <c r="AD25" s="227"/>
      <c r="AE25" s="227"/>
      <c r="AF25" s="227"/>
      <c r="AG25" s="227"/>
      <c r="AH25" s="227"/>
      <c r="AI25" s="227"/>
      <c r="AJ25" s="227"/>
      <c r="AK25" s="227"/>
      <c r="AL25" s="227"/>
      <c r="AM25" s="227"/>
      <c r="AN25" s="227"/>
      <c r="AO25" s="227"/>
      <c r="AP25" s="227"/>
      <c r="AQ25" s="227"/>
      <c r="AR25" s="227"/>
      <c r="AS25" s="227"/>
      <c r="AT25" s="227"/>
      <c r="AU25" s="227"/>
      <c r="AV25" s="227"/>
      <c r="AW25" s="227"/>
      <c r="AX25" s="227"/>
      <c r="AY25" s="227"/>
      <c r="AZ25" s="227"/>
      <c r="BA25" s="227"/>
      <c r="BB25" s="227"/>
      <c r="BC25" s="227"/>
      <c r="BD25" s="227"/>
      <c r="BE25" s="227"/>
      <c r="BF25" s="227"/>
      <c r="BG25" s="227"/>
      <c r="BH25" s="227"/>
      <c r="BI25" s="227"/>
      <c r="BJ25" s="227"/>
      <c r="BK25" s="227"/>
      <c r="BL25" s="285"/>
      <c r="BM25" s="296"/>
      <c r="BN25" s="32"/>
    </row>
    <row r="26" spans="1:66" ht="15.75" thickBot="1" x14ac:dyDescent="0.3">
      <c r="A26" s="284"/>
      <c r="B26" s="297">
        <f t="shared" si="57"/>
        <v>2004</v>
      </c>
      <c r="C26" s="307"/>
      <c r="D26" s="241"/>
      <c r="E26" s="308">
        <f>$B$4/10</f>
        <v>3743.8711000000003</v>
      </c>
      <c r="F26" s="241">
        <f t="shared" si="59"/>
        <v>3743.8711000000003</v>
      </c>
      <c r="G26" s="241">
        <f t="shared" si="59"/>
        <v>3743.8711000000003</v>
      </c>
      <c r="H26" s="241">
        <f t="shared" si="59"/>
        <v>3743.8711000000003</v>
      </c>
      <c r="I26" s="241">
        <f t="shared" si="59"/>
        <v>3743.8711000000003</v>
      </c>
      <c r="J26" s="241">
        <f t="shared" si="59"/>
        <v>3743.8711000000003</v>
      </c>
      <c r="K26" s="241">
        <f t="shared" si="59"/>
        <v>3743.8711000000003</v>
      </c>
      <c r="L26" s="241">
        <f t="shared" si="59"/>
        <v>3743.8711000000003</v>
      </c>
      <c r="M26" s="241">
        <f t="shared" si="59"/>
        <v>3743.8711000000003</v>
      </c>
      <c r="N26" s="305">
        <f>M26</f>
        <v>3743.8711000000003</v>
      </c>
      <c r="O26" s="309">
        <f>N26</f>
        <v>3743.8711000000003</v>
      </c>
      <c r="P26" s="309"/>
      <c r="Q26" s="309"/>
      <c r="R26" s="309"/>
      <c r="S26" s="309"/>
      <c r="T26" s="309"/>
      <c r="U26" s="309"/>
      <c r="V26" s="309"/>
      <c r="W26" s="309"/>
      <c r="X26" s="309"/>
      <c r="Y26" s="227"/>
      <c r="Z26" s="227"/>
      <c r="AA26" s="227"/>
      <c r="AB26" s="227"/>
      <c r="AC26" s="227"/>
      <c r="AD26" s="227"/>
      <c r="AE26" s="227"/>
      <c r="AF26" s="227"/>
      <c r="AG26" s="227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227"/>
      <c r="AT26" s="227"/>
      <c r="AU26" s="227"/>
      <c r="AV26" s="227"/>
      <c r="AW26" s="227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227"/>
      <c r="BL26" s="285"/>
      <c r="BM26" s="296"/>
      <c r="BN26" s="32"/>
    </row>
    <row r="27" spans="1:66" ht="15.75" thickBot="1" x14ac:dyDescent="0.3">
      <c r="A27" s="284"/>
      <c r="B27" s="297">
        <f t="shared" si="57"/>
        <v>2005</v>
      </c>
      <c r="C27" s="307"/>
      <c r="D27" s="241"/>
      <c r="E27" s="241"/>
      <c r="F27" s="308">
        <f>$B$4/10</f>
        <v>3743.8711000000003</v>
      </c>
      <c r="G27" s="241">
        <f t="shared" si="59"/>
        <v>3743.8711000000003</v>
      </c>
      <c r="H27" s="241">
        <f t="shared" si="59"/>
        <v>3743.8711000000003</v>
      </c>
      <c r="I27" s="241">
        <f t="shared" si="59"/>
        <v>3743.8711000000003</v>
      </c>
      <c r="J27" s="241">
        <f t="shared" si="59"/>
        <v>3743.8711000000003</v>
      </c>
      <c r="K27" s="241">
        <f t="shared" si="59"/>
        <v>3743.8711000000003</v>
      </c>
      <c r="L27" s="241">
        <f t="shared" si="59"/>
        <v>3743.8711000000003</v>
      </c>
      <c r="M27" s="241">
        <f t="shared" si="59"/>
        <v>3743.8711000000003</v>
      </c>
      <c r="N27" s="305">
        <f t="shared" si="59"/>
        <v>3743.8711000000003</v>
      </c>
      <c r="O27" s="309">
        <f t="shared" si="59"/>
        <v>3743.8711000000003</v>
      </c>
      <c r="P27" s="309">
        <f t="shared" si="59"/>
        <v>3743.8711000000003</v>
      </c>
      <c r="Q27" s="309"/>
      <c r="R27" s="309"/>
      <c r="S27" s="309"/>
      <c r="T27" s="309"/>
      <c r="U27" s="309"/>
      <c r="V27" s="309"/>
      <c r="W27" s="309"/>
      <c r="X27" s="309"/>
      <c r="Y27" s="227"/>
      <c r="Z27" s="227"/>
      <c r="AA27" s="227"/>
      <c r="AB27" s="227"/>
      <c r="AC27" s="227"/>
      <c r="AD27" s="227"/>
      <c r="AE27" s="227"/>
      <c r="AF27" s="227"/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/>
      <c r="AR27" s="227"/>
      <c r="AS27" s="227"/>
      <c r="AT27" s="227"/>
      <c r="AU27" s="227"/>
      <c r="AV27" s="22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227"/>
      <c r="BK27" s="227"/>
      <c r="BL27" s="285"/>
      <c r="BM27" s="296"/>
      <c r="BN27" s="32"/>
    </row>
    <row r="28" spans="1:66" ht="15.75" thickBot="1" x14ac:dyDescent="0.3">
      <c r="A28" s="284"/>
      <c r="B28" s="297">
        <f t="shared" si="57"/>
        <v>2006</v>
      </c>
      <c r="C28" s="307"/>
      <c r="D28" s="241"/>
      <c r="E28" s="241"/>
      <c r="F28" s="241"/>
      <c r="G28" s="308">
        <f>$B$4/10</f>
        <v>3743.8711000000003</v>
      </c>
      <c r="H28" s="241">
        <f t="shared" si="59"/>
        <v>3743.8711000000003</v>
      </c>
      <c r="I28" s="241">
        <f t="shared" si="59"/>
        <v>3743.8711000000003</v>
      </c>
      <c r="J28" s="241">
        <f t="shared" si="59"/>
        <v>3743.8711000000003</v>
      </c>
      <c r="K28" s="241">
        <f t="shared" si="59"/>
        <v>3743.8711000000003</v>
      </c>
      <c r="L28" s="241">
        <f t="shared" si="59"/>
        <v>3743.8711000000003</v>
      </c>
      <c r="M28" s="241">
        <f t="shared" si="59"/>
        <v>3743.8711000000003</v>
      </c>
      <c r="N28" s="305">
        <f t="shared" si="59"/>
        <v>3743.8711000000003</v>
      </c>
      <c r="O28" s="309">
        <f t="shared" si="59"/>
        <v>3743.8711000000003</v>
      </c>
      <c r="P28" s="309">
        <f t="shared" si="59"/>
        <v>3743.8711000000003</v>
      </c>
      <c r="Q28" s="309">
        <f t="shared" si="59"/>
        <v>3743.8711000000003</v>
      </c>
      <c r="R28" s="309"/>
      <c r="S28" s="309"/>
      <c r="T28" s="309"/>
      <c r="U28" s="309"/>
      <c r="V28" s="309"/>
      <c r="W28" s="309"/>
      <c r="X28" s="309"/>
      <c r="Y28" s="227"/>
      <c r="Z28" s="227"/>
      <c r="AA28" s="227"/>
      <c r="AB28" s="227"/>
      <c r="AC28" s="227"/>
      <c r="AD28" s="227"/>
      <c r="AE28" s="227"/>
      <c r="AF28" s="227"/>
      <c r="AG28" s="227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227"/>
      <c r="AT28" s="227"/>
      <c r="AU28" s="227"/>
      <c r="AV28" s="227"/>
      <c r="AW28" s="227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227"/>
      <c r="BL28" s="285"/>
      <c r="BM28" s="296"/>
      <c r="BN28" s="32"/>
    </row>
    <row r="29" spans="1:66" ht="15.75" thickBot="1" x14ac:dyDescent="0.3">
      <c r="A29" s="284"/>
      <c r="B29" s="297">
        <f t="shared" si="57"/>
        <v>2007</v>
      </c>
      <c r="C29" s="307"/>
      <c r="D29" s="241"/>
      <c r="E29" s="241"/>
      <c r="F29" s="241"/>
      <c r="G29" s="241"/>
      <c r="H29" s="308">
        <f>$B$4/10</f>
        <v>3743.8711000000003</v>
      </c>
      <c r="I29" s="241">
        <f t="shared" si="59"/>
        <v>3743.8711000000003</v>
      </c>
      <c r="J29" s="241">
        <f t="shared" si="59"/>
        <v>3743.8711000000003</v>
      </c>
      <c r="K29" s="241">
        <f t="shared" si="59"/>
        <v>3743.8711000000003</v>
      </c>
      <c r="L29" s="241">
        <f t="shared" si="59"/>
        <v>3743.8711000000003</v>
      </c>
      <c r="M29" s="241">
        <f t="shared" si="59"/>
        <v>3743.8711000000003</v>
      </c>
      <c r="N29" s="305">
        <f t="shared" si="59"/>
        <v>3743.8711000000003</v>
      </c>
      <c r="O29" s="309">
        <f t="shared" si="59"/>
        <v>3743.8711000000003</v>
      </c>
      <c r="P29" s="309">
        <f t="shared" si="59"/>
        <v>3743.8711000000003</v>
      </c>
      <c r="Q29" s="309">
        <f t="shared" si="59"/>
        <v>3743.8711000000003</v>
      </c>
      <c r="R29" s="309">
        <f t="shared" si="59"/>
        <v>3743.8711000000003</v>
      </c>
      <c r="S29" s="309"/>
      <c r="T29" s="309"/>
      <c r="U29" s="309"/>
      <c r="V29" s="309"/>
      <c r="W29" s="309"/>
      <c r="X29" s="309"/>
      <c r="Y29" s="227"/>
      <c r="Z29" s="227"/>
      <c r="AA29" s="227"/>
      <c r="AB29" s="227"/>
      <c r="AC29" s="227"/>
      <c r="AD29" s="227"/>
      <c r="AE29" s="227"/>
      <c r="AF29" s="227"/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/>
      <c r="AR29" s="227"/>
      <c r="AS29" s="227"/>
      <c r="AT29" s="227"/>
      <c r="AU29" s="227"/>
      <c r="AV29" s="227"/>
      <c r="AW29" s="227"/>
      <c r="AX29" s="227"/>
      <c r="AY29" s="227"/>
      <c r="AZ29" s="227"/>
      <c r="BA29" s="227"/>
      <c r="BB29" s="227"/>
      <c r="BC29" s="227"/>
      <c r="BD29" s="227"/>
      <c r="BE29" s="227"/>
      <c r="BF29" s="227"/>
      <c r="BG29" s="227"/>
      <c r="BH29" s="227"/>
      <c r="BI29" s="227"/>
      <c r="BJ29" s="227"/>
      <c r="BK29" s="227"/>
      <c r="BL29" s="285"/>
      <c r="BM29" s="296"/>
      <c r="BN29" s="32"/>
    </row>
    <row r="30" spans="1:66" ht="15.75" thickBot="1" x14ac:dyDescent="0.3">
      <c r="A30" s="284"/>
      <c r="B30" s="297">
        <f t="shared" si="57"/>
        <v>2008</v>
      </c>
      <c r="C30" s="307"/>
      <c r="D30" s="241"/>
      <c r="E30" s="241"/>
      <c r="F30" s="241"/>
      <c r="G30" s="241"/>
      <c r="H30" s="241"/>
      <c r="I30" s="308">
        <f>$B$4/10</f>
        <v>3743.8711000000003</v>
      </c>
      <c r="J30" s="241">
        <f t="shared" si="59"/>
        <v>3743.8711000000003</v>
      </c>
      <c r="K30" s="241">
        <f t="shared" si="59"/>
        <v>3743.8711000000003</v>
      </c>
      <c r="L30" s="241">
        <f t="shared" si="59"/>
        <v>3743.8711000000003</v>
      </c>
      <c r="M30" s="241">
        <f t="shared" si="59"/>
        <v>3743.8711000000003</v>
      </c>
      <c r="N30" s="305">
        <f t="shared" si="59"/>
        <v>3743.8711000000003</v>
      </c>
      <c r="O30" s="309">
        <f t="shared" si="59"/>
        <v>3743.8711000000003</v>
      </c>
      <c r="P30" s="309">
        <f t="shared" si="59"/>
        <v>3743.8711000000003</v>
      </c>
      <c r="Q30" s="309">
        <f t="shared" si="59"/>
        <v>3743.8711000000003</v>
      </c>
      <c r="R30" s="309">
        <f t="shared" si="59"/>
        <v>3743.8711000000003</v>
      </c>
      <c r="S30" s="309">
        <f t="shared" si="59"/>
        <v>3743.8711000000003</v>
      </c>
      <c r="T30" s="309"/>
      <c r="U30" s="309"/>
      <c r="V30" s="309"/>
      <c r="W30" s="309"/>
      <c r="X30" s="309"/>
      <c r="Y30" s="227"/>
      <c r="Z30" s="227"/>
      <c r="AA30" s="227"/>
      <c r="AB30" s="227"/>
      <c r="AC30" s="227"/>
      <c r="AD30" s="227"/>
      <c r="AE30" s="227"/>
      <c r="AF30" s="227"/>
      <c r="AG30" s="227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227"/>
      <c r="AT30" s="227"/>
      <c r="AU30" s="227"/>
      <c r="AV30" s="227"/>
      <c r="AW30" s="227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227"/>
      <c r="BL30" s="285"/>
      <c r="BM30" s="296"/>
      <c r="BN30" s="32"/>
    </row>
    <row r="31" spans="1:66" ht="15.75" thickBot="1" x14ac:dyDescent="0.3">
      <c r="A31" s="284"/>
      <c r="B31" s="297">
        <f t="shared" si="57"/>
        <v>2009</v>
      </c>
      <c r="C31" s="307"/>
      <c r="D31" s="241"/>
      <c r="E31" s="241"/>
      <c r="F31" s="241"/>
      <c r="G31" s="241"/>
      <c r="H31" s="241"/>
      <c r="I31" s="241"/>
      <c r="J31" s="308">
        <f>$B$4/10</f>
        <v>3743.8711000000003</v>
      </c>
      <c r="K31" s="241">
        <f t="shared" si="59"/>
        <v>3743.8711000000003</v>
      </c>
      <c r="L31" s="241">
        <f t="shared" si="59"/>
        <v>3743.8711000000003</v>
      </c>
      <c r="M31" s="241">
        <f t="shared" si="59"/>
        <v>3743.8711000000003</v>
      </c>
      <c r="N31" s="305">
        <f t="shared" si="59"/>
        <v>3743.8711000000003</v>
      </c>
      <c r="O31" s="309">
        <f t="shared" si="59"/>
        <v>3743.8711000000003</v>
      </c>
      <c r="P31" s="309">
        <f t="shared" si="59"/>
        <v>3743.8711000000003</v>
      </c>
      <c r="Q31" s="309">
        <f t="shared" si="59"/>
        <v>3743.8711000000003</v>
      </c>
      <c r="R31" s="309">
        <f t="shared" si="59"/>
        <v>3743.8711000000003</v>
      </c>
      <c r="S31" s="309">
        <f t="shared" si="59"/>
        <v>3743.8711000000003</v>
      </c>
      <c r="T31" s="309">
        <f t="shared" si="59"/>
        <v>3743.8711000000003</v>
      </c>
      <c r="U31" s="309"/>
      <c r="V31" s="309"/>
      <c r="W31" s="309"/>
      <c r="X31" s="309"/>
      <c r="Y31" s="227"/>
      <c r="Z31" s="227"/>
      <c r="AA31" s="227"/>
      <c r="AB31" s="227"/>
      <c r="AC31" s="227"/>
      <c r="AD31" s="227"/>
      <c r="AE31" s="227"/>
      <c r="AF31" s="227"/>
      <c r="AG31" s="227"/>
      <c r="AH31" s="227"/>
      <c r="AI31" s="227"/>
      <c r="AJ31" s="227"/>
      <c r="AK31" s="227"/>
      <c r="AL31" s="227"/>
      <c r="AM31" s="227"/>
      <c r="AN31" s="227"/>
      <c r="AO31" s="227"/>
      <c r="AP31" s="227"/>
      <c r="AQ31" s="227"/>
      <c r="AR31" s="227"/>
      <c r="AS31" s="227"/>
      <c r="AT31" s="227"/>
      <c r="AU31" s="227"/>
      <c r="AV31" s="227"/>
      <c r="AW31" s="227"/>
      <c r="AX31" s="227"/>
      <c r="AY31" s="227"/>
      <c r="AZ31" s="227"/>
      <c r="BA31" s="227"/>
      <c r="BB31" s="227"/>
      <c r="BC31" s="227"/>
      <c r="BD31" s="227"/>
      <c r="BE31" s="227"/>
      <c r="BF31" s="227"/>
      <c r="BG31" s="227"/>
      <c r="BH31" s="227"/>
      <c r="BI31" s="227"/>
      <c r="BJ31" s="227"/>
      <c r="BK31" s="227"/>
      <c r="BL31" s="285"/>
      <c r="BM31" s="296"/>
      <c r="BN31" s="32"/>
    </row>
    <row r="32" spans="1:66" ht="15.75" thickBot="1" x14ac:dyDescent="0.3">
      <c r="A32" s="284"/>
      <c r="B32" s="297">
        <f t="shared" si="57"/>
        <v>2010</v>
      </c>
      <c r="C32" s="307"/>
      <c r="D32" s="241"/>
      <c r="E32" s="241"/>
      <c r="F32" s="241"/>
      <c r="G32" s="241"/>
      <c r="H32" s="241"/>
      <c r="I32" s="241"/>
      <c r="J32" s="241"/>
      <c r="K32" s="308">
        <f>$B$4/10</f>
        <v>3743.8711000000003</v>
      </c>
      <c r="L32" s="241">
        <f t="shared" si="59"/>
        <v>3743.8711000000003</v>
      </c>
      <c r="M32" s="241">
        <f t="shared" si="59"/>
        <v>3743.8711000000003</v>
      </c>
      <c r="N32" s="305">
        <f t="shared" si="59"/>
        <v>3743.8711000000003</v>
      </c>
      <c r="O32" s="309">
        <f t="shared" si="59"/>
        <v>3743.8711000000003</v>
      </c>
      <c r="P32" s="309">
        <f t="shared" si="59"/>
        <v>3743.8711000000003</v>
      </c>
      <c r="Q32" s="309">
        <f t="shared" si="59"/>
        <v>3743.8711000000003</v>
      </c>
      <c r="R32" s="309">
        <f t="shared" si="59"/>
        <v>3743.8711000000003</v>
      </c>
      <c r="S32" s="309">
        <f t="shared" si="59"/>
        <v>3743.8711000000003</v>
      </c>
      <c r="T32" s="309">
        <f t="shared" si="59"/>
        <v>3743.8711000000003</v>
      </c>
      <c r="U32" s="309">
        <f t="shared" si="59"/>
        <v>3743.8711000000003</v>
      </c>
      <c r="V32" s="309"/>
      <c r="W32" s="309"/>
      <c r="X32" s="309"/>
      <c r="Y32" s="227"/>
      <c r="Z32" s="227"/>
      <c r="AA32" s="227"/>
      <c r="AB32" s="227"/>
      <c r="AC32" s="227"/>
      <c r="AD32" s="227"/>
      <c r="AE32" s="227"/>
      <c r="AF32" s="227"/>
      <c r="AG32" s="227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227"/>
      <c r="BL32" s="285"/>
      <c r="BM32" s="296"/>
      <c r="BN32" s="32"/>
    </row>
    <row r="33" spans="1:66" ht="15.75" thickBot="1" x14ac:dyDescent="0.3">
      <c r="A33" s="284"/>
      <c r="B33" s="297">
        <f t="shared" si="57"/>
        <v>2011</v>
      </c>
      <c r="C33" s="307"/>
      <c r="D33" s="241"/>
      <c r="E33" s="241"/>
      <c r="F33" s="241"/>
      <c r="G33" s="241"/>
      <c r="H33" s="241"/>
      <c r="I33" s="241"/>
      <c r="J33" s="241"/>
      <c r="K33" s="241"/>
      <c r="L33" s="308">
        <f>$B$4/10</f>
        <v>3743.8711000000003</v>
      </c>
      <c r="M33" s="241">
        <f t="shared" si="59"/>
        <v>3743.8711000000003</v>
      </c>
      <c r="N33" s="305">
        <f t="shared" si="59"/>
        <v>3743.8711000000003</v>
      </c>
      <c r="O33" s="309">
        <f t="shared" si="59"/>
        <v>3743.8711000000003</v>
      </c>
      <c r="P33" s="309">
        <f t="shared" si="59"/>
        <v>3743.8711000000003</v>
      </c>
      <c r="Q33" s="309">
        <f t="shared" si="59"/>
        <v>3743.8711000000003</v>
      </c>
      <c r="R33" s="309">
        <f t="shared" si="59"/>
        <v>3743.8711000000003</v>
      </c>
      <c r="S33" s="309">
        <f t="shared" si="59"/>
        <v>3743.8711000000003</v>
      </c>
      <c r="T33" s="309">
        <f t="shared" si="59"/>
        <v>3743.8711000000003</v>
      </c>
      <c r="U33" s="309">
        <f t="shared" si="59"/>
        <v>3743.8711000000003</v>
      </c>
      <c r="V33" s="309">
        <f t="shared" si="59"/>
        <v>3743.8711000000003</v>
      </c>
      <c r="W33" s="309"/>
      <c r="X33" s="309"/>
      <c r="Y33" s="227"/>
      <c r="Z33" s="227"/>
      <c r="AA33" s="227"/>
      <c r="AB33" s="227"/>
      <c r="AC33" s="227"/>
      <c r="AD33" s="227"/>
      <c r="AE33" s="227"/>
      <c r="AF33" s="227"/>
      <c r="AG33" s="227"/>
      <c r="AH33" s="227"/>
      <c r="AI33" s="227"/>
      <c r="AJ33" s="227"/>
      <c r="AK33" s="227"/>
      <c r="AL33" s="227"/>
      <c r="AM33" s="227"/>
      <c r="AN33" s="227"/>
      <c r="AO33" s="227"/>
      <c r="AP33" s="227"/>
      <c r="AQ33" s="227"/>
      <c r="AR33" s="227"/>
      <c r="AS33" s="227"/>
      <c r="AT33" s="227"/>
      <c r="AU33" s="227"/>
      <c r="AV33" s="227"/>
      <c r="AW33" s="227"/>
      <c r="AX33" s="227"/>
      <c r="AY33" s="227"/>
      <c r="AZ33" s="227"/>
      <c r="BA33" s="227"/>
      <c r="BB33" s="227"/>
      <c r="BC33" s="227"/>
      <c r="BD33" s="227"/>
      <c r="BE33" s="227"/>
      <c r="BF33" s="227"/>
      <c r="BG33" s="227"/>
      <c r="BH33" s="227"/>
      <c r="BI33" s="227"/>
      <c r="BJ33" s="227"/>
      <c r="BK33" s="227"/>
      <c r="BL33" s="285"/>
      <c r="BM33" s="296"/>
      <c r="BN33" s="32"/>
    </row>
    <row r="34" spans="1:66" ht="15.75" thickBot="1" x14ac:dyDescent="0.3">
      <c r="A34" s="284"/>
      <c r="B34" s="297">
        <f>B35-1</f>
        <v>2012</v>
      </c>
      <c r="C34" s="307"/>
      <c r="D34" s="241"/>
      <c r="E34" s="241"/>
      <c r="F34" s="241"/>
      <c r="G34" s="241"/>
      <c r="H34" s="241"/>
      <c r="I34" s="241"/>
      <c r="J34" s="241"/>
      <c r="K34" s="241"/>
      <c r="L34" s="241"/>
      <c r="M34" s="308">
        <f>$B$4/10</f>
        <v>3743.8711000000003</v>
      </c>
      <c r="N34" s="305">
        <f t="shared" si="59"/>
        <v>3743.8711000000003</v>
      </c>
      <c r="O34" s="309">
        <f t="shared" si="59"/>
        <v>3743.8711000000003</v>
      </c>
      <c r="P34" s="309">
        <f t="shared" si="59"/>
        <v>3743.8711000000003</v>
      </c>
      <c r="Q34" s="309">
        <f t="shared" si="59"/>
        <v>3743.8711000000003</v>
      </c>
      <c r="R34" s="309">
        <f t="shared" si="59"/>
        <v>3743.8711000000003</v>
      </c>
      <c r="S34" s="309">
        <f t="shared" si="59"/>
        <v>3743.8711000000003</v>
      </c>
      <c r="T34" s="309">
        <f t="shared" si="59"/>
        <v>3743.8711000000003</v>
      </c>
      <c r="U34" s="309">
        <f t="shared" si="59"/>
        <v>3743.8711000000003</v>
      </c>
      <c r="V34" s="309">
        <f t="shared" si="59"/>
        <v>3743.8711000000003</v>
      </c>
      <c r="W34" s="309">
        <f t="shared" si="59"/>
        <v>3743.8711000000003</v>
      </c>
      <c r="X34" s="309"/>
      <c r="Y34" s="227"/>
      <c r="Z34" s="227"/>
      <c r="AA34" s="227"/>
      <c r="AB34" s="227"/>
      <c r="AC34" s="227"/>
      <c r="AD34" s="227"/>
      <c r="AE34" s="227"/>
      <c r="AF34" s="227"/>
      <c r="AG34" s="227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227"/>
      <c r="AT34" s="227"/>
      <c r="AU34" s="227"/>
      <c r="AV34" s="227"/>
      <c r="AW34" s="227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227"/>
      <c r="BL34" s="285"/>
      <c r="BM34" s="296"/>
      <c r="BN34" s="32"/>
    </row>
    <row r="35" spans="1:66" ht="15.75" thickBot="1" x14ac:dyDescent="0.3">
      <c r="A35" s="286" t="s">
        <v>1193</v>
      </c>
      <c r="B35" s="310">
        <f>$C$3</f>
        <v>2013</v>
      </c>
      <c r="C35" s="311"/>
      <c r="D35" s="312"/>
      <c r="E35" s="312"/>
      <c r="F35" s="312"/>
      <c r="G35" s="312"/>
      <c r="H35" s="312"/>
      <c r="I35" s="312"/>
      <c r="J35" s="312"/>
      <c r="K35" s="312"/>
      <c r="L35" s="312"/>
      <c r="M35" s="312"/>
      <c r="N35" s="308">
        <f>C4-B4+C24</f>
        <v>6280.3360999999968</v>
      </c>
      <c r="O35" s="309">
        <f t="shared" ref="O35:X35" si="60">N35</f>
        <v>6280.3360999999968</v>
      </c>
      <c r="P35" s="309">
        <f t="shared" si="60"/>
        <v>6280.3360999999968</v>
      </c>
      <c r="Q35" s="309">
        <f t="shared" si="60"/>
        <v>6280.3360999999968</v>
      </c>
      <c r="R35" s="309">
        <f t="shared" si="60"/>
        <v>6280.3360999999968</v>
      </c>
      <c r="S35" s="309">
        <f t="shared" si="60"/>
        <v>6280.3360999999968</v>
      </c>
      <c r="T35" s="309">
        <f t="shared" si="60"/>
        <v>6280.3360999999968</v>
      </c>
      <c r="U35" s="309">
        <f t="shared" si="60"/>
        <v>6280.3360999999968</v>
      </c>
      <c r="V35" s="309">
        <f t="shared" si="60"/>
        <v>6280.3360999999968</v>
      </c>
      <c r="W35" s="309">
        <f t="shared" si="60"/>
        <v>6280.3360999999968</v>
      </c>
      <c r="X35" s="309">
        <f t="shared" si="60"/>
        <v>6280.3360999999968</v>
      </c>
      <c r="Y35" s="306"/>
      <c r="Z35" s="227" t="str">
        <f t="shared" ref="Z35:BL35" ca="1" si="61">IF(AND(Z$23-$B35&gt;=0,Z$23-$B35&lt;=11),OFFSET(Z35,-10,-10)+HLOOKUP($B35,$N$3:$AO$4,2,FALSE),"")</f>
        <v/>
      </c>
      <c r="AA35" s="227" t="str">
        <f t="shared" ca="1" si="61"/>
        <v/>
      </c>
      <c r="AB35" s="227" t="str">
        <f t="shared" ca="1" si="61"/>
        <v/>
      </c>
      <c r="AC35" s="227" t="str">
        <f t="shared" ca="1" si="61"/>
        <v/>
      </c>
      <c r="AD35" s="227" t="str">
        <f t="shared" ca="1" si="61"/>
        <v/>
      </c>
      <c r="AE35" s="227" t="str">
        <f t="shared" ca="1" si="61"/>
        <v/>
      </c>
      <c r="AF35" s="227" t="str">
        <f t="shared" ca="1" si="61"/>
        <v/>
      </c>
      <c r="AG35" s="227" t="str">
        <f t="shared" ca="1" si="61"/>
        <v/>
      </c>
      <c r="AH35" s="227" t="str">
        <f t="shared" ca="1" si="61"/>
        <v/>
      </c>
      <c r="AI35" s="227" t="str">
        <f t="shared" ca="1" si="61"/>
        <v/>
      </c>
      <c r="AJ35" s="227" t="str">
        <f t="shared" ca="1" si="61"/>
        <v/>
      </c>
      <c r="AK35" s="227" t="str">
        <f t="shared" ca="1" si="61"/>
        <v/>
      </c>
      <c r="AL35" s="227" t="str">
        <f t="shared" ca="1" si="61"/>
        <v/>
      </c>
      <c r="AM35" s="227" t="str">
        <f t="shared" ca="1" si="61"/>
        <v/>
      </c>
      <c r="AN35" s="227" t="str">
        <f t="shared" ca="1" si="61"/>
        <v/>
      </c>
      <c r="AO35" s="227" t="str">
        <f t="shared" ca="1" si="61"/>
        <v/>
      </c>
      <c r="AP35" s="227" t="str">
        <f t="shared" ca="1" si="61"/>
        <v/>
      </c>
      <c r="AQ35" s="227" t="str">
        <f t="shared" ca="1" si="61"/>
        <v/>
      </c>
      <c r="AR35" s="227" t="str">
        <f t="shared" ca="1" si="61"/>
        <v/>
      </c>
      <c r="AS35" s="227" t="str">
        <f t="shared" ca="1" si="61"/>
        <v/>
      </c>
      <c r="AT35" s="227" t="str">
        <f t="shared" ca="1" si="61"/>
        <v/>
      </c>
      <c r="AU35" s="227" t="str">
        <f t="shared" ca="1" si="61"/>
        <v/>
      </c>
      <c r="AV35" s="227" t="str">
        <f t="shared" ca="1" si="61"/>
        <v/>
      </c>
      <c r="AW35" s="227" t="str">
        <f t="shared" ca="1" si="61"/>
        <v/>
      </c>
      <c r="AX35" s="227" t="str">
        <f t="shared" ca="1" si="61"/>
        <v/>
      </c>
      <c r="AY35" s="227" t="str">
        <f t="shared" ca="1" si="61"/>
        <v/>
      </c>
      <c r="AZ35" s="227" t="str">
        <f t="shared" ca="1" si="61"/>
        <v/>
      </c>
      <c r="BA35" s="227" t="str">
        <f t="shared" ca="1" si="61"/>
        <v/>
      </c>
      <c r="BB35" s="227" t="str">
        <f t="shared" ca="1" si="61"/>
        <v/>
      </c>
      <c r="BC35" s="227" t="str">
        <f t="shared" ca="1" si="61"/>
        <v/>
      </c>
      <c r="BD35" s="227" t="str">
        <f t="shared" ca="1" si="61"/>
        <v/>
      </c>
      <c r="BE35" s="227" t="str">
        <f t="shared" ca="1" si="61"/>
        <v/>
      </c>
      <c r="BF35" s="227" t="str">
        <f t="shared" ca="1" si="61"/>
        <v/>
      </c>
      <c r="BG35" s="227" t="str">
        <f t="shared" ca="1" si="61"/>
        <v/>
      </c>
      <c r="BH35" s="227" t="str">
        <f t="shared" ca="1" si="61"/>
        <v/>
      </c>
      <c r="BI35" s="227" t="str">
        <f t="shared" ca="1" si="61"/>
        <v/>
      </c>
      <c r="BJ35" s="227" t="str">
        <f t="shared" ca="1" si="61"/>
        <v/>
      </c>
      <c r="BK35" s="227" t="str">
        <f t="shared" ca="1" si="61"/>
        <v/>
      </c>
      <c r="BL35" s="285" t="str">
        <f t="shared" ca="1" si="61"/>
        <v/>
      </c>
      <c r="BM35" s="296"/>
      <c r="BN35" s="32"/>
    </row>
    <row r="36" spans="1:66" x14ac:dyDescent="0.25">
      <c r="A36" s="284" t="s">
        <v>1194</v>
      </c>
      <c r="B36" s="297">
        <f>B35+1</f>
        <v>2014</v>
      </c>
      <c r="C36" s="269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>
        <f t="shared" ref="O36:X45" ca="1" si="62">IF(AND(O$23-$B36&gt;=0,O$23-$B36&lt;=10),OFFSET(O36,-10,-10)+HLOOKUP($B36,$N$3:$BL$4,2,FALSE),"")</f>
        <v>5960.2795670444466</v>
      </c>
      <c r="P36" s="227">
        <f t="shared" ca="1" si="62"/>
        <v>5960.2795670444466</v>
      </c>
      <c r="Q36" s="227">
        <f t="shared" ca="1" si="62"/>
        <v>5960.2795670444466</v>
      </c>
      <c r="R36" s="227">
        <f t="shared" ca="1" si="62"/>
        <v>5960.2795670444466</v>
      </c>
      <c r="S36" s="227">
        <f t="shared" ca="1" si="62"/>
        <v>5960.2795670444466</v>
      </c>
      <c r="T36" s="227">
        <f t="shared" ca="1" si="62"/>
        <v>5960.2795670444466</v>
      </c>
      <c r="U36" s="227">
        <f t="shared" ca="1" si="62"/>
        <v>5960.2795670444466</v>
      </c>
      <c r="V36" s="227">
        <f t="shared" ca="1" si="62"/>
        <v>5960.2795670444466</v>
      </c>
      <c r="W36" s="227">
        <f t="shared" ca="1" si="62"/>
        <v>5960.2795670444466</v>
      </c>
      <c r="X36" s="227">
        <f t="shared" ca="1" si="62"/>
        <v>5960.2795670444466</v>
      </c>
      <c r="Y36" s="227">
        <f t="shared" ref="Y36:AH45" ca="1" si="63">IF(AND(Y$23-$B36&gt;=0,Y$23-$B36&lt;=10),OFFSET(Y36,-10,-10)+HLOOKUP($B36,$N$3:$BL$4,2,FALSE),"")</f>
        <v>5960.2795670444466</v>
      </c>
      <c r="Z36" s="227" t="str">
        <f t="shared" ca="1" si="63"/>
        <v/>
      </c>
      <c r="AA36" s="227" t="str">
        <f t="shared" ca="1" si="63"/>
        <v/>
      </c>
      <c r="AB36" s="227" t="str">
        <f t="shared" ca="1" si="63"/>
        <v/>
      </c>
      <c r="AC36" s="227" t="str">
        <f t="shared" ca="1" si="63"/>
        <v/>
      </c>
      <c r="AD36" s="227" t="str">
        <f t="shared" ca="1" si="63"/>
        <v/>
      </c>
      <c r="AE36" s="227" t="str">
        <f t="shared" ca="1" si="63"/>
        <v/>
      </c>
      <c r="AF36" s="227" t="str">
        <f t="shared" ca="1" si="63"/>
        <v/>
      </c>
      <c r="AG36" s="227" t="str">
        <f t="shared" ca="1" si="63"/>
        <v/>
      </c>
      <c r="AH36" s="227" t="str">
        <f t="shared" ca="1" si="63"/>
        <v/>
      </c>
      <c r="AI36" s="227" t="str">
        <f t="shared" ref="AI36:AR45" ca="1" si="64">IF(AND(AI$23-$B36&gt;=0,AI$23-$B36&lt;=10),OFFSET(AI36,-10,-10)+HLOOKUP($B36,$N$3:$BL$4,2,FALSE),"")</f>
        <v/>
      </c>
      <c r="AJ36" s="227" t="str">
        <f t="shared" ca="1" si="64"/>
        <v/>
      </c>
      <c r="AK36" s="227" t="str">
        <f t="shared" ca="1" si="64"/>
        <v/>
      </c>
      <c r="AL36" s="227" t="str">
        <f t="shared" ca="1" si="64"/>
        <v/>
      </c>
      <c r="AM36" s="227" t="str">
        <f t="shared" ca="1" si="64"/>
        <v/>
      </c>
      <c r="AN36" s="227" t="str">
        <f t="shared" ca="1" si="64"/>
        <v/>
      </c>
      <c r="AO36" s="227" t="str">
        <f t="shared" ca="1" si="64"/>
        <v/>
      </c>
      <c r="AP36" s="227" t="str">
        <f t="shared" ca="1" si="64"/>
        <v/>
      </c>
      <c r="AQ36" s="227" t="str">
        <f t="shared" ca="1" si="64"/>
        <v/>
      </c>
      <c r="AR36" s="227" t="str">
        <f t="shared" ca="1" si="64"/>
        <v/>
      </c>
      <c r="AS36" s="227" t="str">
        <f t="shared" ref="AS36:BB45" ca="1" si="65">IF(AND(AS$23-$B36&gt;=0,AS$23-$B36&lt;=10),OFFSET(AS36,-10,-10)+HLOOKUP($B36,$N$3:$BL$4,2,FALSE),"")</f>
        <v/>
      </c>
      <c r="AT36" s="227" t="str">
        <f t="shared" ca="1" si="65"/>
        <v/>
      </c>
      <c r="AU36" s="227" t="str">
        <f t="shared" ca="1" si="65"/>
        <v/>
      </c>
      <c r="AV36" s="227" t="str">
        <f t="shared" ca="1" si="65"/>
        <v/>
      </c>
      <c r="AW36" s="227" t="str">
        <f t="shared" ca="1" si="65"/>
        <v/>
      </c>
      <c r="AX36" s="227" t="str">
        <f t="shared" ca="1" si="65"/>
        <v/>
      </c>
      <c r="AY36" s="227" t="str">
        <f t="shared" ca="1" si="65"/>
        <v/>
      </c>
      <c r="AZ36" s="227" t="str">
        <f t="shared" ca="1" si="65"/>
        <v/>
      </c>
      <c r="BA36" s="227" t="str">
        <f t="shared" ca="1" si="65"/>
        <v/>
      </c>
      <c r="BB36" s="227" t="str">
        <f t="shared" ca="1" si="65"/>
        <v/>
      </c>
      <c r="BC36" s="227" t="str">
        <f t="shared" ref="BC36:BL45" ca="1" si="66">IF(AND(BC$23-$B36&gt;=0,BC$23-$B36&lt;=10),OFFSET(BC36,-10,-10)+HLOOKUP($B36,$N$3:$BL$4,2,FALSE),"")</f>
        <v/>
      </c>
      <c r="BD36" s="227" t="str">
        <f t="shared" ca="1" si="66"/>
        <v/>
      </c>
      <c r="BE36" s="227" t="str">
        <f t="shared" ca="1" si="66"/>
        <v/>
      </c>
      <c r="BF36" s="227" t="str">
        <f t="shared" ca="1" si="66"/>
        <v/>
      </c>
      <c r="BG36" s="227" t="str">
        <f t="shared" ca="1" si="66"/>
        <v/>
      </c>
      <c r="BH36" s="227" t="str">
        <f t="shared" ca="1" si="66"/>
        <v/>
      </c>
      <c r="BI36" s="227" t="str">
        <f t="shared" ca="1" si="66"/>
        <v/>
      </c>
      <c r="BJ36" s="227" t="str">
        <f t="shared" ca="1" si="66"/>
        <v/>
      </c>
      <c r="BK36" s="227" t="str">
        <f t="shared" ca="1" si="66"/>
        <v/>
      </c>
      <c r="BL36" s="285" t="str">
        <f t="shared" ca="1" si="66"/>
        <v/>
      </c>
      <c r="BM36" s="296"/>
      <c r="BN36" s="32"/>
    </row>
    <row r="37" spans="1:66" x14ac:dyDescent="0.25">
      <c r="A37" s="284" t="s">
        <v>1195</v>
      </c>
      <c r="B37" s="297">
        <f t="shared" ref="B37:B85" si="67">B36+1</f>
        <v>2015</v>
      </c>
      <c r="C37" s="269"/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227" t="str">
        <f t="shared" ca="1" si="62"/>
        <v/>
      </c>
      <c r="P37" s="227">
        <f t="shared" ca="1" si="62"/>
        <v>6531.9869930072246</v>
      </c>
      <c r="Q37" s="227">
        <f t="shared" ca="1" si="62"/>
        <v>6531.9869930072246</v>
      </c>
      <c r="R37" s="227">
        <f t="shared" ca="1" si="62"/>
        <v>6531.9869930072246</v>
      </c>
      <c r="S37" s="227">
        <f t="shared" ca="1" si="62"/>
        <v>6531.9869930072246</v>
      </c>
      <c r="T37" s="227">
        <f t="shared" ca="1" si="62"/>
        <v>6531.9869930072246</v>
      </c>
      <c r="U37" s="227">
        <f t="shared" ca="1" si="62"/>
        <v>6531.9869930072246</v>
      </c>
      <c r="V37" s="227">
        <f t="shared" ca="1" si="62"/>
        <v>6531.9869930072246</v>
      </c>
      <c r="W37" s="227">
        <f t="shared" ca="1" si="62"/>
        <v>6531.9869930072246</v>
      </c>
      <c r="X37" s="227">
        <f t="shared" ca="1" si="62"/>
        <v>6531.9869930072246</v>
      </c>
      <c r="Y37" s="227">
        <f t="shared" ca="1" si="63"/>
        <v>6531.9869930072246</v>
      </c>
      <c r="Z37" s="227">
        <f t="shared" ca="1" si="63"/>
        <v>6531.9869930072246</v>
      </c>
      <c r="AA37" s="227" t="str">
        <f t="shared" ca="1" si="63"/>
        <v/>
      </c>
      <c r="AB37" s="227" t="str">
        <f t="shared" ca="1" si="63"/>
        <v/>
      </c>
      <c r="AC37" s="227" t="str">
        <f t="shared" ca="1" si="63"/>
        <v/>
      </c>
      <c r="AD37" s="227" t="str">
        <f t="shared" ca="1" si="63"/>
        <v/>
      </c>
      <c r="AE37" s="227" t="str">
        <f t="shared" ca="1" si="63"/>
        <v/>
      </c>
      <c r="AF37" s="227" t="str">
        <f t="shared" ca="1" si="63"/>
        <v/>
      </c>
      <c r="AG37" s="227" t="str">
        <f t="shared" ca="1" si="63"/>
        <v/>
      </c>
      <c r="AH37" s="227" t="str">
        <f t="shared" ca="1" si="63"/>
        <v/>
      </c>
      <c r="AI37" s="227" t="str">
        <f t="shared" ca="1" si="64"/>
        <v/>
      </c>
      <c r="AJ37" s="227" t="str">
        <f t="shared" ca="1" si="64"/>
        <v/>
      </c>
      <c r="AK37" s="227" t="str">
        <f t="shared" ca="1" si="64"/>
        <v/>
      </c>
      <c r="AL37" s="227" t="str">
        <f t="shared" ca="1" si="64"/>
        <v/>
      </c>
      <c r="AM37" s="227" t="str">
        <f t="shared" ca="1" si="64"/>
        <v/>
      </c>
      <c r="AN37" s="227" t="str">
        <f t="shared" ca="1" si="64"/>
        <v/>
      </c>
      <c r="AO37" s="227" t="str">
        <f t="shared" ca="1" si="64"/>
        <v/>
      </c>
      <c r="AP37" s="227" t="str">
        <f t="shared" ca="1" si="64"/>
        <v/>
      </c>
      <c r="AQ37" s="227" t="str">
        <f t="shared" ca="1" si="64"/>
        <v/>
      </c>
      <c r="AR37" s="227" t="str">
        <f t="shared" ca="1" si="64"/>
        <v/>
      </c>
      <c r="AS37" s="227" t="str">
        <f t="shared" ca="1" si="65"/>
        <v/>
      </c>
      <c r="AT37" s="227" t="str">
        <f t="shared" ca="1" si="65"/>
        <v/>
      </c>
      <c r="AU37" s="227" t="str">
        <f t="shared" ca="1" si="65"/>
        <v/>
      </c>
      <c r="AV37" s="227" t="str">
        <f t="shared" ca="1" si="65"/>
        <v/>
      </c>
      <c r="AW37" s="227" t="str">
        <f t="shared" ca="1" si="65"/>
        <v/>
      </c>
      <c r="AX37" s="227" t="str">
        <f t="shared" ca="1" si="65"/>
        <v/>
      </c>
      <c r="AY37" s="227" t="str">
        <f t="shared" ca="1" si="65"/>
        <v/>
      </c>
      <c r="AZ37" s="227" t="str">
        <f t="shared" ca="1" si="65"/>
        <v/>
      </c>
      <c r="BA37" s="227" t="str">
        <f t="shared" ca="1" si="65"/>
        <v/>
      </c>
      <c r="BB37" s="227" t="str">
        <f t="shared" ca="1" si="65"/>
        <v/>
      </c>
      <c r="BC37" s="227" t="str">
        <f t="shared" ca="1" si="66"/>
        <v/>
      </c>
      <c r="BD37" s="227" t="str">
        <f t="shared" ca="1" si="66"/>
        <v/>
      </c>
      <c r="BE37" s="227" t="str">
        <f t="shared" ca="1" si="66"/>
        <v/>
      </c>
      <c r="BF37" s="227" t="str">
        <f t="shared" ca="1" si="66"/>
        <v/>
      </c>
      <c r="BG37" s="227" t="str">
        <f t="shared" ca="1" si="66"/>
        <v/>
      </c>
      <c r="BH37" s="227" t="str">
        <f t="shared" ca="1" si="66"/>
        <v/>
      </c>
      <c r="BI37" s="227" t="str">
        <f t="shared" ca="1" si="66"/>
        <v/>
      </c>
      <c r="BJ37" s="227" t="str">
        <f t="shared" ca="1" si="66"/>
        <v/>
      </c>
      <c r="BK37" s="227" t="str">
        <f t="shared" ca="1" si="66"/>
        <v/>
      </c>
      <c r="BL37" s="285" t="str">
        <f t="shared" ca="1" si="66"/>
        <v/>
      </c>
      <c r="BM37" s="296"/>
      <c r="BN37" s="32"/>
    </row>
    <row r="38" spans="1:66" x14ac:dyDescent="0.25">
      <c r="A38" s="284"/>
      <c r="B38" s="297">
        <f t="shared" si="67"/>
        <v>2016</v>
      </c>
      <c r="C38" s="269"/>
      <c r="D38" s="227"/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 t="str">
        <f t="shared" ca="1" si="62"/>
        <v/>
      </c>
      <c r="P38" s="227" t="str">
        <f t="shared" ca="1" si="62"/>
        <v/>
      </c>
      <c r="Q38" s="227">
        <f t="shared" ca="1" si="62"/>
        <v>6495.9637755259591</v>
      </c>
      <c r="R38" s="227">
        <f t="shared" ca="1" si="62"/>
        <v>6495.9637755259591</v>
      </c>
      <c r="S38" s="227">
        <f t="shared" ca="1" si="62"/>
        <v>6495.9637755259591</v>
      </c>
      <c r="T38" s="227">
        <f t="shared" ca="1" si="62"/>
        <v>6495.9637755259591</v>
      </c>
      <c r="U38" s="227">
        <f t="shared" ca="1" si="62"/>
        <v>6495.9637755259591</v>
      </c>
      <c r="V38" s="227">
        <f t="shared" ca="1" si="62"/>
        <v>6495.9637755259591</v>
      </c>
      <c r="W38" s="227">
        <f t="shared" ca="1" si="62"/>
        <v>6495.9637755259591</v>
      </c>
      <c r="X38" s="227">
        <f t="shared" ca="1" si="62"/>
        <v>6495.9637755259591</v>
      </c>
      <c r="Y38" s="227">
        <f t="shared" ca="1" si="63"/>
        <v>6495.9637755259591</v>
      </c>
      <c r="Z38" s="227">
        <f t="shared" ca="1" si="63"/>
        <v>6495.9637755259591</v>
      </c>
      <c r="AA38" s="227">
        <f t="shared" ca="1" si="63"/>
        <v>6495.9637755259591</v>
      </c>
      <c r="AB38" s="227" t="str">
        <f t="shared" ca="1" si="63"/>
        <v/>
      </c>
      <c r="AC38" s="227" t="str">
        <f t="shared" ca="1" si="63"/>
        <v/>
      </c>
      <c r="AD38" s="227" t="str">
        <f t="shared" ca="1" si="63"/>
        <v/>
      </c>
      <c r="AE38" s="227" t="str">
        <f t="shared" ca="1" si="63"/>
        <v/>
      </c>
      <c r="AF38" s="227" t="str">
        <f t="shared" ca="1" si="63"/>
        <v/>
      </c>
      <c r="AG38" s="227" t="str">
        <f t="shared" ca="1" si="63"/>
        <v/>
      </c>
      <c r="AH38" s="227" t="str">
        <f t="shared" ca="1" si="63"/>
        <v/>
      </c>
      <c r="AI38" s="227" t="str">
        <f t="shared" ca="1" si="64"/>
        <v/>
      </c>
      <c r="AJ38" s="227" t="str">
        <f t="shared" ca="1" si="64"/>
        <v/>
      </c>
      <c r="AK38" s="227" t="str">
        <f t="shared" ca="1" si="64"/>
        <v/>
      </c>
      <c r="AL38" s="227" t="str">
        <f t="shared" ca="1" si="64"/>
        <v/>
      </c>
      <c r="AM38" s="227" t="str">
        <f t="shared" ca="1" si="64"/>
        <v/>
      </c>
      <c r="AN38" s="227" t="str">
        <f t="shared" ca="1" si="64"/>
        <v/>
      </c>
      <c r="AO38" s="227" t="str">
        <f t="shared" ca="1" si="64"/>
        <v/>
      </c>
      <c r="AP38" s="227" t="str">
        <f t="shared" ca="1" si="64"/>
        <v/>
      </c>
      <c r="AQ38" s="227" t="str">
        <f t="shared" ca="1" si="64"/>
        <v/>
      </c>
      <c r="AR38" s="227" t="str">
        <f t="shared" ca="1" si="64"/>
        <v/>
      </c>
      <c r="AS38" s="227" t="str">
        <f t="shared" ca="1" si="65"/>
        <v/>
      </c>
      <c r="AT38" s="227" t="str">
        <f t="shared" ca="1" si="65"/>
        <v/>
      </c>
      <c r="AU38" s="227" t="str">
        <f t="shared" ca="1" si="65"/>
        <v/>
      </c>
      <c r="AV38" s="227" t="str">
        <f t="shared" ca="1" si="65"/>
        <v/>
      </c>
      <c r="AW38" s="227" t="str">
        <f t="shared" ca="1" si="65"/>
        <v/>
      </c>
      <c r="AX38" s="227" t="str">
        <f t="shared" ca="1" si="65"/>
        <v/>
      </c>
      <c r="AY38" s="227" t="str">
        <f t="shared" ca="1" si="65"/>
        <v/>
      </c>
      <c r="AZ38" s="227" t="str">
        <f t="shared" ca="1" si="65"/>
        <v/>
      </c>
      <c r="BA38" s="227" t="str">
        <f t="shared" ca="1" si="65"/>
        <v/>
      </c>
      <c r="BB38" s="227" t="str">
        <f t="shared" ca="1" si="65"/>
        <v/>
      </c>
      <c r="BC38" s="227" t="str">
        <f t="shared" ca="1" si="66"/>
        <v/>
      </c>
      <c r="BD38" s="227" t="str">
        <f t="shared" ca="1" si="66"/>
        <v/>
      </c>
      <c r="BE38" s="227" t="str">
        <f t="shared" ca="1" si="66"/>
        <v/>
      </c>
      <c r="BF38" s="227" t="str">
        <f t="shared" ca="1" si="66"/>
        <v/>
      </c>
      <c r="BG38" s="227" t="str">
        <f t="shared" ca="1" si="66"/>
        <v/>
      </c>
      <c r="BH38" s="227" t="str">
        <f t="shared" ca="1" si="66"/>
        <v/>
      </c>
      <c r="BI38" s="227" t="str">
        <f t="shared" ca="1" si="66"/>
        <v/>
      </c>
      <c r="BJ38" s="227" t="str">
        <f t="shared" ca="1" si="66"/>
        <v/>
      </c>
      <c r="BK38" s="227" t="str">
        <f t="shared" ca="1" si="66"/>
        <v/>
      </c>
      <c r="BL38" s="285" t="str">
        <f t="shared" ca="1" si="66"/>
        <v/>
      </c>
      <c r="BM38" s="296"/>
      <c r="BN38" s="32"/>
    </row>
    <row r="39" spans="1:66" x14ac:dyDescent="0.25">
      <c r="A39" s="284"/>
      <c r="B39" s="297">
        <f t="shared" si="67"/>
        <v>2017</v>
      </c>
      <c r="C39" s="269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7"/>
      <c r="O39" s="227" t="str">
        <f t="shared" ca="1" si="62"/>
        <v/>
      </c>
      <c r="P39" s="227" t="str">
        <f t="shared" ca="1" si="62"/>
        <v/>
      </c>
      <c r="Q39" s="227" t="str">
        <f t="shared" ca="1" si="62"/>
        <v/>
      </c>
      <c r="R39" s="227">
        <f t="shared" ca="1" si="62"/>
        <v>6849.8742833040324</v>
      </c>
      <c r="S39" s="227">
        <f t="shared" ca="1" si="62"/>
        <v>6849.8742833040324</v>
      </c>
      <c r="T39" s="227">
        <f t="shared" ca="1" si="62"/>
        <v>6849.8742833040324</v>
      </c>
      <c r="U39" s="227">
        <f t="shared" ca="1" si="62"/>
        <v>6849.8742833040324</v>
      </c>
      <c r="V39" s="227">
        <f t="shared" ca="1" si="62"/>
        <v>6849.8742833040324</v>
      </c>
      <c r="W39" s="227">
        <f t="shared" ca="1" si="62"/>
        <v>6849.8742833040324</v>
      </c>
      <c r="X39" s="227">
        <f t="shared" ca="1" si="62"/>
        <v>6849.8742833040324</v>
      </c>
      <c r="Y39" s="227">
        <f t="shared" ca="1" si="63"/>
        <v>6849.8742833040324</v>
      </c>
      <c r="Z39" s="227">
        <f t="shared" ca="1" si="63"/>
        <v>6849.8742833040324</v>
      </c>
      <c r="AA39" s="227">
        <f t="shared" ca="1" si="63"/>
        <v>6849.8742833040324</v>
      </c>
      <c r="AB39" s="227">
        <f t="shared" ca="1" si="63"/>
        <v>6849.8742833040324</v>
      </c>
      <c r="AC39" s="227" t="str">
        <f t="shared" ca="1" si="63"/>
        <v/>
      </c>
      <c r="AD39" s="227" t="str">
        <f t="shared" ca="1" si="63"/>
        <v/>
      </c>
      <c r="AE39" s="227" t="str">
        <f t="shared" ca="1" si="63"/>
        <v/>
      </c>
      <c r="AF39" s="227" t="str">
        <f t="shared" ca="1" si="63"/>
        <v/>
      </c>
      <c r="AG39" s="227" t="str">
        <f t="shared" ca="1" si="63"/>
        <v/>
      </c>
      <c r="AH39" s="227" t="str">
        <f t="shared" ca="1" si="63"/>
        <v/>
      </c>
      <c r="AI39" s="227" t="str">
        <f t="shared" ca="1" si="64"/>
        <v/>
      </c>
      <c r="AJ39" s="227" t="str">
        <f t="shared" ca="1" si="64"/>
        <v/>
      </c>
      <c r="AK39" s="227" t="str">
        <f t="shared" ca="1" si="64"/>
        <v/>
      </c>
      <c r="AL39" s="227" t="str">
        <f t="shared" ca="1" si="64"/>
        <v/>
      </c>
      <c r="AM39" s="227" t="str">
        <f t="shared" ca="1" si="64"/>
        <v/>
      </c>
      <c r="AN39" s="227" t="str">
        <f t="shared" ca="1" si="64"/>
        <v/>
      </c>
      <c r="AO39" s="227" t="str">
        <f t="shared" ca="1" si="64"/>
        <v/>
      </c>
      <c r="AP39" s="227" t="str">
        <f t="shared" ca="1" si="64"/>
        <v/>
      </c>
      <c r="AQ39" s="227" t="str">
        <f t="shared" ca="1" si="64"/>
        <v/>
      </c>
      <c r="AR39" s="227" t="str">
        <f t="shared" ca="1" si="64"/>
        <v/>
      </c>
      <c r="AS39" s="227" t="str">
        <f t="shared" ca="1" si="65"/>
        <v/>
      </c>
      <c r="AT39" s="227" t="str">
        <f t="shared" ca="1" si="65"/>
        <v/>
      </c>
      <c r="AU39" s="227" t="str">
        <f t="shared" ca="1" si="65"/>
        <v/>
      </c>
      <c r="AV39" s="227" t="str">
        <f t="shared" ca="1" si="65"/>
        <v/>
      </c>
      <c r="AW39" s="227" t="str">
        <f t="shared" ca="1" si="65"/>
        <v/>
      </c>
      <c r="AX39" s="227" t="str">
        <f t="shared" ca="1" si="65"/>
        <v/>
      </c>
      <c r="AY39" s="227" t="str">
        <f t="shared" ca="1" si="65"/>
        <v/>
      </c>
      <c r="AZ39" s="227" t="str">
        <f t="shared" ca="1" si="65"/>
        <v/>
      </c>
      <c r="BA39" s="227" t="str">
        <f t="shared" ca="1" si="65"/>
        <v/>
      </c>
      <c r="BB39" s="227" t="str">
        <f t="shared" ca="1" si="65"/>
        <v/>
      </c>
      <c r="BC39" s="227" t="str">
        <f t="shared" ca="1" si="66"/>
        <v/>
      </c>
      <c r="BD39" s="227" t="str">
        <f t="shared" ca="1" si="66"/>
        <v/>
      </c>
      <c r="BE39" s="227" t="str">
        <f t="shared" ca="1" si="66"/>
        <v/>
      </c>
      <c r="BF39" s="227" t="str">
        <f t="shared" ca="1" si="66"/>
        <v/>
      </c>
      <c r="BG39" s="227" t="str">
        <f t="shared" ca="1" si="66"/>
        <v/>
      </c>
      <c r="BH39" s="227" t="str">
        <f t="shared" ca="1" si="66"/>
        <v/>
      </c>
      <c r="BI39" s="227" t="str">
        <f t="shared" ca="1" si="66"/>
        <v/>
      </c>
      <c r="BJ39" s="227" t="str">
        <f t="shared" ca="1" si="66"/>
        <v/>
      </c>
      <c r="BK39" s="227" t="str">
        <f t="shared" ca="1" si="66"/>
        <v/>
      </c>
      <c r="BL39" s="285" t="str">
        <f t="shared" ca="1" si="66"/>
        <v/>
      </c>
      <c r="BM39" s="296"/>
      <c r="BN39" s="32"/>
    </row>
    <row r="40" spans="1:66" x14ac:dyDescent="0.25">
      <c r="A40" s="284"/>
      <c r="B40" s="297">
        <f t="shared" si="67"/>
        <v>2018</v>
      </c>
      <c r="C40" s="269"/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227"/>
      <c r="O40" s="227" t="str">
        <f t="shared" ca="1" si="62"/>
        <v/>
      </c>
      <c r="P40" s="227" t="str">
        <f t="shared" ca="1" si="62"/>
        <v/>
      </c>
      <c r="Q40" s="227" t="str">
        <f t="shared" ca="1" si="62"/>
        <v/>
      </c>
      <c r="R40" s="227" t="str">
        <f t="shared" ca="1" si="62"/>
        <v/>
      </c>
      <c r="S40" s="227">
        <f t="shared" ca="1" si="62"/>
        <v>7086.7757968100641</v>
      </c>
      <c r="T40" s="227">
        <f t="shared" ca="1" si="62"/>
        <v>7086.7757968100641</v>
      </c>
      <c r="U40" s="227">
        <f t="shared" ca="1" si="62"/>
        <v>7086.7757968100641</v>
      </c>
      <c r="V40" s="227">
        <f t="shared" ca="1" si="62"/>
        <v>7086.7757968100641</v>
      </c>
      <c r="W40" s="227">
        <f t="shared" ca="1" si="62"/>
        <v>7086.7757968100641</v>
      </c>
      <c r="X40" s="227">
        <f t="shared" ca="1" si="62"/>
        <v>7086.7757968100641</v>
      </c>
      <c r="Y40" s="227">
        <f t="shared" ca="1" si="63"/>
        <v>7086.7757968100641</v>
      </c>
      <c r="Z40" s="227">
        <f t="shared" ca="1" si="63"/>
        <v>7086.7757968100641</v>
      </c>
      <c r="AA40" s="227">
        <f t="shared" ca="1" si="63"/>
        <v>7086.7757968100641</v>
      </c>
      <c r="AB40" s="227">
        <f t="shared" ca="1" si="63"/>
        <v>7086.7757968100641</v>
      </c>
      <c r="AC40" s="227">
        <f t="shared" ca="1" si="63"/>
        <v>7086.7757968100641</v>
      </c>
      <c r="AD40" s="227" t="str">
        <f t="shared" ca="1" si="63"/>
        <v/>
      </c>
      <c r="AE40" s="227" t="str">
        <f t="shared" ca="1" si="63"/>
        <v/>
      </c>
      <c r="AF40" s="227" t="str">
        <f t="shared" ca="1" si="63"/>
        <v/>
      </c>
      <c r="AG40" s="227" t="str">
        <f t="shared" ca="1" si="63"/>
        <v/>
      </c>
      <c r="AH40" s="227" t="str">
        <f t="shared" ca="1" si="63"/>
        <v/>
      </c>
      <c r="AI40" s="227" t="str">
        <f t="shared" ca="1" si="64"/>
        <v/>
      </c>
      <c r="AJ40" s="227" t="str">
        <f t="shared" ca="1" si="64"/>
        <v/>
      </c>
      <c r="AK40" s="227" t="str">
        <f t="shared" ca="1" si="64"/>
        <v/>
      </c>
      <c r="AL40" s="227" t="str">
        <f t="shared" ca="1" si="64"/>
        <v/>
      </c>
      <c r="AM40" s="227" t="str">
        <f t="shared" ca="1" si="64"/>
        <v/>
      </c>
      <c r="AN40" s="227" t="str">
        <f t="shared" ca="1" si="64"/>
        <v/>
      </c>
      <c r="AO40" s="227" t="str">
        <f t="shared" ca="1" si="64"/>
        <v/>
      </c>
      <c r="AP40" s="227" t="str">
        <f t="shared" ca="1" si="64"/>
        <v/>
      </c>
      <c r="AQ40" s="227" t="str">
        <f t="shared" ca="1" si="64"/>
        <v/>
      </c>
      <c r="AR40" s="227" t="str">
        <f t="shared" ca="1" si="64"/>
        <v/>
      </c>
      <c r="AS40" s="227" t="str">
        <f t="shared" ca="1" si="65"/>
        <v/>
      </c>
      <c r="AT40" s="227" t="str">
        <f t="shared" ca="1" si="65"/>
        <v/>
      </c>
      <c r="AU40" s="227" t="str">
        <f t="shared" ca="1" si="65"/>
        <v/>
      </c>
      <c r="AV40" s="227" t="str">
        <f t="shared" ca="1" si="65"/>
        <v/>
      </c>
      <c r="AW40" s="227" t="str">
        <f t="shared" ca="1" si="65"/>
        <v/>
      </c>
      <c r="AX40" s="227" t="str">
        <f t="shared" ca="1" si="65"/>
        <v/>
      </c>
      <c r="AY40" s="227" t="str">
        <f t="shared" ca="1" si="65"/>
        <v/>
      </c>
      <c r="AZ40" s="227" t="str">
        <f t="shared" ca="1" si="65"/>
        <v/>
      </c>
      <c r="BA40" s="227" t="str">
        <f t="shared" ca="1" si="65"/>
        <v/>
      </c>
      <c r="BB40" s="227" t="str">
        <f t="shared" ca="1" si="65"/>
        <v/>
      </c>
      <c r="BC40" s="227" t="str">
        <f t="shared" ca="1" si="66"/>
        <v/>
      </c>
      <c r="BD40" s="227" t="str">
        <f t="shared" ca="1" si="66"/>
        <v/>
      </c>
      <c r="BE40" s="227" t="str">
        <f t="shared" ca="1" si="66"/>
        <v/>
      </c>
      <c r="BF40" s="227" t="str">
        <f t="shared" ca="1" si="66"/>
        <v/>
      </c>
      <c r="BG40" s="227" t="str">
        <f t="shared" ca="1" si="66"/>
        <v/>
      </c>
      <c r="BH40" s="227" t="str">
        <f t="shared" ca="1" si="66"/>
        <v/>
      </c>
      <c r="BI40" s="227" t="str">
        <f t="shared" ca="1" si="66"/>
        <v/>
      </c>
      <c r="BJ40" s="227" t="str">
        <f t="shared" ca="1" si="66"/>
        <v/>
      </c>
      <c r="BK40" s="227" t="str">
        <f t="shared" ca="1" si="66"/>
        <v/>
      </c>
      <c r="BL40" s="285" t="str">
        <f t="shared" ca="1" si="66"/>
        <v/>
      </c>
      <c r="BM40" s="296"/>
      <c r="BN40" s="32"/>
    </row>
    <row r="41" spans="1:66" x14ac:dyDescent="0.25">
      <c r="A41" s="284"/>
      <c r="B41" s="297">
        <f t="shared" si="67"/>
        <v>2019</v>
      </c>
      <c r="C41" s="269"/>
      <c r="D41" s="227"/>
      <c r="E41" s="227"/>
      <c r="F41" s="227"/>
      <c r="G41" s="227"/>
      <c r="H41" s="227"/>
      <c r="I41" s="227"/>
      <c r="J41" s="227"/>
      <c r="K41" s="227"/>
      <c r="L41" s="227"/>
      <c r="M41" s="227"/>
      <c r="N41" s="227"/>
      <c r="O41" s="227" t="str">
        <f t="shared" ca="1" si="62"/>
        <v/>
      </c>
      <c r="P41" s="227" t="str">
        <f t="shared" ca="1" si="62"/>
        <v/>
      </c>
      <c r="Q41" s="227" t="str">
        <f t="shared" ca="1" si="62"/>
        <v/>
      </c>
      <c r="R41" s="227" t="str">
        <f t="shared" ca="1" si="62"/>
        <v/>
      </c>
      <c r="S41" s="227" t="str">
        <f t="shared" ca="1" si="62"/>
        <v/>
      </c>
      <c r="T41" s="227">
        <f t="shared" ca="1" si="62"/>
        <v>7481.3432063118398</v>
      </c>
      <c r="U41" s="227">
        <f t="shared" ca="1" si="62"/>
        <v>7481.3432063118398</v>
      </c>
      <c r="V41" s="227">
        <f t="shared" ca="1" si="62"/>
        <v>7481.3432063118398</v>
      </c>
      <c r="W41" s="227">
        <f t="shared" ca="1" si="62"/>
        <v>7481.3432063118398</v>
      </c>
      <c r="X41" s="227">
        <f t="shared" ca="1" si="62"/>
        <v>7481.3432063118398</v>
      </c>
      <c r="Y41" s="227">
        <f t="shared" ca="1" si="63"/>
        <v>7481.3432063118398</v>
      </c>
      <c r="Z41" s="227">
        <f t="shared" ca="1" si="63"/>
        <v>7481.3432063118398</v>
      </c>
      <c r="AA41" s="227">
        <f t="shared" ca="1" si="63"/>
        <v>7481.3432063118398</v>
      </c>
      <c r="AB41" s="227">
        <f t="shared" ca="1" si="63"/>
        <v>7481.3432063118398</v>
      </c>
      <c r="AC41" s="227">
        <f t="shared" ca="1" si="63"/>
        <v>7481.3432063118398</v>
      </c>
      <c r="AD41" s="227">
        <f t="shared" ca="1" si="63"/>
        <v>7481.3432063118398</v>
      </c>
      <c r="AE41" s="227" t="str">
        <f t="shared" ca="1" si="63"/>
        <v/>
      </c>
      <c r="AF41" s="227" t="str">
        <f t="shared" ca="1" si="63"/>
        <v/>
      </c>
      <c r="AG41" s="227" t="str">
        <f t="shared" ca="1" si="63"/>
        <v/>
      </c>
      <c r="AH41" s="227" t="str">
        <f t="shared" ca="1" si="63"/>
        <v/>
      </c>
      <c r="AI41" s="227" t="str">
        <f t="shared" ca="1" si="64"/>
        <v/>
      </c>
      <c r="AJ41" s="227" t="str">
        <f t="shared" ca="1" si="64"/>
        <v/>
      </c>
      <c r="AK41" s="227" t="str">
        <f t="shared" ca="1" si="64"/>
        <v/>
      </c>
      <c r="AL41" s="227" t="str">
        <f t="shared" ca="1" si="64"/>
        <v/>
      </c>
      <c r="AM41" s="227" t="str">
        <f t="shared" ca="1" si="64"/>
        <v/>
      </c>
      <c r="AN41" s="227" t="str">
        <f t="shared" ca="1" si="64"/>
        <v/>
      </c>
      <c r="AO41" s="227" t="str">
        <f t="shared" ca="1" si="64"/>
        <v/>
      </c>
      <c r="AP41" s="227" t="str">
        <f t="shared" ca="1" si="64"/>
        <v/>
      </c>
      <c r="AQ41" s="227" t="str">
        <f t="shared" ca="1" si="64"/>
        <v/>
      </c>
      <c r="AR41" s="227" t="str">
        <f t="shared" ca="1" si="64"/>
        <v/>
      </c>
      <c r="AS41" s="227" t="str">
        <f t="shared" ca="1" si="65"/>
        <v/>
      </c>
      <c r="AT41" s="227" t="str">
        <f t="shared" ca="1" si="65"/>
        <v/>
      </c>
      <c r="AU41" s="227" t="str">
        <f t="shared" ca="1" si="65"/>
        <v/>
      </c>
      <c r="AV41" s="227" t="str">
        <f t="shared" ca="1" si="65"/>
        <v/>
      </c>
      <c r="AW41" s="227" t="str">
        <f t="shared" ca="1" si="65"/>
        <v/>
      </c>
      <c r="AX41" s="227" t="str">
        <f t="shared" ca="1" si="65"/>
        <v/>
      </c>
      <c r="AY41" s="227" t="str">
        <f t="shared" ca="1" si="65"/>
        <v/>
      </c>
      <c r="AZ41" s="227" t="str">
        <f t="shared" ca="1" si="65"/>
        <v/>
      </c>
      <c r="BA41" s="227" t="str">
        <f t="shared" ca="1" si="65"/>
        <v/>
      </c>
      <c r="BB41" s="227" t="str">
        <f t="shared" ca="1" si="65"/>
        <v/>
      </c>
      <c r="BC41" s="227" t="str">
        <f t="shared" ca="1" si="66"/>
        <v/>
      </c>
      <c r="BD41" s="227" t="str">
        <f t="shared" ca="1" si="66"/>
        <v/>
      </c>
      <c r="BE41" s="227" t="str">
        <f t="shared" ca="1" si="66"/>
        <v/>
      </c>
      <c r="BF41" s="227" t="str">
        <f t="shared" ca="1" si="66"/>
        <v/>
      </c>
      <c r="BG41" s="227" t="str">
        <f t="shared" ca="1" si="66"/>
        <v/>
      </c>
      <c r="BH41" s="227" t="str">
        <f t="shared" ca="1" si="66"/>
        <v/>
      </c>
      <c r="BI41" s="227" t="str">
        <f t="shared" ca="1" si="66"/>
        <v/>
      </c>
      <c r="BJ41" s="227" t="str">
        <f t="shared" ca="1" si="66"/>
        <v/>
      </c>
      <c r="BK41" s="227" t="str">
        <f t="shared" ca="1" si="66"/>
        <v/>
      </c>
      <c r="BL41" s="285" t="str">
        <f t="shared" ca="1" si="66"/>
        <v/>
      </c>
      <c r="BM41" s="296"/>
      <c r="BN41" s="32"/>
    </row>
    <row r="42" spans="1:66" x14ac:dyDescent="0.25">
      <c r="A42" s="284"/>
      <c r="B42" s="297">
        <f t="shared" si="67"/>
        <v>2020</v>
      </c>
      <c r="C42" s="269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227" t="str">
        <f t="shared" ca="1" si="62"/>
        <v/>
      </c>
      <c r="P42" s="227" t="str">
        <f t="shared" ca="1" si="62"/>
        <v/>
      </c>
      <c r="Q42" s="227" t="str">
        <f t="shared" ca="1" si="62"/>
        <v/>
      </c>
      <c r="R42" s="227" t="str">
        <f t="shared" ca="1" si="62"/>
        <v/>
      </c>
      <c r="S42" s="227" t="str">
        <f t="shared" ca="1" si="62"/>
        <v/>
      </c>
      <c r="T42" s="227" t="str">
        <f t="shared" ca="1" si="62"/>
        <v/>
      </c>
      <c r="U42" s="227">
        <f t="shared" ca="1" si="62"/>
        <v>7835.3380291885842</v>
      </c>
      <c r="V42" s="227">
        <f t="shared" ca="1" si="62"/>
        <v>7835.3380291885842</v>
      </c>
      <c r="W42" s="227">
        <f t="shared" ca="1" si="62"/>
        <v>7835.3380291885842</v>
      </c>
      <c r="X42" s="227">
        <f t="shared" ca="1" si="62"/>
        <v>7835.3380291885842</v>
      </c>
      <c r="Y42" s="227">
        <f t="shared" ca="1" si="63"/>
        <v>7835.3380291885842</v>
      </c>
      <c r="Z42" s="227">
        <f t="shared" ca="1" si="63"/>
        <v>7835.3380291885842</v>
      </c>
      <c r="AA42" s="227">
        <f t="shared" ca="1" si="63"/>
        <v>7835.3380291885842</v>
      </c>
      <c r="AB42" s="227">
        <f t="shared" ca="1" si="63"/>
        <v>7835.3380291885842</v>
      </c>
      <c r="AC42" s="227">
        <f t="shared" ca="1" si="63"/>
        <v>7835.3380291885842</v>
      </c>
      <c r="AD42" s="227">
        <f t="shared" ca="1" si="63"/>
        <v>7835.3380291885842</v>
      </c>
      <c r="AE42" s="227">
        <f t="shared" ca="1" si="63"/>
        <v>7835.3380291885842</v>
      </c>
      <c r="AF42" s="227" t="str">
        <f t="shared" ca="1" si="63"/>
        <v/>
      </c>
      <c r="AG42" s="227" t="str">
        <f t="shared" ca="1" si="63"/>
        <v/>
      </c>
      <c r="AH42" s="227" t="str">
        <f t="shared" ca="1" si="63"/>
        <v/>
      </c>
      <c r="AI42" s="227" t="str">
        <f t="shared" ca="1" si="64"/>
        <v/>
      </c>
      <c r="AJ42" s="227" t="str">
        <f t="shared" ca="1" si="64"/>
        <v/>
      </c>
      <c r="AK42" s="227" t="str">
        <f t="shared" ca="1" si="64"/>
        <v/>
      </c>
      <c r="AL42" s="227" t="str">
        <f t="shared" ca="1" si="64"/>
        <v/>
      </c>
      <c r="AM42" s="227" t="str">
        <f t="shared" ca="1" si="64"/>
        <v/>
      </c>
      <c r="AN42" s="227" t="str">
        <f t="shared" ca="1" si="64"/>
        <v/>
      </c>
      <c r="AO42" s="227" t="str">
        <f t="shared" ca="1" si="64"/>
        <v/>
      </c>
      <c r="AP42" s="227" t="str">
        <f t="shared" ca="1" si="64"/>
        <v/>
      </c>
      <c r="AQ42" s="227" t="str">
        <f t="shared" ca="1" si="64"/>
        <v/>
      </c>
      <c r="AR42" s="227" t="str">
        <f t="shared" ca="1" si="64"/>
        <v/>
      </c>
      <c r="AS42" s="227" t="str">
        <f t="shared" ca="1" si="65"/>
        <v/>
      </c>
      <c r="AT42" s="227" t="str">
        <f t="shared" ca="1" si="65"/>
        <v/>
      </c>
      <c r="AU42" s="227" t="str">
        <f t="shared" ca="1" si="65"/>
        <v/>
      </c>
      <c r="AV42" s="227" t="str">
        <f t="shared" ca="1" si="65"/>
        <v/>
      </c>
      <c r="AW42" s="227" t="str">
        <f t="shared" ca="1" si="65"/>
        <v/>
      </c>
      <c r="AX42" s="227" t="str">
        <f t="shared" ca="1" si="65"/>
        <v/>
      </c>
      <c r="AY42" s="227" t="str">
        <f t="shared" ca="1" si="65"/>
        <v/>
      </c>
      <c r="AZ42" s="227" t="str">
        <f t="shared" ca="1" si="65"/>
        <v/>
      </c>
      <c r="BA42" s="227" t="str">
        <f t="shared" ca="1" si="65"/>
        <v/>
      </c>
      <c r="BB42" s="227" t="str">
        <f t="shared" ca="1" si="65"/>
        <v/>
      </c>
      <c r="BC42" s="227" t="str">
        <f t="shared" ca="1" si="66"/>
        <v/>
      </c>
      <c r="BD42" s="227" t="str">
        <f t="shared" ca="1" si="66"/>
        <v/>
      </c>
      <c r="BE42" s="227" t="str">
        <f t="shared" ca="1" si="66"/>
        <v/>
      </c>
      <c r="BF42" s="227" t="str">
        <f t="shared" ca="1" si="66"/>
        <v/>
      </c>
      <c r="BG42" s="227" t="str">
        <f t="shared" ca="1" si="66"/>
        <v/>
      </c>
      <c r="BH42" s="227" t="str">
        <f t="shared" ca="1" si="66"/>
        <v/>
      </c>
      <c r="BI42" s="227" t="str">
        <f t="shared" ca="1" si="66"/>
        <v/>
      </c>
      <c r="BJ42" s="227" t="str">
        <f t="shared" ca="1" si="66"/>
        <v/>
      </c>
      <c r="BK42" s="227" t="str">
        <f t="shared" ca="1" si="66"/>
        <v/>
      </c>
      <c r="BL42" s="285" t="str">
        <f t="shared" ca="1" si="66"/>
        <v/>
      </c>
      <c r="BM42" s="296"/>
      <c r="BN42" s="32"/>
    </row>
    <row r="43" spans="1:66" x14ac:dyDescent="0.25">
      <c r="A43" s="284"/>
      <c r="B43" s="297">
        <f t="shared" si="67"/>
        <v>2021</v>
      </c>
      <c r="C43" s="269"/>
      <c r="D43" s="227"/>
      <c r="E43" s="227"/>
      <c r="F43" s="227"/>
      <c r="G43" s="227"/>
      <c r="H43" s="227"/>
      <c r="I43" s="227"/>
      <c r="J43" s="227"/>
      <c r="K43" s="227"/>
      <c r="L43" s="227"/>
      <c r="M43" s="227"/>
      <c r="N43" s="227"/>
      <c r="O43" s="227" t="str">
        <f t="shared" ca="1" si="62"/>
        <v/>
      </c>
      <c r="P43" s="227" t="str">
        <f t="shared" ca="1" si="62"/>
        <v/>
      </c>
      <c r="Q43" s="227" t="str">
        <f t="shared" ca="1" si="62"/>
        <v/>
      </c>
      <c r="R43" s="227" t="str">
        <f t="shared" ca="1" si="62"/>
        <v/>
      </c>
      <c r="S43" s="227" t="str">
        <f t="shared" ca="1" si="62"/>
        <v/>
      </c>
      <c r="T43" s="227" t="str">
        <f t="shared" ca="1" si="62"/>
        <v/>
      </c>
      <c r="U43" s="227" t="str">
        <f t="shared" ca="1" si="62"/>
        <v/>
      </c>
      <c r="V43" s="227">
        <f t="shared" ca="1" si="62"/>
        <v>8195.6916531082479</v>
      </c>
      <c r="W43" s="227">
        <f t="shared" ca="1" si="62"/>
        <v>8195.6916531082479</v>
      </c>
      <c r="X43" s="227">
        <f t="shared" ca="1" si="62"/>
        <v>8195.6916531082479</v>
      </c>
      <c r="Y43" s="227">
        <f t="shared" ca="1" si="63"/>
        <v>8195.6916531082479</v>
      </c>
      <c r="Z43" s="227">
        <f t="shared" ca="1" si="63"/>
        <v>8195.6916531082479</v>
      </c>
      <c r="AA43" s="227">
        <f t="shared" ca="1" si="63"/>
        <v>8195.6916531082479</v>
      </c>
      <c r="AB43" s="227">
        <f t="shared" ca="1" si="63"/>
        <v>8195.6916531082479</v>
      </c>
      <c r="AC43" s="227">
        <f t="shared" ca="1" si="63"/>
        <v>8195.6916531082479</v>
      </c>
      <c r="AD43" s="227">
        <f t="shared" ca="1" si="63"/>
        <v>8195.6916531082479</v>
      </c>
      <c r="AE43" s="227">
        <f t="shared" ca="1" si="63"/>
        <v>8195.6916531082479</v>
      </c>
      <c r="AF43" s="227">
        <f t="shared" ca="1" si="63"/>
        <v>8195.6916531082479</v>
      </c>
      <c r="AG43" s="227" t="str">
        <f t="shared" ca="1" si="63"/>
        <v/>
      </c>
      <c r="AH43" s="227" t="str">
        <f t="shared" ca="1" si="63"/>
        <v/>
      </c>
      <c r="AI43" s="227" t="str">
        <f t="shared" ca="1" si="64"/>
        <v/>
      </c>
      <c r="AJ43" s="227" t="str">
        <f t="shared" ca="1" si="64"/>
        <v/>
      </c>
      <c r="AK43" s="227" t="str">
        <f t="shared" ca="1" si="64"/>
        <v/>
      </c>
      <c r="AL43" s="227" t="str">
        <f t="shared" ca="1" si="64"/>
        <v/>
      </c>
      <c r="AM43" s="227" t="str">
        <f t="shared" ca="1" si="64"/>
        <v/>
      </c>
      <c r="AN43" s="227" t="str">
        <f t="shared" ca="1" si="64"/>
        <v/>
      </c>
      <c r="AO43" s="227" t="str">
        <f t="shared" ca="1" si="64"/>
        <v/>
      </c>
      <c r="AP43" s="227" t="str">
        <f t="shared" ca="1" si="64"/>
        <v/>
      </c>
      <c r="AQ43" s="227" t="str">
        <f t="shared" ca="1" si="64"/>
        <v/>
      </c>
      <c r="AR43" s="227" t="str">
        <f t="shared" ca="1" si="64"/>
        <v/>
      </c>
      <c r="AS43" s="227" t="str">
        <f t="shared" ca="1" si="65"/>
        <v/>
      </c>
      <c r="AT43" s="227" t="str">
        <f t="shared" ca="1" si="65"/>
        <v/>
      </c>
      <c r="AU43" s="227" t="str">
        <f t="shared" ca="1" si="65"/>
        <v/>
      </c>
      <c r="AV43" s="227" t="str">
        <f t="shared" ca="1" si="65"/>
        <v/>
      </c>
      <c r="AW43" s="227" t="str">
        <f t="shared" ca="1" si="65"/>
        <v/>
      </c>
      <c r="AX43" s="227" t="str">
        <f t="shared" ca="1" si="65"/>
        <v/>
      </c>
      <c r="AY43" s="227" t="str">
        <f t="shared" ca="1" si="65"/>
        <v/>
      </c>
      <c r="AZ43" s="227" t="str">
        <f t="shared" ca="1" si="65"/>
        <v/>
      </c>
      <c r="BA43" s="227" t="str">
        <f t="shared" ca="1" si="65"/>
        <v/>
      </c>
      <c r="BB43" s="227" t="str">
        <f t="shared" ca="1" si="65"/>
        <v/>
      </c>
      <c r="BC43" s="227" t="str">
        <f t="shared" ca="1" si="66"/>
        <v/>
      </c>
      <c r="BD43" s="227" t="str">
        <f t="shared" ca="1" si="66"/>
        <v/>
      </c>
      <c r="BE43" s="227" t="str">
        <f t="shared" ca="1" si="66"/>
        <v/>
      </c>
      <c r="BF43" s="227" t="str">
        <f t="shared" ca="1" si="66"/>
        <v/>
      </c>
      <c r="BG43" s="227" t="str">
        <f t="shared" ca="1" si="66"/>
        <v/>
      </c>
      <c r="BH43" s="227" t="str">
        <f t="shared" ca="1" si="66"/>
        <v/>
      </c>
      <c r="BI43" s="227" t="str">
        <f t="shared" ca="1" si="66"/>
        <v/>
      </c>
      <c r="BJ43" s="227" t="str">
        <f t="shared" ca="1" si="66"/>
        <v/>
      </c>
      <c r="BK43" s="227" t="str">
        <f t="shared" ca="1" si="66"/>
        <v/>
      </c>
      <c r="BL43" s="285" t="str">
        <f t="shared" ca="1" si="66"/>
        <v/>
      </c>
      <c r="BM43" s="296"/>
      <c r="BN43" s="32"/>
    </row>
    <row r="44" spans="1:66" x14ac:dyDescent="0.25">
      <c r="A44" s="284"/>
      <c r="B44" s="297">
        <f t="shared" si="67"/>
        <v>2022</v>
      </c>
      <c r="C44" s="269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 t="str">
        <f t="shared" ca="1" si="62"/>
        <v/>
      </c>
      <c r="P44" s="227" t="str">
        <f t="shared" ca="1" si="62"/>
        <v/>
      </c>
      <c r="Q44" s="227" t="str">
        <f t="shared" ca="1" si="62"/>
        <v/>
      </c>
      <c r="R44" s="227" t="str">
        <f t="shared" ca="1" si="62"/>
        <v/>
      </c>
      <c r="S44" s="227" t="str">
        <f t="shared" ca="1" si="62"/>
        <v/>
      </c>
      <c r="T44" s="227" t="str">
        <f t="shared" ca="1" si="62"/>
        <v/>
      </c>
      <c r="U44" s="227" t="str">
        <f t="shared" ca="1" si="62"/>
        <v/>
      </c>
      <c r="V44" s="227" t="str">
        <f t="shared" ca="1" si="62"/>
        <v/>
      </c>
      <c r="W44" s="227">
        <f t="shared" ca="1" si="62"/>
        <v>8545.1879183811634</v>
      </c>
      <c r="X44" s="227">
        <f t="shared" ca="1" si="62"/>
        <v>8545.1879183811634</v>
      </c>
      <c r="Y44" s="227">
        <f t="shared" ca="1" si="63"/>
        <v>8545.1879183811634</v>
      </c>
      <c r="Z44" s="227">
        <f t="shared" ca="1" si="63"/>
        <v>8545.1879183811634</v>
      </c>
      <c r="AA44" s="227">
        <f t="shared" ca="1" si="63"/>
        <v>8545.1879183811634</v>
      </c>
      <c r="AB44" s="227">
        <f t="shared" ca="1" si="63"/>
        <v>8545.1879183811634</v>
      </c>
      <c r="AC44" s="227">
        <f t="shared" ca="1" si="63"/>
        <v>8545.1879183811634</v>
      </c>
      <c r="AD44" s="227">
        <f t="shared" ca="1" si="63"/>
        <v>8545.1879183811634</v>
      </c>
      <c r="AE44" s="227">
        <f t="shared" ca="1" si="63"/>
        <v>8545.1879183811634</v>
      </c>
      <c r="AF44" s="227">
        <f t="shared" ca="1" si="63"/>
        <v>8545.1879183811634</v>
      </c>
      <c r="AG44" s="227">
        <f t="shared" ca="1" si="63"/>
        <v>8545.1879183811634</v>
      </c>
      <c r="AH44" s="227" t="str">
        <f t="shared" ca="1" si="63"/>
        <v/>
      </c>
      <c r="AI44" s="227" t="str">
        <f t="shared" ca="1" si="64"/>
        <v/>
      </c>
      <c r="AJ44" s="227" t="str">
        <f t="shared" ca="1" si="64"/>
        <v/>
      </c>
      <c r="AK44" s="227" t="str">
        <f t="shared" ca="1" si="64"/>
        <v/>
      </c>
      <c r="AL44" s="227" t="str">
        <f t="shared" ca="1" si="64"/>
        <v/>
      </c>
      <c r="AM44" s="227" t="str">
        <f t="shared" ca="1" si="64"/>
        <v/>
      </c>
      <c r="AN44" s="227" t="str">
        <f t="shared" ca="1" si="64"/>
        <v/>
      </c>
      <c r="AO44" s="227" t="str">
        <f t="shared" ca="1" si="64"/>
        <v/>
      </c>
      <c r="AP44" s="227" t="str">
        <f t="shared" ca="1" si="64"/>
        <v/>
      </c>
      <c r="AQ44" s="227" t="str">
        <f t="shared" ca="1" si="64"/>
        <v/>
      </c>
      <c r="AR44" s="227" t="str">
        <f t="shared" ca="1" si="64"/>
        <v/>
      </c>
      <c r="AS44" s="227" t="str">
        <f t="shared" ca="1" si="65"/>
        <v/>
      </c>
      <c r="AT44" s="227" t="str">
        <f t="shared" ca="1" si="65"/>
        <v/>
      </c>
      <c r="AU44" s="227" t="str">
        <f t="shared" ca="1" si="65"/>
        <v/>
      </c>
      <c r="AV44" s="227" t="str">
        <f t="shared" ca="1" si="65"/>
        <v/>
      </c>
      <c r="AW44" s="227" t="str">
        <f t="shared" ca="1" si="65"/>
        <v/>
      </c>
      <c r="AX44" s="227" t="str">
        <f t="shared" ca="1" si="65"/>
        <v/>
      </c>
      <c r="AY44" s="227" t="str">
        <f t="shared" ca="1" si="65"/>
        <v/>
      </c>
      <c r="AZ44" s="227" t="str">
        <f t="shared" ca="1" si="65"/>
        <v/>
      </c>
      <c r="BA44" s="227" t="str">
        <f t="shared" ca="1" si="65"/>
        <v/>
      </c>
      <c r="BB44" s="227" t="str">
        <f t="shared" ca="1" si="65"/>
        <v/>
      </c>
      <c r="BC44" s="227" t="str">
        <f t="shared" ca="1" si="66"/>
        <v/>
      </c>
      <c r="BD44" s="227" t="str">
        <f t="shared" ca="1" si="66"/>
        <v/>
      </c>
      <c r="BE44" s="227" t="str">
        <f t="shared" ca="1" si="66"/>
        <v/>
      </c>
      <c r="BF44" s="227" t="str">
        <f t="shared" ca="1" si="66"/>
        <v/>
      </c>
      <c r="BG44" s="227" t="str">
        <f t="shared" ca="1" si="66"/>
        <v/>
      </c>
      <c r="BH44" s="227" t="str">
        <f t="shared" ca="1" si="66"/>
        <v/>
      </c>
      <c r="BI44" s="227" t="str">
        <f t="shared" ca="1" si="66"/>
        <v/>
      </c>
      <c r="BJ44" s="227" t="str">
        <f t="shared" ca="1" si="66"/>
        <v/>
      </c>
      <c r="BK44" s="227" t="str">
        <f t="shared" ca="1" si="66"/>
        <v/>
      </c>
      <c r="BL44" s="285" t="str">
        <f t="shared" ca="1" si="66"/>
        <v/>
      </c>
      <c r="BM44" s="296"/>
      <c r="BN44" s="32"/>
    </row>
    <row r="45" spans="1:66" x14ac:dyDescent="0.25">
      <c r="A45" s="284"/>
      <c r="B45" s="297">
        <f t="shared" si="67"/>
        <v>2023</v>
      </c>
      <c r="C45" s="269"/>
      <c r="D45" s="227"/>
      <c r="E45" s="227"/>
      <c r="F45" s="227"/>
      <c r="G45" s="227"/>
      <c r="H45" s="227"/>
      <c r="I45" s="227"/>
      <c r="J45" s="227"/>
      <c r="K45" s="227"/>
      <c r="L45" s="227"/>
      <c r="M45" s="227"/>
      <c r="N45" s="227"/>
      <c r="O45" s="227" t="str">
        <f t="shared" ca="1" si="62"/>
        <v/>
      </c>
      <c r="P45" s="227" t="str">
        <f t="shared" ca="1" si="62"/>
        <v/>
      </c>
      <c r="Q45" s="227" t="str">
        <f t="shared" ca="1" si="62"/>
        <v/>
      </c>
      <c r="R45" s="227" t="str">
        <f t="shared" ca="1" si="62"/>
        <v/>
      </c>
      <c r="S45" s="227" t="str">
        <f t="shared" ca="1" si="62"/>
        <v/>
      </c>
      <c r="T45" s="227" t="str">
        <f t="shared" ca="1" si="62"/>
        <v/>
      </c>
      <c r="U45" s="227" t="str">
        <f t="shared" ca="1" si="62"/>
        <v/>
      </c>
      <c r="V45" s="227" t="str">
        <f t="shared" ca="1" si="62"/>
        <v/>
      </c>
      <c r="W45" s="227" t="str">
        <f t="shared" ca="1" si="62"/>
        <v/>
      </c>
      <c r="X45" s="227">
        <f t="shared" ca="1" si="62"/>
        <v>11471.181904468336</v>
      </c>
      <c r="Y45" s="227">
        <f t="shared" ca="1" si="63"/>
        <v>11471.181904468336</v>
      </c>
      <c r="Z45" s="227">
        <f t="shared" ca="1" si="63"/>
        <v>11471.181904468336</v>
      </c>
      <c r="AA45" s="227">
        <f t="shared" ca="1" si="63"/>
        <v>11471.181904468336</v>
      </c>
      <c r="AB45" s="227">
        <f t="shared" ca="1" si="63"/>
        <v>11471.181904468336</v>
      </c>
      <c r="AC45" s="227">
        <f t="shared" ca="1" si="63"/>
        <v>11471.181904468336</v>
      </c>
      <c r="AD45" s="227">
        <f t="shared" ca="1" si="63"/>
        <v>11471.181904468336</v>
      </c>
      <c r="AE45" s="227">
        <f t="shared" ca="1" si="63"/>
        <v>11471.181904468336</v>
      </c>
      <c r="AF45" s="227">
        <f t="shared" ca="1" si="63"/>
        <v>11471.181904468336</v>
      </c>
      <c r="AG45" s="227">
        <f t="shared" ca="1" si="63"/>
        <v>11471.181904468336</v>
      </c>
      <c r="AH45" s="227">
        <f t="shared" ca="1" si="63"/>
        <v>11471.181904468336</v>
      </c>
      <c r="AI45" s="227" t="str">
        <f t="shared" ca="1" si="64"/>
        <v/>
      </c>
      <c r="AJ45" s="227" t="str">
        <f t="shared" ca="1" si="64"/>
        <v/>
      </c>
      <c r="AK45" s="227" t="str">
        <f t="shared" ca="1" si="64"/>
        <v/>
      </c>
      <c r="AL45" s="227" t="str">
        <f t="shared" ca="1" si="64"/>
        <v/>
      </c>
      <c r="AM45" s="227" t="str">
        <f t="shared" ca="1" si="64"/>
        <v/>
      </c>
      <c r="AN45" s="227" t="str">
        <f t="shared" ca="1" si="64"/>
        <v/>
      </c>
      <c r="AO45" s="227" t="str">
        <f t="shared" ca="1" si="64"/>
        <v/>
      </c>
      <c r="AP45" s="227" t="str">
        <f t="shared" ca="1" si="64"/>
        <v/>
      </c>
      <c r="AQ45" s="227" t="str">
        <f t="shared" ca="1" si="64"/>
        <v/>
      </c>
      <c r="AR45" s="227" t="str">
        <f t="shared" ca="1" si="64"/>
        <v/>
      </c>
      <c r="AS45" s="227" t="str">
        <f t="shared" ca="1" si="65"/>
        <v/>
      </c>
      <c r="AT45" s="227" t="str">
        <f t="shared" ca="1" si="65"/>
        <v/>
      </c>
      <c r="AU45" s="227" t="str">
        <f t="shared" ca="1" si="65"/>
        <v/>
      </c>
      <c r="AV45" s="227" t="str">
        <f t="shared" ca="1" si="65"/>
        <v/>
      </c>
      <c r="AW45" s="227" t="str">
        <f t="shared" ca="1" si="65"/>
        <v/>
      </c>
      <c r="AX45" s="227" t="str">
        <f t="shared" ca="1" si="65"/>
        <v/>
      </c>
      <c r="AY45" s="227" t="str">
        <f t="shared" ca="1" si="65"/>
        <v/>
      </c>
      <c r="AZ45" s="227" t="str">
        <f t="shared" ca="1" si="65"/>
        <v/>
      </c>
      <c r="BA45" s="227" t="str">
        <f t="shared" ca="1" si="65"/>
        <v/>
      </c>
      <c r="BB45" s="227" t="str">
        <f t="shared" ca="1" si="65"/>
        <v/>
      </c>
      <c r="BC45" s="227" t="str">
        <f t="shared" ca="1" si="66"/>
        <v/>
      </c>
      <c r="BD45" s="227" t="str">
        <f t="shared" ca="1" si="66"/>
        <v/>
      </c>
      <c r="BE45" s="227" t="str">
        <f t="shared" ca="1" si="66"/>
        <v/>
      </c>
      <c r="BF45" s="227" t="str">
        <f t="shared" ca="1" si="66"/>
        <v/>
      </c>
      <c r="BG45" s="227" t="str">
        <f t="shared" ca="1" si="66"/>
        <v/>
      </c>
      <c r="BH45" s="227" t="str">
        <f t="shared" ca="1" si="66"/>
        <v/>
      </c>
      <c r="BI45" s="227" t="str">
        <f t="shared" ca="1" si="66"/>
        <v/>
      </c>
      <c r="BJ45" s="227" t="str">
        <f t="shared" ca="1" si="66"/>
        <v/>
      </c>
      <c r="BK45" s="227" t="str">
        <f t="shared" ca="1" si="66"/>
        <v/>
      </c>
      <c r="BL45" s="285" t="str">
        <f t="shared" ca="1" si="66"/>
        <v/>
      </c>
      <c r="BM45" s="296"/>
      <c r="BN45" s="32"/>
    </row>
    <row r="46" spans="1:66" x14ac:dyDescent="0.25">
      <c r="A46" s="284"/>
      <c r="B46" s="297">
        <f t="shared" si="67"/>
        <v>2024</v>
      </c>
      <c r="C46" s="269"/>
      <c r="D46" s="227"/>
      <c r="E46" s="227"/>
      <c r="F46" s="227"/>
      <c r="G46" s="227"/>
      <c r="H46" s="227"/>
      <c r="I46" s="227"/>
      <c r="J46" s="227"/>
      <c r="K46" s="227"/>
      <c r="L46" s="227"/>
      <c r="M46" s="227"/>
      <c r="N46" s="227"/>
      <c r="O46" s="227" t="str">
        <f t="shared" ref="O46:X55" ca="1" si="68">IF(AND(O$23-$B46&gt;=0,O$23-$B46&lt;=10),OFFSET(O46,-10,-10)+HLOOKUP($B46,$N$3:$BL$4,2,FALSE),"")</f>
        <v/>
      </c>
      <c r="P46" s="227" t="str">
        <f t="shared" ca="1" si="68"/>
        <v/>
      </c>
      <c r="Q46" s="227" t="str">
        <f t="shared" ca="1" si="68"/>
        <v/>
      </c>
      <c r="R46" s="227" t="str">
        <f t="shared" ca="1" si="68"/>
        <v/>
      </c>
      <c r="S46" s="227" t="str">
        <f t="shared" ca="1" si="68"/>
        <v/>
      </c>
      <c r="T46" s="227" t="str">
        <f t="shared" ca="1" si="68"/>
        <v/>
      </c>
      <c r="U46" s="227" t="str">
        <f t="shared" ca="1" si="68"/>
        <v/>
      </c>
      <c r="V46" s="227" t="str">
        <f t="shared" ca="1" si="68"/>
        <v/>
      </c>
      <c r="W46" s="227" t="str">
        <f t="shared" ca="1" si="68"/>
        <v/>
      </c>
      <c r="X46" s="227" t="str">
        <f t="shared" ca="1" si="68"/>
        <v/>
      </c>
      <c r="Y46" s="227">
        <f t="shared" ref="Y46:AH55" ca="1" si="69">IF(AND(Y$23-$B46&gt;=0,Y$23-$B46&lt;=10),OFFSET(Y46,-10,-10)+HLOOKUP($B46,$N$3:$BL$4,2,FALSE),"")</f>
        <v>11597.027573388945</v>
      </c>
      <c r="Z46" s="227">
        <f t="shared" ca="1" si="69"/>
        <v>11597.027573388945</v>
      </c>
      <c r="AA46" s="227">
        <f t="shared" ca="1" si="69"/>
        <v>11597.027573388945</v>
      </c>
      <c r="AB46" s="227">
        <f t="shared" ca="1" si="69"/>
        <v>11597.027573388945</v>
      </c>
      <c r="AC46" s="227">
        <f t="shared" ca="1" si="69"/>
        <v>11597.027573388945</v>
      </c>
      <c r="AD46" s="227">
        <f t="shared" ca="1" si="69"/>
        <v>11597.027573388945</v>
      </c>
      <c r="AE46" s="227">
        <f t="shared" ca="1" si="69"/>
        <v>11597.027573388945</v>
      </c>
      <c r="AF46" s="227">
        <f t="shared" ca="1" si="69"/>
        <v>11597.027573388945</v>
      </c>
      <c r="AG46" s="227">
        <f t="shared" ca="1" si="69"/>
        <v>11597.027573388945</v>
      </c>
      <c r="AH46" s="227">
        <f t="shared" ca="1" si="69"/>
        <v>11597.027573388945</v>
      </c>
      <c r="AI46" s="227">
        <f t="shared" ref="AI46:AR55" ca="1" si="70">IF(AND(AI$23-$B46&gt;=0,AI$23-$B46&lt;=10),OFFSET(AI46,-10,-10)+HLOOKUP($B46,$N$3:$BL$4,2,FALSE),"")</f>
        <v>11597.027573388945</v>
      </c>
      <c r="AJ46" s="227" t="str">
        <f t="shared" ca="1" si="70"/>
        <v/>
      </c>
      <c r="AK46" s="227" t="str">
        <f t="shared" ca="1" si="70"/>
        <v/>
      </c>
      <c r="AL46" s="227" t="str">
        <f t="shared" ca="1" si="70"/>
        <v/>
      </c>
      <c r="AM46" s="227" t="str">
        <f t="shared" ca="1" si="70"/>
        <v/>
      </c>
      <c r="AN46" s="227" t="str">
        <f t="shared" ca="1" si="70"/>
        <v/>
      </c>
      <c r="AO46" s="227" t="str">
        <f t="shared" ca="1" si="70"/>
        <v/>
      </c>
      <c r="AP46" s="227" t="str">
        <f t="shared" ca="1" si="70"/>
        <v/>
      </c>
      <c r="AQ46" s="227" t="str">
        <f t="shared" ca="1" si="70"/>
        <v/>
      </c>
      <c r="AR46" s="227" t="str">
        <f t="shared" ca="1" si="70"/>
        <v/>
      </c>
      <c r="AS46" s="227" t="str">
        <f t="shared" ref="AS46:BB55" ca="1" si="71">IF(AND(AS$23-$B46&gt;=0,AS$23-$B46&lt;=10),OFFSET(AS46,-10,-10)+HLOOKUP($B46,$N$3:$BL$4,2,FALSE),"")</f>
        <v/>
      </c>
      <c r="AT46" s="227" t="str">
        <f t="shared" ca="1" si="71"/>
        <v/>
      </c>
      <c r="AU46" s="227" t="str">
        <f t="shared" ca="1" si="71"/>
        <v/>
      </c>
      <c r="AV46" s="227" t="str">
        <f t="shared" ca="1" si="71"/>
        <v/>
      </c>
      <c r="AW46" s="227" t="str">
        <f t="shared" ca="1" si="71"/>
        <v/>
      </c>
      <c r="AX46" s="227" t="str">
        <f t="shared" ca="1" si="71"/>
        <v/>
      </c>
      <c r="AY46" s="227" t="str">
        <f t="shared" ca="1" si="71"/>
        <v/>
      </c>
      <c r="AZ46" s="227" t="str">
        <f t="shared" ca="1" si="71"/>
        <v/>
      </c>
      <c r="BA46" s="227" t="str">
        <f t="shared" ca="1" si="71"/>
        <v/>
      </c>
      <c r="BB46" s="227" t="str">
        <f t="shared" ca="1" si="71"/>
        <v/>
      </c>
      <c r="BC46" s="227" t="str">
        <f t="shared" ref="BC46:BL55" ca="1" si="72">IF(AND(BC$23-$B46&gt;=0,BC$23-$B46&lt;=10),OFFSET(BC46,-10,-10)+HLOOKUP($B46,$N$3:$BL$4,2,FALSE),"")</f>
        <v/>
      </c>
      <c r="BD46" s="227" t="str">
        <f t="shared" ca="1" si="72"/>
        <v/>
      </c>
      <c r="BE46" s="227" t="str">
        <f t="shared" ca="1" si="72"/>
        <v/>
      </c>
      <c r="BF46" s="227" t="str">
        <f t="shared" ca="1" si="72"/>
        <v/>
      </c>
      <c r="BG46" s="227" t="str">
        <f t="shared" ca="1" si="72"/>
        <v/>
      </c>
      <c r="BH46" s="227" t="str">
        <f t="shared" ca="1" si="72"/>
        <v/>
      </c>
      <c r="BI46" s="227" t="str">
        <f t="shared" ca="1" si="72"/>
        <v/>
      </c>
      <c r="BJ46" s="227" t="str">
        <f t="shared" ca="1" si="72"/>
        <v/>
      </c>
      <c r="BK46" s="227" t="str">
        <f t="shared" ca="1" si="72"/>
        <v/>
      </c>
      <c r="BL46" s="285" t="str">
        <f t="shared" ca="1" si="72"/>
        <v/>
      </c>
      <c r="BM46" s="296"/>
      <c r="BN46" s="32"/>
    </row>
    <row r="47" spans="1:66" x14ac:dyDescent="0.25">
      <c r="A47" s="284"/>
      <c r="B47" s="297">
        <f t="shared" si="67"/>
        <v>2025</v>
      </c>
      <c r="C47" s="269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/>
      <c r="O47" s="227" t="str">
        <f t="shared" ca="1" si="68"/>
        <v/>
      </c>
      <c r="P47" s="227" t="str">
        <f t="shared" ca="1" si="68"/>
        <v/>
      </c>
      <c r="Q47" s="227" t="str">
        <f t="shared" ca="1" si="68"/>
        <v/>
      </c>
      <c r="R47" s="227" t="str">
        <f t="shared" ca="1" si="68"/>
        <v/>
      </c>
      <c r="S47" s="227" t="str">
        <f t="shared" ca="1" si="68"/>
        <v/>
      </c>
      <c r="T47" s="227" t="str">
        <f t="shared" ca="1" si="68"/>
        <v/>
      </c>
      <c r="U47" s="227" t="str">
        <f t="shared" ca="1" si="68"/>
        <v/>
      </c>
      <c r="V47" s="227" t="str">
        <f t="shared" ca="1" si="68"/>
        <v/>
      </c>
      <c r="W47" s="227" t="str">
        <f t="shared" ca="1" si="68"/>
        <v/>
      </c>
      <c r="X47" s="227" t="str">
        <f t="shared" ca="1" si="68"/>
        <v/>
      </c>
      <c r="Y47" s="227" t="str">
        <f t="shared" ca="1" si="69"/>
        <v/>
      </c>
      <c r="Z47" s="227">
        <f t="shared" ca="1" si="69"/>
        <v>12762.744481507525</v>
      </c>
      <c r="AA47" s="227">
        <f t="shared" ca="1" si="69"/>
        <v>12762.744481507525</v>
      </c>
      <c r="AB47" s="227">
        <f t="shared" ca="1" si="69"/>
        <v>12762.744481507525</v>
      </c>
      <c r="AC47" s="227">
        <f t="shared" ca="1" si="69"/>
        <v>12762.744481507525</v>
      </c>
      <c r="AD47" s="227">
        <f t="shared" ca="1" si="69"/>
        <v>12762.744481507525</v>
      </c>
      <c r="AE47" s="227">
        <f t="shared" ca="1" si="69"/>
        <v>12762.744481507525</v>
      </c>
      <c r="AF47" s="227">
        <f t="shared" ca="1" si="69"/>
        <v>12762.744481507525</v>
      </c>
      <c r="AG47" s="227">
        <f t="shared" ca="1" si="69"/>
        <v>12762.744481507525</v>
      </c>
      <c r="AH47" s="227">
        <f t="shared" ca="1" si="69"/>
        <v>12762.744481507525</v>
      </c>
      <c r="AI47" s="227">
        <f t="shared" ca="1" si="70"/>
        <v>12762.744481507525</v>
      </c>
      <c r="AJ47" s="227">
        <f t="shared" ca="1" si="70"/>
        <v>12762.744481507525</v>
      </c>
      <c r="AK47" s="227" t="str">
        <f t="shared" ca="1" si="70"/>
        <v/>
      </c>
      <c r="AL47" s="227" t="str">
        <f t="shared" ca="1" si="70"/>
        <v/>
      </c>
      <c r="AM47" s="227" t="str">
        <f t="shared" ca="1" si="70"/>
        <v/>
      </c>
      <c r="AN47" s="227" t="str">
        <f t="shared" ca="1" si="70"/>
        <v/>
      </c>
      <c r="AO47" s="227" t="str">
        <f t="shared" ca="1" si="70"/>
        <v/>
      </c>
      <c r="AP47" s="227" t="str">
        <f t="shared" ca="1" si="70"/>
        <v/>
      </c>
      <c r="AQ47" s="227" t="str">
        <f t="shared" ca="1" si="70"/>
        <v/>
      </c>
      <c r="AR47" s="227" t="str">
        <f t="shared" ca="1" si="70"/>
        <v/>
      </c>
      <c r="AS47" s="227" t="str">
        <f t="shared" ca="1" si="71"/>
        <v/>
      </c>
      <c r="AT47" s="227" t="str">
        <f t="shared" ca="1" si="71"/>
        <v/>
      </c>
      <c r="AU47" s="227" t="str">
        <f t="shared" ca="1" si="71"/>
        <v/>
      </c>
      <c r="AV47" s="227" t="str">
        <f t="shared" ca="1" si="71"/>
        <v/>
      </c>
      <c r="AW47" s="227" t="str">
        <f t="shared" ca="1" si="71"/>
        <v/>
      </c>
      <c r="AX47" s="227" t="str">
        <f t="shared" ca="1" si="71"/>
        <v/>
      </c>
      <c r="AY47" s="227" t="str">
        <f t="shared" ca="1" si="71"/>
        <v/>
      </c>
      <c r="AZ47" s="227" t="str">
        <f t="shared" ca="1" si="71"/>
        <v/>
      </c>
      <c r="BA47" s="227" t="str">
        <f t="shared" ca="1" si="71"/>
        <v/>
      </c>
      <c r="BB47" s="227" t="str">
        <f t="shared" ca="1" si="71"/>
        <v/>
      </c>
      <c r="BC47" s="227" t="str">
        <f t="shared" ca="1" si="72"/>
        <v/>
      </c>
      <c r="BD47" s="227" t="str">
        <f t="shared" ca="1" si="72"/>
        <v/>
      </c>
      <c r="BE47" s="227" t="str">
        <f t="shared" ca="1" si="72"/>
        <v/>
      </c>
      <c r="BF47" s="227" t="str">
        <f t="shared" ca="1" si="72"/>
        <v/>
      </c>
      <c r="BG47" s="227" t="str">
        <f t="shared" ca="1" si="72"/>
        <v/>
      </c>
      <c r="BH47" s="227" t="str">
        <f t="shared" ca="1" si="72"/>
        <v/>
      </c>
      <c r="BI47" s="227" t="str">
        <f t="shared" ca="1" si="72"/>
        <v/>
      </c>
      <c r="BJ47" s="227" t="str">
        <f t="shared" ca="1" si="72"/>
        <v/>
      </c>
      <c r="BK47" s="227" t="str">
        <f t="shared" ca="1" si="72"/>
        <v/>
      </c>
      <c r="BL47" s="285" t="str">
        <f t="shared" ca="1" si="72"/>
        <v/>
      </c>
      <c r="BM47" s="296"/>
      <c r="BN47" s="32"/>
    </row>
    <row r="48" spans="1:66" x14ac:dyDescent="0.25">
      <c r="A48" s="284"/>
      <c r="B48" s="297">
        <f t="shared" si="67"/>
        <v>2026</v>
      </c>
      <c r="C48" s="269"/>
      <c r="D48" s="227"/>
      <c r="E48" s="227"/>
      <c r="F48" s="227"/>
      <c r="G48" s="227"/>
      <c r="H48" s="227"/>
      <c r="I48" s="227"/>
      <c r="J48" s="227"/>
      <c r="K48" s="227"/>
      <c r="L48" s="227"/>
      <c r="M48" s="227"/>
      <c r="N48" s="227"/>
      <c r="O48" s="227" t="str">
        <f t="shared" ca="1" si="68"/>
        <v/>
      </c>
      <c r="P48" s="227" t="str">
        <f t="shared" ca="1" si="68"/>
        <v/>
      </c>
      <c r="Q48" s="227" t="str">
        <f t="shared" ca="1" si="68"/>
        <v/>
      </c>
      <c r="R48" s="227" t="str">
        <f t="shared" ca="1" si="68"/>
        <v/>
      </c>
      <c r="S48" s="227" t="str">
        <f t="shared" ca="1" si="68"/>
        <v/>
      </c>
      <c r="T48" s="227" t="str">
        <f t="shared" ca="1" si="68"/>
        <v/>
      </c>
      <c r="U48" s="227" t="str">
        <f t="shared" ca="1" si="68"/>
        <v/>
      </c>
      <c r="V48" s="227" t="str">
        <f t="shared" ca="1" si="68"/>
        <v/>
      </c>
      <c r="W48" s="227" t="str">
        <f t="shared" ca="1" si="68"/>
        <v/>
      </c>
      <c r="X48" s="227" t="str">
        <f t="shared" ca="1" si="68"/>
        <v/>
      </c>
      <c r="Y48" s="227" t="str">
        <f t="shared" ca="1" si="69"/>
        <v/>
      </c>
      <c r="Z48" s="227" t="str">
        <f t="shared" ca="1" si="69"/>
        <v/>
      </c>
      <c r="AA48" s="227">
        <f t="shared" ca="1" si="69"/>
        <v>13271.345790778872</v>
      </c>
      <c r="AB48" s="227">
        <f t="shared" ca="1" si="69"/>
        <v>13271.345790778872</v>
      </c>
      <c r="AC48" s="227">
        <f t="shared" ca="1" si="69"/>
        <v>13271.345790778872</v>
      </c>
      <c r="AD48" s="227">
        <f t="shared" ca="1" si="69"/>
        <v>13271.345790778872</v>
      </c>
      <c r="AE48" s="227">
        <f t="shared" ca="1" si="69"/>
        <v>13271.345790778872</v>
      </c>
      <c r="AF48" s="227">
        <f t="shared" ca="1" si="69"/>
        <v>13271.345790778872</v>
      </c>
      <c r="AG48" s="227">
        <f t="shared" ca="1" si="69"/>
        <v>13271.345790778872</v>
      </c>
      <c r="AH48" s="227">
        <f t="shared" ca="1" si="69"/>
        <v>13271.345790778872</v>
      </c>
      <c r="AI48" s="227">
        <f t="shared" ca="1" si="70"/>
        <v>13271.345790778872</v>
      </c>
      <c r="AJ48" s="227">
        <f t="shared" ca="1" si="70"/>
        <v>13271.345790778872</v>
      </c>
      <c r="AK48" s="227">
        <f t="shared" ca="1" si="70"/>
        <v>13271.345790778872</v>
      </c>
      <c r="AL48" s="227" t="str">
        <f t="shared" ca="1" si="70"/>
        <v/>
      </c>
      <c r="AM48" s="227" t="str">
        <f t="shared" ca="1" si="70"/>
        <v/>
      </c>
      <c r="AN48" s="227" t="str">
        <f t="shared" ca="1" si="70"/>
        <v/>
      </c>
      <c r="AO48" s="227" t="str">
        <f t="shared" ca="1" si="70"/>
        <v/>
      </c>
      <c r="AP48" s="227" t="str">
        <f t="shared" ca="1" si="70"/>
        <v/>
      </c>
      <c r="AQ48" s="227" t="str">
        <f t="shared" ca="1" si="70"/>
        <v/>
      </c>
      <c r="AR48" s="227" t="str">
        <f t="shared" ca="1" si="70"/>
        <v/>
      </c>
      <c r="AS48" s="227" t="str">
        <f t="shared" ca="1" si="71"/>
        <v/>
      </c>
      <c r="AT48" s="227" t="str">
        <f t="shared" ca="1" si="71"/>
        <v/>
      </c>
      <c r="AU48" s="227" t="str">
        <f t="shared" ca="1" si="71"/>
        <v/>
      </c>
      <c r="AV48" s="227" t="str">
        <f t="shared" ca="1" si="71"/>
        <v/>
      </c>
      <c r="AW48" s="227" t="str">
        <f t="shared" ca="1" si="71"/>
        <v/>
      </c>
      <c r="AX48" s="227" t="str">
        <f t="shared" ca="1" si="71"/>
        <v/>
      </c>
      <c r="AY48" s="227" t="str">
        <f t="shared" ca="1" si="71"/>
        <v/>
      </c>
      <c r="AZ48" s="227" t="str">
        <f t="shared" ca="1" si="71"/>
        <v/>
      </c>
      <c r="BA48" s="227" t="str">
        <f t="shared" ca="1" si="71"/>
        <v/>
      </c>
      <c r="BB48" s="227" t="str">
        <f t="shared" ca="1" si="71"/>
        <v/>
      </c>
      <c r="BC48" s="227" t="str">
        <f t="shared" ca="1" si="72"/>
        <v/>
      </c>
      <c r="BD48" s="227" t="str">
        <f t="shared" ca="1" si="72"/>
        <v/>
      </c>
      <c r="BE48" s="227" t="str">
        <f t="shared" ca="1" si="72"/>
        <v/>
      </c>
      <c r="BF48" s="227" t="str">
        <f t="shared" ca="1" si="72"/>
        <v/>
      </c>
      <c r="BG48" s="227" t="str">
        <f t="shared" ca="1" si="72"/>
        <v/>
      </c>
      <c r="BH48" s="227" t="str">
        <f t="shared" ca="1" si="72"/>
        <v/>
      </c>
      <c r="BI48" s="227" t="str">
        <f t="shared" ca="1" si="72"/>
        <v/>
      </c>
      <c r="BJ48" s="227" t="str">
        <f t="shared" ca="1" si="72"/>
        <v/>
      </c>
      <c r="BK48" s="227" t="str">
        <f t="shared" ca="1" si="72"/>
        <v/>
      </c>
      <c r="BL48" s="285" t="str">
        <f t="shared" ca="1" si="72"/>
        <v/>
      </c>
      <c r="BM48" s="296"/>
      <c r="BN48" s="32"/>
    </row>
    <row r="49" spans="1:66" x14ac:dyDescent="0.25">
      <c r="A49" s="284"/>
      <c r="B49" s="297">
        <f t="shared" si="67"/>
        <v>2027</v>
      </c>
      <c r="C49" s="269"/>
      <c r="D49" s="227"/>
      <c r="E49" s="227"/>
      <c r="F49" s="227"/>
      <c r="G49" s="227"/>
      <c r="H49" s="227"/>
      <c r="I49" s="227"/>
      <c r="J49" s="227"/>
      <c r="K49" s="227"/>
      <c r="L49" s="227"/>
      <c r="M49" s="227"/>
      <c r="N49" s="227"/>
      <c r="O49" s="227" t="str">
        <f t="shared" ca="1" si="68"/>
        <v/>
      </c>
      <c r="P49" s="227" t="str">
        <f t="shared" ca="1" si="68"/>
        <v/>
      </c>
      <c r="Q49" s="227" t="str">
        <f t="shared" ca="1" si="68"/>
        <v/>
      </c>
      <c r="R49" s="227" t="str">
        <f t="shared" ca="1" si="68"/>
        <v/>
      </c>
      <c r="S49" s="227" t="str">
        <f t="shared" ca="1" si="68"/>
        <v/>
      </c>
      <c r="T49" s="227" t="str">
        <f t="shared" ca="1" si="68"/>
        <v/>
      </c>
      <c r="U49" s="227" t="str">
        <f t="shared" ca="1" si="68"/>
        <v/>
      </c>
      <c r="V49" s="227" t="str">
        <f t="shared" ca="1" si="68"/>
        <v/>
      </c>
      <c r="W49" s="227" t="str">
        <f t="shared" ca="1" si="68"/>
        <v/>
      </c>
      <c r="X49" s="227" t="str">
        <f t="shared" ca="1" si="68"/>
        <v/>
      </c>
      <c r="Y49" s="227" t="str">
        <f t="shared" ca="1" si="69"/>
        <v/>
      </c>
      <c r="Z49" s="227" t="str">
        <f t="shared" ca="1" si="69"/>
        <v/>
      </c>
      <c r="AA49" s="227" t="str">
        <f t="shared" ca="1" si="69"/>
        <v/>
      </c>
      <c r="AB49" s="227">
        <f t="shared" ca="1" si="69"/>
        <v>14217.448551800539</v>
      </c>
      <c r="AC49" s="227">
        <f t="shared" ca="1" si="69"/>
        <v>14217.448551800539</v>
      </c>
      <c r="AD49" s="227">
        <f t="shared" ca="1" si="69"/>
        <v>14217.448551800539</v>
      </c>
      <c r="AE49" s="227">
        <f t="shared" ca="1" si="69"/>
        <v>14217.448551800539</v>
      </c>
      <c r="AF49" s="227">
        <f t="shared" ca="1" si="69"/>
        <v>14217.448551800539</v>
      </c>
      <c r="AG49" s="227">
        <f t="shared" ca="1" si="69"/>
        <v>14217.448551800539</v>
      </c>
      <c r="AH49" s="227">
        <f t="shared" ca="1" si="69"/>
        <v>14217.448551800539</v>
      </c>
      <c r="AI49" s="227">
        <f t="shared" ca="1" si="70"/>
        <v>14217.448551800539</v>
      </c>
      <c r="AJ49" s="227">
        <f t="shared" ca="1" si="70"/>
        <v>14217.448551800539</v>
      </c>
      <c r="AK49" s="227">
        <f t="shared" ca="1" si="70"/>
        <v>14217.448551800539</v>
      </c>
      <c r="AL49" s="227">
        <f t="shared" ca="1" si="70"/>
        <v>14217.448551800539</v>
      </c>
      <c r="AM49" s="227" t="str">
        <f t="shared" ca="1" si="70"/>
        <v/>
      </c>
      <c r="AN49" s="227" t="str">
        <f t="shared" ca="1" si="70"/>
        <v/>
      </c>
      <c r="AO49" s="227" t="str">
        <f t="shared" ca="1" si="70"/>
        <v/>
      </c>
      <c r="AP49" s="227" t="str">
        <f t="shared" ca="1" si="70"/>
        <v/>
      </c>
      <c r="AQ49" s="227" t="str">
        <f t="shared" ca="1" si="70"/>
        <v/>
      </c>
      <c r="AR49" s="227" t="str">
        <f t="shared" ca="1" si="70"/>
        <v/>
      </c>
      <c r="AS49" s="227" t="str">
        <f t="shared" ca="1" si="71"/>
        <v/>
      </c>
      <c r="AT49" s="227" t="str">
        <f t="shared" ca="1" si="71"/>
        <v/>
      </c>
      <c r="AU49" s="227" t="str">
        <f t="shared" ca="1" si="71"/>
        <v/>
      </c>
      <c r="AV49" s="227" t="str">
        <f t="shared" ca="1" si="71"/>
        <v/>
      </c>
      <c r="AW49" s="227" t="str">
        <f t="shared" ca="1" si="71"/>
        <v/>
      </c>
      <c r="AX49" s="227" t="str">
        <f t="shared" ca="1" si="71"/>
        <v/>
      </c>
      <c r="AY49" s="227" t="str">
        <f t="shared" ca="1" si="71"/>
        <v/>
      </c>
      <c r="AZ49" s="227" t="str">
        <f t="shared" ca="1" si="71"/>
        <v/>
      </c>
      <c r="BA49" s="227" t="str">
        <f t="shared" ca="1" si="71"/>
        <v/>
      </c>
      <c r="BB49" s="227" t="str">
        <f t="shared" ca="1" si="71"/>
        <v/>
      </c>
      <c r="BC49" s="227" t="str">
        <f t="shared" ca="1" si="72"/>
        <v/>
      </c>
      <c r="BD49" s="227" t="str">
        <f t="shared" ca="1" si="72"/>
        <v/>
      </c>
      <c r="BE49" s="227" t="str">
        <f t="shared" ca="1" si="72"/>
        <v/>
      </c>
      <c r="BF49" s="227" t="str">
        <f t="shared" ca="1" si="72"/>
        <v/>
      </c>
      <c r="BG49" s="227" t="str">
        <f t="shared" ca="1" si="72"/>
        <v/>
      </c>
      <c r="BH49" s="227" t="str">
        <f t="shared" ca="1" si="72"/>
        <v/>
      </c>
      <c r="BI49" s="227" t="str">
        <f t="shared" ca="1" si="72"/>
        <v/>
      </c>
      <c r="BJ49" s="227" t="str">
        <f t="shared" ca="1" si="72"/>
        <v/>
      </c>
      <c r="BK49" s="227" t="str">
        <f t="shared" ca="1" si="72"/>
        <v/>
      </c>
      <c r="BL49" s="285" t="str">
        <f t="shared" ca="1" si="72"/>
        <v/>
      </c>
      <c r="BM49" s="296"/>
      <c r="BN49" s="32"/>
    </row>
    <row r="50" spans="1:66" x14ac:dyDescent="0.25">
      <c r="A50" s="284"/>
      <c r="B50" s="297">
        <f t="shared" si="67"/>
        <v>2028</v>
      </c>
      <c r="C50" s="269"/>
      <c r="D50" s="227"/>
      <c r="E50" s="227"/>
      <c r="F50" s="227"/>
      <c r="G50" s="227"/>
      <c r="H50" s="227"/>
      <c r="I50" s="227"/>
      <c r="J50" s="227"/>
      <c r="K50" s="227"/>
      <c r="L50" s="227"/>
      <c r="M50" s="227"/>
      <c r="N50" s="227"/>
      <c r="O50" s="227" t="str">
        <f t="shared" ca="1" si="68"/>
        <v/>
      </c>
      <c r="P50" s="227" t="str">
        <f t="shared" ca="1" si="68"/>
        <v/>
      </c>
      <c r="Q50" s="227" t="str">
        <f t="shared" ca="1" si="68"/>
        <v/>
      </c>
      <c r="R50" s="227" t="str">
        <f t="shared" ca="1" si="68"/>
        <v/>
      </c>
      <c r="S50" s="227" t="str">
        <f t="shared" ca="1" si="68"/>
        <v/>
      </c>
      <c r="T50" s="227" t="str">
        <f t="shared" ca="1" si="68"/>
        <v/>
      </c>
      <c r="U50" s="227" t="str">
        <f t="shared" ca="1" si="68"/>
        <v/>
      </c>
      <c r="V50" s="227" t="str">
        <f t="shared" ca="1" si="68"/>
        <v/>
      </c>
      <c r="W50" s="227" t="str">
        <f t="shared" ca="1" si="68"/>
        <v/>
      </c>
      <c r="X50" s="227" t="str">
        <f t="shared" ca="1" si="68"/>
        <v/>
      </c>
      <c r="Y50" s="227" t="str">
        <f t="shared" ca="1" si="69"/>
        <v/>
      </c>
      <c r="Z50" s="227" t="str">
        <f t="shared" ca="1" si="69"/>
        <v/>
      </c>
      <c r="AA50" s="227" t="str">
        <f t="shared" ca="1" si="69"/>
        <v/>
      </c>
      <c r="AB50" s="227" t="str">
        <f t="shared" ca="1" si="69"/>
        <v/>
      </c>
      <c r="AC50" s="227">
        <f t="shared" ca="1" si="69"/>
        <v>15048.325223422784</v>
      </c>
      <c r="AD50" s="227">
        <f t="shared" ca="1" si="69"/>
        <v>15048.325223422784</v>
      </c>
      <c r="AE50" s="227">
        <f t="shared" ca="1" si="69"/>
        <v>15048.325223422784</v>
      </c>
      <c r="AF50" s="227">
        <f t="shared" ca="1" si="69"/>
        <v>15048.325223422784</v>
      </c>
      <c r="AG50" s="227">
        <f t="shared" ca="1" si="69"/>
        <v>15048.325223422784</v>
      </c>
      <c r="AH50" s="227">
        <f t="shared" ca="1" si="69"/>
        <v>15048.325223422784</v>
      </c>
      <c r="AI50" s="227">
        <f t="shared" ca="1" si="70"/>
        <v>15048.325223422784</v>
      </c>
      <c r="AJ50" s="227">
        <f t="shared" ca="1" si="70"/>
        <v>15048.325223422784</v>
      </c>
      <c r="AK50" s="227">
        <f t="shared" ca="1" si="70"/>
        <v>15048.325223422784</v>
      </c>
      <c r="AL50" s="227">
        <f t="shared" ca="1" si="70"/>
        <v>15048.325223422784</v>
      </c>
      <c r="AM50" s="227">
        <f t="shared" ca="1" si="70"/>
        <v>15048.325223422784</v>
      </c>
      <c r="AN50" s="227" t="str">
        <f t="shared" ca="1" si="70"/>
        <v/>
      </c>
      <c r="AO50" s="227" t="str">
        <f t="shared" ca="1" si="70"/>
        <v/>
      </c>
      <c r="AP50" s="227" t="str">
        <f t="shared" ca="1" si="70"/>
        <v/>
      </c>
      <c r="AQ50" s="227" t="str">
        <f t="shared" ca="1" si="70"/>
        <v/>
      </c>
      <c r="AR50" s="227" t="str">
        <f t="shared" ca="1" si="70"/>
        <v/>
      </c>
      <c r="AS50" s="227" t="str">
        <f t="shared" ca="1" si="71"/>
        <v/>
      </c>
      <c r="AT50" s="227" t="str">
        <f t="shared" ca="1" si="71"/>
        <v/>
      </c>
      <c r="AU50" s="227" t="str">
        <f t="shared" ca="1" si="71"/>
        <v/>
      </c>
      <c r="AV50" s="227" t="str">
        <f t="shared" ca="1" si="71"/>
        <v/>
      </c>
      <c r="AW50" s="227" t="str">
        <f t="shared" ca="1" si="71"/>
        <v/>
      </c>
      <c r="AX50" s="227" t="str">
        <f t="shared" ca="1" si="71"/>
        <v/>
      </c>
      <c r="AY50" s="227" t="str">
        <f t="shared" ca="1" si="71"/>
        <v/>
      </c>
      <c r="AZ50" s="227" t="str">
        <f t="shared" ca="1" si="71"/>
        <v/>
      </c>
      <c r="BA50" s="227" t="str">
        <f t="shared" ca="1" si="71"/>
        <v/>
      </c>
      <c r="BB50" s="227" t="str">
        <f t="shared" ca="1" si="71"/>
        <v/>
      </c>
      <c r="BC50" s="227" t="str">
        <f t="shared" ca="1" si="72"/>
        <v/>
      </c>
      <c r="BD50" s="227" t="str">
        <f t="shared" ca="1" si="72"/>
        <v/>
      </c>
      <c r="BE50" s="227" t="str">
        <f t="shared" ca="1" si="72"/>
        <v/>
      </c>
      <c r="BF50" s="227" t="str">
        <f t="shared" ca="1" si="72"/>
        <v/>
      </c>
      <c r="BG50" s="227" t="str">
        <f t="shared" ca="1" si="72"/>
        <v/>
      </c>
      <c r="BH50" s="227" t="str">
        <f t="shared" ca="1" si="72"/>
        <v/>
      </c>
      <c r="BI50" s="227" t="str">
        <f t="shared" ca="1" si="72"/>
        <v/>
      </c>
      <c r="BJ50" s="227" t="str">
        <f t="shared" ca="1" si="72"/>
        <v/>
      </c>
      <c r="BK50" s="227" t="str">
        <f t="shared" ca="1" si="72"/>
        <v/>
      </c>
      <c r="BL50" s="285" t="str">
        <f t="shared" ca="1" si="72"/>
        <v/>
      </c>
      <c r="BM50" s="296"/>
      <c r="BN50" s="32"/>
    </row>
    <row r="51" spans="1:66" x14ac:dyDescent="0.25">
      <c r="A51" s="284"/>
      <c r="B51" s="297">
        <f t="shared" si="67"/>
        <v>2029</v>
      </c>
      <c r="C51" s="269"/>
      <c r="D51" s="227"/>
      <c r="E51" s="227"/>
      <c r="F51" s="227"/>
      <c r="G51" s="227"/>
      <c r="H51" s="227"/>
      <c r="I51" s="227"/>
      <c r="J51" s="227"/>
      <c r="K51" s="227"/>
      <c r="L51" s="227"/>
      <c r="M51" s="227"/>
      <c r="N51" s="227"/>
      <c r="O51" s="227" t="str">
        <f t="shared" ca="1" si="68"/>
        <v/>
      </c>
      <c r="P51" s="227" t="str">
        <f t="shared" ca="1" si="68"/>
        <v/>
      </c>
      <c r="Q51" s="227" t="str">
        <f t="shared" ca="1" si="68"/>
        <v/>
      </c>
      <c r="R51" s="227" t="str">
        <f t="shared" ca="1" si="68"/>
        <v/>
      </c>
      <c r="S51" s="227" t="str">
        <f t="shared" ca="1" si="68"/>
        <v/>
      </c>
      <c r="T51" s="227" t="str">
        <f t="shared" ca="1" si="68"/>
        <v/>
      </c>
      <c r="U51" s="227" t="str">
        <f t="shared" ca="1" si="68"/>
        <v/>
      </c>
      <c r="V51" s="227" t="str">
        <f t="shared" ca="1" si="68"/>
        <v/>
      </c>
      <c r="W51" s="227" t="str">
        <f t="shared" ca="1" si="68"/>
        <v/>
      </c>
      <c r="X51" s="227" t="str">
        <f t="shared" ca="1" si="68"/>
        <v/>
      </c>
      <c r="Y51" s="227" t="str">
        <f t="shared" ca="1" si="69"/>
        <v/>
      </c>
      <c r="Z51" s="227" t="str">
        <f t="shared" ca="1" si="69"/>
        <v/>
      </c>
      <c r="AA51" s="227" t="str">
        <f t="shared" ca="1" si="69"/>
        <v/>
      </c>
      <c r="AB51" s="227" t="str">
        <f t="shared" ca="1" si="69"/>
        <v/>
      </c>
      <c r="AC51" s="227" t="str">
        <f t="shared" ca="1" si="69"/>
        <v/>
      </c>
      <c r="AD51" s="227">
        <f t="shared" ca="1" si="69"/>
        <v>15913.592018785575</v>
      </c>
      <c r="AE51" s="227">
        <f t="shared" ca="1" si="69"/>
        <v>15913.592018785575</v>
      </c>
      <c r="AF51" s="227">
        <f t="shared" ca="1" si="69"/>
        <v>15913.592018785575</v>
      </c>
      <c r="AG51" s="227">
        <f t="shared" ca="1" si="69"/>
        <v>15913.592018785575</v>
      </c>
      <c r="AH51" s="227">
        <f t="shared" ca="1" si="69"/>
        <v>15913.592018785575</v>
      </c>
      <c r="AI51" s="227">
        <f t="shared" ca="1" si="70"/>
        <v>15913.592018785575</v>
      </c>
      <c r="AJ51" s="227">
        <f t="shared" ca="1" si="70"/>
        <v>15913.592018785575</v>
      </c>
      <c r="AK51" s="227">
        <f t="shared" ca="1" si="70"/>
        <v>15913.592018785575</v>
      </c>
      <c r="AL51" s="227">
        <f t="shared" ca="1" si="70"/>
        <v>15913.592018785575</v>
      </c>
      <c r="AM51" s="227">
        <f t="shared" ca="1" si="70"/>
        <v>15913.592018785575</v>
      </c>
      <c r="AN51" s="227">
        <f t="shared" ca="1" si="70"/>
        <v>15913.592018785575</v>
      </c>
      <c r="AO51" s="227" t="str">
        <f t="shared" ca="1" si="70"/>
        <v/>
      </c>
      <c r="AP51" s="227" t="str">
        <f t="shared" ca="1" si="70"/>
        <v/>
      </c>
      <c r="AQ51" s="227" t="str">
        <f t="shared" ca="1" si="70"/>
        <v/>
      </c>
      <c r="AR51" s="227" t="str">
        <f t="shared" ca="1" si="70"/>
        <v/>
      </c>
      <c r="AS51" s="227" t="str">
        <f t="shared" ca="1" si="71"/>
        <v/>
      </c>
      <c r="AT51" s="227" t="str">
        <f t="shared" ca="1" si="71"/>
        <v/>
      </c>
      <c r="AU51" s="227" t="str">
        <f t="shared" ca="1" si="71"/>
        <v/>
      </c>
      <c r="AV51" s="227" t="str">
        <f t="shared" ca="1" si="71"/>
        <v/>
      </c>
      <c r="AW51" s="227" t="str">
        <f t="shared" ca="1" si="71"/>
        <v/>
      </c>
      <c r="AX51" s="227" t="str">
        <f t="shared" ca="1" si="71"/>
        <v/>
      </c>
      <c r="AY51" s="227" t="str">
        <f t="shared" ca="1" si="71"/>
        <v/>
      </c>
      <c r="AZ51" s="227" t="str">
        <f t="shared" ca="1" si="71"/>
        <v/>
      </c>
      <c r="BA51" s="227" t="str">
        <f t="shared" ca="1" si="71"/>
        <v/>
      </c>
      <c r="BB51" s="227" t="str">
        <f t="shared" ca="1" si="71"/>
        <v/>
      </c>
      <c r="BC51" s="227" t="str">
        <f t="shared" ca="1" si="72"/>
        <v/>
      </c>
      <c r="BD51" s="227" t="str">
        <f t="shared" ca="1" si="72"/>
        <v/>
      </c>
      <c r="BE51" s="227" t="str">
        <f t="shared" ca="1" si="72"/>
        <v/>
      </c>
      <c r="BF51" s="227" t="str">
        <f t="shared" ca="1" si="72"/>
        <v/>
      </c>
      <c r="BG51" s="227" t="str">
        <f t="shared" ca="1" si="72"/>
        <v/>
      </c>
      <c r="BH51" s="227" t="str">
        <f t="shared" ca="1" si="72"/>
        <v/>
      </c>
      <c r="BI51" s="227" t="str">
        <f t="shared" ca="1" si="72"/>
        <v/>
      </c>
      <c r="BJ51" s="227" t="str">
        <f t="shared" ca="1" si="72"/>
        <v/>
      </c>
      <c r="BK51" s="227" t="str">
        <f t="shared" ca="1" si="72"/>
        <v/>
      </c>
      <c r="BL51" s="285" t="str">
        <f t="shared" ca="1" si="72"/>
        <v/>
      </c>
      <c r="BM51" s="296"/>
      <c r="BN51" s="32"/>
    </row>
    <row r="52" spans="1:66" x14ac:dyDescent="0.25">
      <c r="A52" s="284"/>
      <c r="B52" s="297">
        <f t="shared" si="67"/>
        <v>2030</v>
      </c>
      <c r="C52" s="269"/>
      <c r="D52" s="227"/>
      <c r="E52" s="227"/>
      <c r="F52" s="227"/>
      <c r="G52" s="227"/>
      <c r="H52" s="227"/>
      <c r="I52" s="227"/>
      <c r="J52" s="227"/>
      <c r="K52" s="227"/>
      <c r="L52" s="227"/>
      <c r="M52" s="227"/>
      <c r="N52" s="227"/>
      <c r="O52" s="227" t="str">
        <f t="shared" ca="1" si="68"/>
        <v/>
      </c>
      <c r="P52" s="227" t="str">
        <f t="shared" ca="1" si="68"/>
        <v/>
      </c>
      <c r="Q52" s="227" t="str">
        <f t="shared" ca="1" si="68"/>
        <v/>
      </c>
      <c r="R52" s="227" t="str">
        <f t="shared" ca="1" si="68"/>
        <v/>
      </c>
      <c r="S52" s="227" t="str">
        <f t="shared" ca="1" si="68"/>
        <v/>
      </c>
      <c r="T52" s="227" t="str">
        <f t="shared" ca="1" si="68"/>
        <v/>
      </c>
      <c r="U52" s="227" t="str">
        <f t="shared" ca="1" si="68"/>
        <v/>
      </c>
      <c r="V52" s="227" t="str">
        <f t="shared" ca="1" si="68"/>
        <v/>
      </c>
      <c r="W52" s="227" t="str">
        <f t="shared" ca="1" si="68"/>
        <v/>
      </c>
      <c r="X52" s="227" t="str">
        <f t="shared" ca="1" si="68"/>
        <v/>
      </c>
      <c r="Y52" s="227" t="str">
        <f t="shared" ca="1" si="69"/>
        <v/>
      </c>
      <c r="Z52" s="227" t="str">
        <f t="shared" ca="1" si="69"/>
        <v/>
      </c>
      <c r="AA52" s="227" t="str">
        <f t="shared" ca="1" si="69"/>
        <v/>
      </c>
      <c r="AB52" s="227" t="str">
        <f t="shared" ca="1" si="69"/>
        <v/>
      </c>
      <c r="AC52" s="227" t="str">
        <f t="shared" ca="1" si="69"/>
        <v/>
      </c>
      <c r="AD52" s="227" t="str">
        <f t="shared" ca="1" si="69"/>
        <v/>
      </c>
      <c r="AE52" s="227">
        <f t="shared" ca="1" si="69"/>
        <v>16762.375821937036</v>
      </c>
      <c r="AF52" s="227">
        <f t="shared" ca="1" si="69"/>
        <v>16762.375821937036</v>
      </c>
      <c r="AG52" s="227">
        <f t="shared" ca="1" si="69"/>
        <v>16762.375821937036</v>
      </c>
      <c r="AH52" s="227">
        <f t="shared" ca="1" si="69"/>
        <v>16762.375821937036</v>
      </c>
      <c r="AI52" s="227">
        <f t="shared" ca="1" si="70"/>
        <v>16762.375821937036</v>
      </c>
      <c r="AJ52" s="227">
        <f t="shared" ca="1" si="70"/>
        <v>16762.375821937036</v>
      </c>
      <c r="AK52" s="227">
        <f t="shared" ca="1" si="70"/>
        <v>16762.375821937036</v>
      </c>
      <c r="AL52" s="227">
        <f t="shared" ca="1" si="70"/>
        <v>16762.375821937036</v>
      </c>
      <c r="AM52" s="227">
        <f t="shared" ca="1" si="70"/>
        <v>16762.375821937036</v>
      </c>
      <c r="AN52" s="227">
        <f t="shared" ca="1" si="70"/>
        <v>16762.375821937036</v>
      </c>
      <c r="AO52" s="227">
        <f t="shared" ca="1" si="70"/>
        <v>16762.375821937036</v>
      </c>
      <c r="AP52" s="227" t="str">
        <f t="shared" ca="1" si="70"/>
        <v/>
      </c>
      <c r="AQ52" s="227" t="str">
        <f t="shared" ca="1" si="70"/>
        <v/>
      </c>
      <c r="AR52" s="227" t="str">
        <f t="shared" ca="1" si="70"/>
        <v/>
      </c>
      <c r="AS52" s="227" t="str">
        <f t="shared" ca="1" si="71"/>
        <v/>
      </c>
      <c r="AT52" s="227" t="str">
        <f t="shared" ca="1" si="71"/>
        <v/>
      </c>
      <c r="AU52" s="227" t="str">
        <f t="shared" ca="1" si="71"/>
        <v/>
      </c>
      <c r="AV52" s="227" t="str">
        <f t="shared" ca="1" si="71"/>
        <v/>
      </c>
      <c r="AW52" s="227" t="str">
        <f t="shared" ca="1" si="71"/>
        <v/>
      </c>
      <c r="AX52" s="227" t="str">
        <f t="shared" ca="1" si="71"/>
        <v/>
      </c>
      <c r="AY52" s="227" t="str">
        <f t="shared" ca="1" si="71"/>
        <v/>
      </c>
      <c r="AZ52" s="227" t="str">
        <f t="shared" ca="1" si="71"/>
        <v/>
      </c>
      <c r="BA52" s="227" t="str">
        <f t="shared" ca="1" si="71"/>
        <v/>
      </c>
      <c r="BB52" s="227" t="str">
        <f t="shared" ca="1" si="71"/>
        <v/>
      </c>
      <c r="BC52" s="227" t="str">
        <f t="shared" ca="1" si="72"/>
        <v/>
      </c>
      <c r="BD52" s="227" t="str">
        <f t="shared" ca="1" si="72"/>
        <v/>
      </c>
      <c r="BE52" s="227" t="str">
        <f t="shared" ca="1" si="72"/>
        <v/>
      </c>
      <c r="BF52" s="227" t="str">
        <f t="shared" ca="1" si="72"/>
        <v/>
      </c>
      <c r="BG52" s="227" t="str">
        <f t="shared" ca="1" si="72"/>
        <v/>
      </c>
      <c r="BH52" s="227" t="str">
        <f t="shared" ca="1" si="72"/>
        <v/>
      </c>
      <c r="BI52" s="227" t="str">
        <f t="shared" ca="1" si="72"/>
        <v/>
      </c>
      <c r="BJ52" s="227" t="str">
        <f t="shared" ca="1" si="72"/>
        <v/>
      </c>
      <c r="BK52" s="227" t="str">
        <f t="shared" ca="1" si="72"/>
        <v/>
      </c>
      <c r="BL52" s="285" t="str">
        <f t="shared" ca="1" si="72"/>
        <v/>
      </c>
      <c r="BM52" s="296"/>
      <c r="BN52" s="32"/>
    </row>
    <row r="53" spans="1:66" x14ac:dyDescent="0.25">
      <c r="A53" s="284"/>
      <c r="B53" s="297">
        <f t="shared" si="67"/>
        <v>2031</v>
      </c>
      <c r="C53" s="269"/>
      <c r="D53" s="227"/>
      <c r="E53" s="227"/>
      <c r="F53" s="227"/>
      <c r="G53" s="227"/>
      <c r="H53" s="227"/>
      <c r="I53" s="227"/>
      <c r="J53" s="227"/>
      <c r="K53" s="227"/>
      <c r="L53" s="227"/>
      <c r="M53" s="227"/>
      <c r="N53" s="227"/>
      <c r="O53" s="227" t="str">
        <f t="shared" ca="1" si="68"/>
        <v/>
      </c>
      <c r="P53" s="227" t="str">
        <f t="shared" ca="1" si="68"/>
        <v/>
      </c>
      <c r="Q53" s="227" t="str">
        <f t="shared" ca="1" si="68"/>
        <v/>
      </c>
      <c r="R53" s="227" t="str">
        <f t="shared" ca="1" si="68"/>
        <v/>
      </c>
      <c r="S53" s="227" t="str">
        <f t="shared" ca="1" si="68"/>
        <v/>
      </c>
      <c r="T53" s="227" t="str">
        <f t="shared" ca="1" si="68"/>
        <v/>
      </c>
      <c r="U53" s="227" t="str">
        <f t="shared" ca="1" si="68"/>
        <v/>
      </c>
      <c r="V53" s="227" t="str">
        <f t="shared" ca="1" si="68"/>
        <v/>
      </c>
      <c r="W53" s="227" t="str">
        <f t="shared" ca="1" si="68"/>
        <v/>
      </c>
      <c r="X53" s="227" t="str">
        <f t="shared" ca="1" si="68"/>
        <v/>
      </c>
      <c r="Y53" s="227" t="str">
        <f t="shared" ca="1" si="69"/>
        <v/>
      </c>
      <c r="Z53" s="227" t="str">
        <f t="shared" ca="1" si="69"/>
        <v/>
      </c>
      <c r="AA53" s="227" t="str">
        <f t="shared" ca="1" si="69"/>
        <v/>
      </c>
      <c r="AB53" s="227" t="str">
        <f t="shared" ca="1" si="69"/>
        <v/>
      </c>
      <c r="AC53" s="227" t="str">
        <f t="shared" ca="1" si="69"/>
        <v/>
      </c>
      <c r="AD53" s="227" t="str">
        <f t="shared" ca="1" si="69"/>
        <v/>
      </c>
      <c r="AE53" s="227" t="str">
        <f t="shared" ca="1" si="69"/>
        <v/>
      </c>
      <c r="AF53" s="227">
        <f t="shared" ca="1" si="69"/>
        <v>17696.173651999961</v>
      </c>
      <c r="AG53" s="227">
        <f t="shared" ca="1" si="69"/>
        <v>17696.173651999961</v>
      </c>
      <c r="AH53" s="227">
        <f t="shared" ca="1" si="69"/>
        <v>17696.173651999961</v>
      </c>
      <c r="AI53" s="227">
        <f t="shared" ca="1" si="70"/>
        <v>17696.173651999961</v>
      </c>
      <c r="AJ53" s="227">
        <f t="shared" ca="1" si="70"/>
        <v>17696.173651999961</v>
      </c>
      <c r="AK53" s="227">
        <f t="shared" ca="1" si="70"/>
        <v>17696.173651999961</v>
      </c>
      <c r="AL53" s="227">
        <f t="shared" ca="1" si="70"/>
        <v>17696.173651999961</v>
      </c>
      <c r="AM53" s="227">
        <f t="shared" ca="1" si="70"/>
        <v>17696.173651999961</v>
      </c>
      <c r="AN53" s="227">
        <f t="shared" ca="1" si="70"/>
        <v>17696.173651999961</v>
      </c>
      <c r="AO53" s="227">
        <f t="shared" ca="1" si="70"/>
        <v>17696.173651999961</v>
      </c>
      <c r="AP53" s="227">
        <f t="shared" ca="1" si="70"/>
        <v>17696.173651999961</v>
      </c>
      <c r="AQ53" s="227" t="str">
        <f t="shared" ca="1" si="70"/>
        <v/>
      </c>
      <c r="AR53" s="227" t="str">
        <f t="shared" ca="1" si="70"/>
        <v/>
      </c>
      <c r="AS53" s="227" t="str">
        <f t="shared" ca="1" si="71"/>
        <v/>
      </c>
      <c r="AT53" s="227" t="str">
        <f t="shared" ca="1" si="71"/>
        <v/>
      </c>
      <c r="AU53" s="227" t="str">
        <f t="shared" ca="1" si="71"/>
        <v/>
      </c>
      <c r="AV53" s="227" t="str">
        <f t="shared" ca="1" si="71"/>
        <v/>
      </c>
      <c r="AW53" s="227" t="str">
        <f t="shared" ca="1" si="71"/>
        <v/>
      </c>
      <c r="AX53" s="227" t="str">
        <f t="shared" ca="1" si="71"/>
        <v/>
      </c>
      <c r="AY53" s="227" t="str">
        <f t="shared" ca="1" si="71"/>
        <v/>
      </c>
      <c r="AZ53" s="227" t="str">
        <f t="shared" ca="1" si="71"/>
        <v/>
      </c>
      <c r="BA53" s="227" t="str">
        <f t="shared" ca="1" si="71"/>
        <v/>
      </c>
      <c r="BB53" s="227" t="str">
        <f t="shared" ca="1" si="71"/>
        <v/>
      </c>
      <c r="BC53" s="227" t="str">
        <f t="shared" ca="1" si="72"/>
        <v/>
      </c>
      <c r="BD53" s="227" t="str">
        <f t="shared" ca="1" si="72"/>
        <v/>
      </c>
      <c r="BE53" s="227" t="str">
        <f t="shared" ca="1" si="72"/>
        <v/>
      </c>
      <c r="BF53" s="227" t="str">
        <f t="shared" ca="1" si="72"/>
        <v/>
      </c>
      <c r="BG53" s="227" t="str">
        <f t="shared" ca="1" si="72"/>
        <v/>
      </c>
      <c r="BH53" s="227" t="str">
        <f t="shared" ca="1" si="72"/>
        <v/>
      </c>
      <c r="BI53" s="227" t="str">
        <f t="shared" ca="1" si="72"/>
        <v/>
      </c>
      <c r="BJ53" s="227" t="str">
        <f t="shared" ca="1" si="72"/>
        <v/>
      </c>
      <c r="BK53" s="227" t="str">
        <f t="shared" ca="1" si="72"/>
        <v/>
      </c>
      <c r="BL53" s="285" t="str">
        <f t="shared" ca="1" si="72"/>
        <v/>
      </c>
      <c r="BM53" s="296"/>
      <c r="BN53" s="32"/>
    </row>
    <row r="54" spans="1:66" x14ac:dyDescent="0.25">
      <c r="A54" s="284"/>
      <c r="B54" s="297">
        <f t="shared" si="67"/>
        <v>2032</v>
      </c>
      <c r="C54" s="269"/>
      <c r="D54" s="227"/>
      <c r="E54" s="227"/>
      <c r="F54" s="227"/>
      <c r="G54" s="227"/>
      <c r="H54" s="227"/>
      <c r="I54" s="227"/>
      <c r="J54" s="227"/>
      <c r="K54" s="227"/>
      <c r="L54" s="227"/>
      <c r="M54" s="227"/>
      <c r="N54" s="227"/>
      <c r="O54" s="227" t="str">
        <f t="shared" ca="1" si="68"/>
        <v/>
      </c>
      <c r="P54" s="227" t="str">
        <f t="shared" ca="1" si="68"/>
        <v/>
      </c>
      <c r="Q54" s="227" t="str">
        <f t="shared" ca="1" si="68"/>
        <v/>
      </c>
      <c r="R54" s="227" t="str">
        <f t="shared" ca="1" si="68"/>
        <v/>
      </c>
      <c r="S54" s="227" t="str">
        <f t="shared" ca="1" si="68"/>
        <v/>
      </c>
      <c r="T54" s="227" t="str">
        <f t="shared" ca="1" si="68"/>
        <v/>
      </c>
      <c r="U54" s="227" t="str">
        <f t="shared" ca="1" si="68"/>
        <v/>
      </c>
      <c r="V54" s="227" t="str">
        <f t="shared" ca="1" si="68"/>
        <v/>
      </c>
      <c r="W54" s="227" t="str">
        <f t="shared" ca="1" si="68"/>
        <v/>
      </c>
      <c r="X54" s="227" t="str">
        <f t="shared" ca="1" si="68"/>
        <v/>
      </c>
      <c r="Y54" s="227" t="str">
        <f t="shared" ca="1" si="69"/>
        <v/>
      </c>
      <c r="Z54" s="227" t="str">
        <f t="shared" ca="1" si="69"/>
        <v/>
      </c>
      <c r="AA54" s="227" t="str">
        <f t="shared" ca="1" si="69"/>
        <v/>
      </c>
      <c r="AB54" s="227" t="str">
        <f t="shared" ca="1" si="69"/>
        <v/>
      </c>
      <c r="AC54" s="227" t="str">
        <f t="shared" ca="1" si="69"/>
        <v/>
      </c>
      <c r="AD54" s="227" t="str">
        <f t="shared" ca="1" si="69"/>
        <v/>
      </c>
      <c r="AE54" s="227" t="str">
        <f t="shared" ca="1" si="69"/>
        <v/>
      </c>
      <c r="AF54" s="227" t="str">
        <f t="shared" ca="1" si="69"/>
        <v/>
      </c>
      <c r="AG54" s="227">
        <f t="shared" ca="1" si="69"/>
        <v>18693.798082393019</v>
      </c>
      <c r="AH54" s="227">
        <f t="shared" ca="1" si="69"/>
        <v>18693.798082393019</v>
      </c>
      <c r="AI54" s="227">
        <f t="shared" ca="1" si="70"/>
        <v>18693.798082393019</v>
      </c>
      <c r="AJ54" s="227">
        <f t="shared" ca="1" si="70"/>
        <v>18693.798082393019</v>
      </c>
      <c r="AK54" s="227">
        <f t="shared" ca="1" si="70"/>
        <v>18693.798082393019</v>
      </c>
      <c r="AL54" s="227">
        <f t="shared" ca="1" si="70"/>
        <v>18693.798082393019</v>
      </c>
      <c r="AM54" s="227">
        <f t="shared" ca="1" si="70"/>
        <v>18693.798082393019</v>
      </c>
      <c r="AN54" s="227">
        <f t="shared" ca="1" si="70"/>
        <v>18693.798082393019</v>
      </c>
      <c r="AO54" s="227">
        <f t="shared" ca="1" si="70"/>
        <v>18693.798082393019</v>
      </c>
      <c r="AP54" s="227">
        <f t="shared" ca="1" si="70"/>
        <v>18693.798082393019</v>
      </c>
      <c r="AQ54" s="227">
        <f t="shared" ca="1" si="70"/>
        <v>18693.798082393019</v>
      </c>
      <c r="AR54" s="227" t="str">
        <f t="shared" ca="1" si="70"/>
        <v/>
      </c>
      <c r="AS54" s="227" t="str">
        <f t="shared" ca="1" si="71"/>
        <v/>
      </c>
      <c r="AT54" s="227" t="str">
        <f t="shared" ca="1" si="71"/>
        <v/>
      </c>
      <c r="AU54" s="227" t="str">
        <f t="shared" ca="1" si="71"/>
        <v/>
      </c>
      <c r="AV54" s="227" t="str">
        <f t="shared" ca="1" si="71"/>
        <v/>
      </c>
      <c r="AW54" s="227" t="str">
        <f t="shared" ca="1" si="71"/>
        <v/>
      </c>
      <c r="AX54" s="227" t="str">
        <f t="shared" ca="1" si="71"/>
        <v/>
      </c>
      <c r="AY54" s="227" t="str">
        <f t="shared" ca="1" si="71"/>
        <v/>
      </c>
      <c r="AZ54" s="227" t="str">
        <f t="shared" ca="1" si="71"/>
        <v/>
      </c>
      <c r="BA54" s="227" t="str">
        <f t="shared" ca="1" si="71"/>
        <v/>
      </c>
      <c r="BB54" s="227" t="str">
        <f t="shared" ca="1" si="71"/>
        <v/>
      </c>
      <c r="BC54" s="227" t="str">
        <f t="shared" ca="1" si="72"/>
        <v/>
      </c>
      <c r="BD54" s="227" t="str">
        <f t="shared" ca="1" si="72"/>
        <v/>
      </c>
      <c r="BE54" s="227" t="str">
        <f t="shared" ca="1" si="72"/>
        <v/>
      </c>
      <c r="BF54" s="227" t="str">
        <f t="shared" ca="1" si="72"/>
        <v/>
      </c>
      <c r="BG54" s="227" t="str">
        <f t="shared" ca="1" si="72"/>
        <v/>
      </c>
      <c r="BH54" s="227" t="str">
        <f t="shared" ca="1" si="72"/>
        <v/>
      </c>
      <c r="BI54" s="227" t="str">
        <f t="shared" ca="1" si="72"/>
        <v/>
      </c>
      <c r="BJ54" s="227" t="str">
        <f t="shared" ca="1" si="72"/>
        <v/>
      </c>
      <c r="BK54" s="227" t="str">
        <f t="shared" ca="1" si="72"/>
        <v/>
      </c>
      <c r="BL54" s="285" t="str">
        <f t="shared" ca="1" si="72"/>
        <v/>
      </c>
      <c r="BM54" s="296"/>
      <c r="BN54" s="32"/>
    </row>
    <row r="55" spans="1:66" x14ac:dyDescent="0.25">
      <c r="A55" s="284"/>
      <c r="B55" s="297">
        <f t="shared" si="67"/>
        <v>2033</v>
      </c>
      <c r="C55" s="269"/>
      <c r="D55" s="227"/>
      <c r="E55" s="227"/>
      <c r="F55" s="227"/>
      <c r="G55" s="227"/>
      <c r="H55" s="227"/>
      <c r="I55" s="227"/>
      <c r="J55" s="227"/>
      <c r="K55" s="227"/>
      <c r="L55" s="227"/>
      <c r="M55" s="227"/>
      <c r="N55" s="227"/>
      <c r="O55" s="227" t="str">
        <f t="shared" ca="1" si="68"/>
        <v/>
      </c>
      <c r="P55" s="227" t="str">
        <f t="shared" ca="1" si="68"/>
        <v/>
      </c>
      <c r="Q55" s="227" t="str">
        <f t="shared" ca="1" si="68"/>
        <v/>
      </c>
      <c r="R55" s="227" t="str">
        <f t="shared" ca="1" si="68"/>
        <v/>
      </c>
      <c r="S55" s="227" t="str">
        <f t="shared" ca="1" si="68"/>
        <v/>
      </c>
      <c r="T55" s="227" t="str">
        <f t="shared" ca="1" si="68"/>
        <v/>
      </c>
      <c r="U55" s="227" t="str">
        <f t="shared" ca="1" si="68"/>
        <v/>
      </c>
      <c r="V55" s="227" t="str">
        <f t="shared" ca="1" si="68"/>
        <v/>
      </c>
      <c r="W55" s="227" t="str">
        <f t="shared" ca="1" si="68"/>
        <v/>
      </c>
      <c r="X55" s="227" t="str">
        <f t="shared" ca="1" si="68"/>
        <v/>
      </c>
      <c r="Y55" s="227" t="str">
        <f t="shared" ca="1" si="69"/>
        <v/>
      </c>
      <c r="Z55" s="227" t="str">
        <f t="shared" ca="1" si="69"/>
        <v/>
      </c>
      <c r="AA55" s="227" t="str">
        <f t="shared" ca="1" si="69"/>
        <v/>
      </c>
      <c r="AB55" s="227" t="str">
        <f t="shared" ca="1" si="69"/>
        <v/>
      </c>
      <c r="AC55" s="227" t="str">
        <f t="shared" ca="1" si="69"/>
        <v/>
      </c>
      <c r="AD55" s="227" t="str">
        <f t="shared" ca="1" si="69"/>
        <v/>
      </c>
      <c r="AE55" s="227" t="str">
        <f t="shared" ca="1" si="69"/>
        <v/>
      </c>
      <c r="AF55" s="227" t="str">
        <f t="shared" ca="1" si="69"/>
        <v/>
      </c>
      <c r="AG55" s="227" t="str">
        <f t="shared" ca="1" si="69"/>
        <v/>
      </c>
      <c r="AH55" s="227">
        <f t="shared" ca="1" si="69"/>
        <v>22220.954826840512</v>
      </c>
      <c r="AI55" s="227">
        <f t="shared" ca="1" si="70"/>
        <v>22220.954826840512</v>
      </c>
      <c r="AJ55" s="227">
        <f t="shared" ca="1" si="70"/>
        <v>22220.954826840512</v>
      </c>
      <c r="AK55" s="227">
        <f t="shared" ca="1" si="70"/>
        <v>22220.954826840512</v>
      </c>
      <c r="AL55" s="227">
        <f t="shared" ca="1" si="70"/>
        <v>22220.954826840512</v>
      </c>
      <c r="AM55" s="227">
        <f t="shared" ca="1" si="70"/>
        <v>22220.954826840512</v>
      </c>
      <c r="AN55" s="227">
        <f t="shared" ca="1" si="70"/>
        <v>22220.954826840512</v>
      </c>
      <c r="AO55" s="227">
        <f t="shared" ca="1" si="70"/>
        <v>22220.954826840512</v>
      </c>
      <c r="AP55" s="227">
        <f t="shared" ca="1" si="70"/>
        <v>22220.954826840512</v>
      </c>
      <c r="AQ55" s="227">
        <f t="shared" ca="1" si="70"/>
        <v>22220.954826840512</v>
      </c>
      <c r="AR55" s="227">
        <f t="shared" ca="1" si="70"/>
        <v>22220.954826840512</v>
      </c>
      <c r="AS55" s="227" t="str">
        <f t="shared" ca="1" si="71"/>
        <v/>
      </c>
      <c r="AT55" s="227" t="str">
        <f t="shared" ca="1" si="71"/>
        <v/>
      </c>
      <c r="AU55" s="227" t="str">
        <f t="shared" ca="1" si="71"/>
        <v/>
      </c>
      <c r="AV55" s="227" t="str">
        <f t="shared" ca="1" si="71"/>
        <v/>
      </c>
      <c r="AW55" s="227" t="str">
        <f t="shared" ca="1" si="71"/>
        <v/>
      </c>
      <c r="AX55" s="227" t="str">
        <f t="shared" ca="1" si="71"/>
        <v/>
      </c>
      <c r="AY55" s="227" t="str">
        <f t="shared" ca="1" si="71"/>
        <v/>
      </c>
      <c r="AZ55" s="227" t="str">
        <f t="shared" ca="1" si="71"/>
        <v/>
      </c>
      <c r="BA55" s="227" t="str">
        <f t="shared" ca="1" si="71"/>
        <v/>
      </c>
      <c r="BB55" s="227" t="str">
        <f t="shared" ca="1" si="71"/>
        <v/>
      </c>
      <c r="BC55" s="227" t="str">
        <f t="shared" ca="1" si="72"/>
        <v/>
      </c>
      <c r="BD55" s="227" t="str">
        <f t="shared" ca="1" si="72"/>
        <v/>
      </c>
      <c r="BE55" s="227" t="str">
        <f t="shared" ca="1" si="72"/>
        <v/>
      </c>
      <c r="BF55" s="227" t="str">
        <f t="shared" ca="1" si="72"/>
        <v/>
      </c>
      <c r="BG55" s="227" t="str">
        <f t="shared" ca="1" si="72"/>
        <v/>
      </c>
      <c r="BH55" s="227" t="str">
        <f t="shared" ca="1" si="72"/>
        <v/>
      </c>
      <c r="BI55" s="227" t="str">
        <f t="shared" ca="1" si="72"/>
        <v/>
      </c>
      <c r="BJ55" s="227" t="str">
        <f t="shared" ca="1" si="72"/>
        <v/>
      </c>
      <c r="BK55" s="227" t="str">
        <f t="shared" ca="1" si="72"/>
        <v/>
      </c>
      <c r="BL55" s="285" t="str">
        <f t="shared" ca="1" si="72"/>
        <v/>
      </c>
      <c r="BM55" s="296"/>
      <c r="BN55" s="32"/>
    </row>
    <row r="56" spans="1:66" x14ac:dyDescent="0.25">
      <c r="A56" s="284"/>
      <c r="B56" s="297">
        <f t="shared" si="67"/>
        <v>2034</v>
      </c>
      <c r="C56" s="269"/>
      <c r="D56" s="227"/>
      <c r="E56" s="227"/>
      <c r="F56" s="227"/>
      <c r="G56" s="227"/>
      <c r="H56" s="227"/>
      <c r="I56" s="227"/>
      <c r="J56" s="227"/>
      <c r="K56" s="227"/>
      <c r="L56" s="227"/>
      <c r="M56" s="227"/>
      <c r="N56" s="227"/>
      <c r="O56" s="227" t="str">
        <f t="shared" ref="O56:X65" ca="1" si="73">IF(AND(O$23-$B56&gt;=0,O$23-$B56&lt;=10),OFFSET(O56,-10,-10)+HLOOKUP($B56,$N$3:$BL$4,2,FALSE),"")</f>
        <v/>
      </c>
      <c r="P56" s="227" t="str">
        <f t="shared" ca="1" si="73"/>
        <v/>
      </c>
      <c r="Q56" s="227" t="str">
        <f t="shared" ca="1" si="73"/>
        <v/>
      </c>
      <c r="R56" s="227" t="str">
        <f t="shared" ca="1" si="73"/>
        <v/>
      </c>
      <c r="S56" s="227" t="str">
        <f t="shared" ca="1" si="73"/>
        <v/>
      </c>
      <c r="T56" s="227" t="str">
        <f t="shared" ca="1" si="73"/>
        <v/>
      </c>
      <c r="U56" s="227" t="str">
        <f t="shared" ca="1" si="73"/>
        <v/>
      </c>
      <c r="V56" s="227" t="str">
        <f t="shared" ca="1" si="73"/>
        <v/>
      </c>
      <c r="W56" s="227" t="str">
        <f t="shared" ca="1" si="73"/>
        <v/>
      </c>
      <c r="X56" s="227" t="str">
        <f t="shared" ca="1" si="73"/>
        <v/>
      </c>
      <c r="Y56" s="227" t="str">
        <f t="shared" ref="Y56:AH65" ca="1" si="74">IF(AND(Y$23-$B56&gt;=0,Y$23-$B56&lt;=10),OFFSET(Y56,-10,-10)+HLOOKUP($B56,$N$3:$BL$4,2,FALSE),"")</f>
        <v/>
      </c>
      <c r="Z56" s="227" t="str">
        <f t="shared" ca="1" si="74"/>
        <v/>
      </c>
      <c r="AA56" s="227" t="str">
        <f t="shared" ca="1" si="74"/>
        <v/>
      </c>
      <c r="AB56" s="227" t="str">
        <f t="shared" ca="1" si="74"/>
        <v/>
      </c>
      <c r="AC56" s="227" t="str">
        <f t="shared" ca="1" si="74"/>
        <v/>
      </c>
      <c r="AD56" s="227" t="str">
        <f t="shared" ca="1" si="74"/>
        <v/>
      </c>
      <c r="AE56" s="227" t="str">
        <f t="shared" ca="1" si="74"/>
        <v/>
      </c>
      <c r="AF56" s="227" t="str">
        <f t="shared" ca="1" si="74"/>
        <v/>
      </c>
      <c r="AG56" s="227" t="str">
        <f t="shared" ca="1" si="74"/>
        <v/>
      </c>
      <c r="AH56" s="227" t="str">
        <f t="shared" ca="1" si="74"/>
        <v/>
      </c>
      <c r="AI56" s="227">
        <f t="shared" ref="AI56:AR65" ca="1" si="75">IF(AND(AI$23-$B56&gt;=0,AI$23-$B56&lt;=10),OFFSET(AI56,-10,-10)+HLOOKUP($B56,$N$3:$BL$4,2,FALSE),"")</f>
        <v>22984.796004552711</v>
      </c>
      <c r="AJ56" s="227">
        <f t="shared" ca="1" si="75"/>
        <v>22984.796004552711</v>
      </c>
      <c r="AK56" s="227">
        <f t="shared" ca="1" si="75"/>
        <v>22984.796004552711</v>
      </c>
      <c r="AL56" s="227">
        <f t="shared" ca="1" si="75"/>
        <v>22984.796004552711</v>
      </c>
      <c r="AM56" s="227">
        <f t="shared" ca="1" si="75"/>
        <v>22984.796004552711</v>
      </c>
      <c r="AN56" s="227">
        <f t="shared" ca="1" si="75"/>
        <v>22984.796004552711</v>
      </c>
      <c r="AO56" s="227">
        <f t="shared" ca="1" si="75"/>
        <v>22984.796004552711</v>
      </c>
      <c r="AP56" s="227">
        <f t="shared" ca="1" si="75"/>
        <v>22984.796004552711</v>
      </c>
      <c r="AQ56" s="227">
        <f t="shared" ca="1" si="75"/>
        <v>22984.796004552711</v>
      </c>
      <c r="AR56" s="227">
        <f t="shared" ca="1" si="75"/>
        <v>22984.796004552711</v>
      </c>
      <c r="AS56" s="227">
        <f t="shared" ref="AS56:BB65" ca="1" si="76">IF(AND(AS$23-$B56&gt;=0,AS$23-$B56&lt;=10),OFFSET(AS56,-10,-10)+HLOOKUP($B56,$N$3:$BL$4,2,FALSE),"")</f>
        <v>22984.796004552711</v>
      </c>
      <c r="AT56" s="227" t="str">
        <f t="shared" ca="1" si="76"/>
        <v/>
      </c>
      <c r="AU56" s="227" t="str">
        <f t="shared" ca="1" si="76"/>
        <v/>
      </c>
      <c r="AV56" s="227" t="str">
        <f t="shared" ca="1" si="76"/>
        <v/>
      </c>
      <c r="AW56" s="227" t="str">
        <f t="shared" ca="1" si="76"/>
        <v/>
      </c>
      <c r="AX56" s="227" t="str">
        <f t="shared" ca="1" si="76"/>
        <v/>
      </c>
      <c r="AY56" s="227" t="str">
        <f t="shared" ca="1" si="76"/>
        <v/>
      </c>
      <c r="AZ56" s="227" t="str">
        <f t="shared" ca="1" si="76"/>
        <v/>
      </c>
      <c r="BA56" s="227" t="str">
        <f t="shared" ca="1" si="76"/>
        <v/>
      </c>
      <c r="BB56" s="227" t="str">
        <f t="shared" ca="1" si="76"/>
        <v/>
      </c>
      <c r="BC56" s="227" t="str">
        <f t="shared" ref="BC56:BL65" ca="1" si="77">IF(AND(BC$23-$B56&gt;=0,BC$23-$B56&lt;=10),OFFSET(BC56,-10,-10)+HLOOKUP($B56,$N$3:$BL$4,2,FALSE),"")</f>
        <v/>
      </c>
      <c r="BD56" s="227" t="str">
        <f t="shared" ca="1" si="77"/>
        <v/>
      </c>
      <c r="BE56" s="227" t="str">
        <f t="shared" ca="1" si="77"/>
        <v/>
      </c>
      <c r="BF56" s="227" t="str">
        <f t="shared" ca="1" si="77"/>
        <v/>
      </c>
      <c r="BG56" s="227" t="str">
        <f t="shared" ca="1" si="77"/>
        <v/>
      </c>
      <c r="BH56" s="227" t="str">
        <f t="shared" ca="1" si="77"/>
        <v/>
      </c>
      <c r="BI56" s="227" t="str">
        <f t="shared" ca="1" si="77"/>
        <v/>
      </c>
      <c r="BJ56" s="227" t="str">
        <f t="shared" ca="1" si="77"/>
        <v/>
      </c>
      <c r="BK56" s="227" t="str">
        <f t="shared" ca="1" si="77"/>
        <v/>
      </c>
      <c r="BL56" s="285" t="str">
        <f t="shared" ca="1" si="77"/>
        <v/>
      </c>
      <c r="BM56" s="296"/>
      <c r="BN56" s="32"/>
    </row>
    <row r="57" spans="1:66" x14ac:dyDescent="0.25">
      <c r="A57" s="284"/>
      <c r="B57" s="297">
        <f t="shared" si="67"/>
        <v>2035</v>
      </c>
      <c r="C57" s="269"/>
      <c r="D57" s="227"/>
      <c r="E57" s="227"/>
      <c r="F57" s="227"/>
      <c r="G57" s="227"/>
      <c r="H57" s="227"/>
      <c r="I57" s="227"/>
      <c r="J57" s="227"/>
      <c r="K57" s="227"/>
      <c r="L57" s="227"/>
      <c r="M57" s="227"/>
      <c r="N57" s="227"/>
      <c r="O57" s="227" t="str">
        <f t="shared" ca="1" si="73"/>
        <v/>
      </c>
      <c r="P57" s="227" t="str">
        <f t="shared" ca="1" si="73"/>
        <v/>
      </c>
      <c r="Q57" s="227" t="str">
        <f t="shared" ca="1" si="73"/>
        <v/>
      </c>
      <c r="R57" s="227" t="str">
        <f t="shared" ca="1" si="73"/>
        <v/>
      </c>
      <c r="S57" s="227" t="str">
        <f t="shared" ca="1" si="73"/>
        <v/>
      </c>
      <c r="T57" s="227" t="str">
        <f t="shared" ca="1" si="73"/>
        <v/>
      </c>
      <c r="U57" s="227" t="str">
        <f t="shared" ca="1" si="73"/>
        <v/>
      </c>
      <c r="V57" s="227" t="str">
        <f t="shared" ca="1" si="73"/>
        <v/>
      </c>
      <c r="W57" s="227" t="str">
        <f t="shared" ca="1" si="73"/>
        <v/>
      </c>
      <c r="X57" s="227" t="str">
        <f t="shared" ca="1" si="73"/>
        <v/>
      </c>
      <c r="Y57" s="227" t="str">
        <f t="shared" ca="1" si="74"/>
        <v/>
      </c>
      <c r="Z57" s="227" t="str">
        <f t="shared" ca="1" si="74"/>
        <v/>
      </c>
      <c r="AA57" s="227" t="str">
        <f t="shared" ca="1" si="74"/>
        <v/>
      </c>
      <c r="AB57" s="227" t="str">
        <f t="shared" ca="1" si="74"/>
        <v/>
      </c>
      <c r="AC57" s="227" t="str">
        <f t="shared" ca="1" si="74"/>
        <v/>
      </c>
      <c r="AD57" s="227" t="str">
        <f t="shared" ca="1" si="74"/>
        <v/>
      </c>
      <c r="AE57" s="227" t="str">
        <f t="shared" ca="1" si="74"/>
        <v/>
      </c>
      <c r="AF57" s="227" t="str">
        <f t="shared" ca="1" si="74"/>
        <v/>
      </c>
      <c r="AG57" s="227" t="str">
        <f t="shared" ca="1" si="74"/>
        <v/>
      </c>
      <c r="AH57" s="227" t="str">
        <f t="shared" ca="1" si="74"/>
        <v/>
      </c>
      <c r="AI57" s="227" t="str">
        <f t="shared" ca="1" si="75"/>
        <v/>
      </c>
      <c r="AJ57" s="227">
        <f t="shared" ca="1" si="75"/>
        <v>24841.080721878669</v>
      </c>
      <c r="AK57" s="227">
        <f t="shared" ca="1" si="75"/>
        <v>24841.080721878669</v>
      </c>
      <c r="AL57" s="227">
        <f t="shared" ca="1" si="75"/>
        <v>24841.080721878669</v>
      </c>
      <c r="AM57" s="227">
        <f t="shared" ca="1" si="75"/>
        <v>24841.080721878669</v>
      </c>
      <c r="AN57" s="227">
        <f t="shared" ca="1" si="75"/>
        <v>24841.080721878669</v>
      </c>
      <c r="AO57" s="227">
        <f t="shared" ca="1" si="75"/>
        <v>24841.080721878669</v>
      </c>
      <c r="AP57" s="227">
        <f t="shared" ca="1" si="75"/>
        <v>24841.080721878669</v>
      </c>
      <c r="AQ57" s="227">
        <f t="shared" ca="1" si="75"/>
        <v>24841.080721878669</v>
      </c>
      <c r="AR57" s="227">
        <f t="shared" ca="1" si="75"/>
        <v>24841.080721878669</v>
      </c>
      <c r="AS57" s="227">
        <f t="shared" ca="1" si="76"/>
        <v>24841.080721878669</v>
      </c>
      <c r="AT57" s="227">
        <f t="shared" ca="1" si="76"/>
        <v>24841.080721878669</v>
      </c>
      <c r="AU57" s="227" t="str">
        <f t="shared" ca="1" si="76"/>
        <v/>
      </c>
      <c r="AV57" s="227" t="str">
        <f t="shared" ca="1" si="76"/>
        <v/>
      </c>
      <c r="AW57" s="227" t="str">
        <f t="shared" ca="1" si="76"/>
        <v/>
      </c>
      <c r="AX57" s="227" t="str">
        <f t="shared" ca="1" si="76"/>
        <v/>
      </c>
      <c r="AY57" s="227" t="str">
        <f t="shared" ca="1" si="76"/>
        <v/>
      </c>
      <c r="AZ57" s="227" t="str">
        <f t="shared" ca="1" si="76"/>
        <v/>
      </c>
      <c r="BA57" s="227" t="str">
        <f t="shared" ca="1" si="76"/>
        <v/>
      </c>
      <c r="BB57" s="227" t="str">
        <f t="shared" ca="1" si="76"/>
        <v/>
      </c>
      <c r="BC57" s="227" t="str">
        <f t="shared" ca="1" si="77"/>
        <v/>
      </c>
      <c r="BD57" s="227" t="str">
        <f t="shared" ca="1" si="77"/>
        <v/>
      </c>
      <c r="BE57" s="227" t="str">
        <f t="shared" ca="1" si="77"/>
        <v/>
      </c>
      <c r="BF57" s="227" t="str">
        <f t="shared" ca="1" si="77"/>
        <v/>
      </c>
      <c r="BG57" s="227" t="str">
        <f t="shared" ca="1" si="77"/>
        <v/>
      </c>
      <c r="BH57" s="227" t="str">
        <f t="shared" ca="1" si="77"/>
        <v/>
      </c>
      <c r="BI57" s="227" t="str">
        <f t="shared" ca="1" si="77"/>
        <v/>
      </c>
      <c r="BJ57" s="227" t="str">
        <f t="shared" ca="1" si="77"/>
        <v/>
      </c>
      <c r="BK57" s="227" t="str">
        <f t="shared" ca="1" si="77"/>
        <v/>
      </c>
      <c r="BL57" s="285" t="str">
        <f t="shared" ca="1" si="77"/>
        <v/>
      </c>
      <c r="BM57" s="296"/>
      <c r="BN57" s="32"/>
    </row>
    <row r="58" spans="1:66" x14ac:dyDescent="0.25">
      <c r="A58" s="284"/>
      <c r="B58" s="297">
        <f t="shared" si="67"/>
        <v>2036</v>
      </c>
      <c r="C58" s="269"/>
      <c r="D58" s="227"/>
      <c r="E58" s="227"/>
      <c r="F58" s="227"/>
      <c r="G58" s="227"/>
      <c r="H58" s="227"/>
      <c r="I58" s="227"/>
      <c r="J58" s="227"/>
      <c r="K58" s="227"/>
      <c r="L58" s="227"/>
      <c r="M58" s="227"/>
      <c r="N58" s="227"/>
      <c r="O58" s="227" t="str">
        <f t="shared" ca="1" si="73"/>
        <v/>
      </c>
      <c r="P58" s="227" t="str">
        <f t="shared" ca="1" si="73"/>
        <v/>
      </c>
      <c r="Q58" s="227" t="str">
        <f t="shared" ca="1" si="73"/>
        <v/>
      </c>
      <c r="R58" s="227" t="str">
        <f t="shared" ca="1" si="73"/>
        <v/>
      </c>
      <c r="S58" s="227" t="str">
        <f t="shared" ca="1" si="73"/>
        <v/>
      </c>
      <c r="T58" s="227" t="str">
        <f t="shared" ca="1" si="73"/>
        <v/>
      </c>
      <c r="U58" s="227" t="str">
        <f t="shared" ca="1" si="73"/>
        <v/>
      </c>
      <c r="V58" s="227" t="str">
        <f t="shared" ca="1" si="73"/>
        <v/>
      </c>
      <c r="W58" s="227" t="str">
        <f t="shared" ca="1" si="73"/>
        <v/>
      </c>
      <c r="X58" s="227" t="str">
        <f t="shared" ca="1" si="73"/>
        <v/>
      </c>
      <c r="Y58" s="227" t="str">
        <f t="shared" ca="1" si="74"/>
        <v/>
      </c>
      <c r="Z58" s="227" t="str">
        <f t="shared" ca="1" si="74"/>
        <v/>
      </c>
      <c r="AA58" s="227" t="str">
        <f t="shared" ca="1" si="74"/>
        <v/>
      </c>
      <c r="AB58" s="227" t="str">
        <f t="shared" ca="1" si="74"/>
        <v/>
      </c>
      <c r="AC58" s="227" t="str">
        <f t="shared" ca="1" si="74"/>
        <v/>
      </c>
      <c r="AD58" s="227" t="str">
        <f t="shared" ca="1" si="74"/>
        <v/>
      </c>
      <c r="AE58" s="227" t="str">
        <f t="shared" ca="1" si="74"/>
        <v/>
      </c>
      <c r="AF58" s="227" t="str">
        <f t="shared" ca="1" si="74"/>
        <v/>
      </c>
      <c r="AG58" s="227" t="str">
        <f t="shared" ca="1" si="74"/>
        <v/>
      </c>
      <c r="AH58" s="227" t="str">
        <f t="shared" ca="1" si="74"/>
        <v/>
      </c>
      <c r="AI58" s="227" t="str">
        <f t="shared" ca="1" si="75"/>
        <v/>
      </c>
      <c r="AJ58" s="227" t="str">
        <f t="shared" ca="1" si="75"/>
        <v/>
      </c>
      <c r="AK58" s="227">
        <f t="shared" ca="1" si="75"/>
        <v>26231.407098491647</v>
      </c>
      <c r="AL58" s="227">
        <f t="shared" ca="1" si="75"/>
        <v>26231.407098491647</v>
      </c>
      <c r="AM58" s="227">
        <f t="shared" ca="1" si="75"/>
        <v>26231.407098491647</v>
      </c>
      <c r="AN58" s="227">
        <f t="shared" ca="1" si="75"/>
        <v>26231.407098491647</v>
      </c>
      <c r="AO58" s="227">
        <f t="shared" ca="1" si="75"/>
        <v>26231.407098491647</v>
      </c>
      <c r="AP58" s="227">
        <f t="shared" ca="1" si="75"/>
        <v>26231.407098491647</v>
      </c>
      <c r="AQ58" s="227">
        <f t="shared" ca="1" si="75"/>
        <v>26231.407098491647</v>
      </c>
      <c r="AR58" s="227">
        <f t="shared" ca="1" si="75"/>
        <v>26231.407098491647</v>
      </c>
      <c r="AS58" s="227">
        <f t="shared" ca="1" si="76"/>
        <v>26231.407098491647</v>
      </c>
      <c r="AT58" s="227">
        <f t="shared" ca="1" si="76"/>
        <v>26231.407098491647</v>
      </c>
      <c r="AU58" s="227">
        <f t="shared" ca="1" si="76"/>
        <v>26231.407098491647</v>
      </c>
      <c r="AV58" s="227" t="str">
        <f t="shared" ca="1" si="76"/>
        <v/>
      </c>
      <c r="AW58" s="227" t="str">
        <f t="shared" ca="1" si="76"/>
        <v/>
      </c>
      <c r="AX58" s="227" t="str">
        <f t="shared" ca="1" si="76"/>
        <v/>
      </c>
      <c r="AY58" s="227" t="str">
        <f t="shared" ca="1" si="76"/>
        <v/>
      </c>
      <c r="AZ58" s="227" t="str">
        <f t="shared" ca="1" si="76"/>
        <v/>
      </c>
      <c r="BA58" s="227" t="str">
        <f t="shared" ca="1" si="76"/>
        <v/>
      </c>
      <c r="BB58" s="227" t="str">
        <f t="shared" ca="1" si="76"/>
        <v/>
      </c>
      <c r="BC58" s="227" t="str">
        <f t="shared" ca="1" si="77"/>
        <v/>
      </c>
      <c r="BD58" s="227" t="str">
        <f t="shared" ca="1" si="77"/>
        <v/>
      </c>
      <c r="BE58" s="227" t="str">
        <f t="shared" ca="1" si="77"/>
        <v/>
      </c>
      <c r="BF58" s="227" t="str">
        <f t="shared" ca="1" si="77"/>
        <v/>
      </c>
      <c r="BG58" s="227" t="str">
        <f t="shared" ca="1" si="77"/>
        <v/>
      </c>
      <c r="BH58" s="227" t="str">
        <f t="shared" ca="1" si="77"/>
        <v/>
      </c>
      <c r="BI58" s="227" t="str">
        <f t="shared" ca="1" si="77"/>
        <v/>
      </c>
      <c r="BJ58" s="227" t="str">
        <f t="shared" ca="1" si="77"/>
        <v/>
      </c>
      <c r="BK58" s="227" t="str">
        <f t="shared" ca="1" si="77"/>
        <v/>
      </c>
      <c r="BL58" s="285" t="str">
        <f t="shared" ca="1" si="77"/>
        <v/>
      </c>
      <c r="BM58" s="296"/>
      <c r="BN58" s="32"/>
    </row>
    <row r="59" spans="1:66" x14ac:dyDescent="0.25">
      <c r="A59" s="284"/>
      <c r="B59" s="297">
        <f t="shared" si="67"/>
        <v>2037</v>
      </c>
      <c r="C59" s="269"/>
      <c r="D59" s="227"/>
      <c r="E59" s="227"/>
      <c r="F59" s="227"/>
      <c r="G59" s="227"/>
      <c r="H59" s="227"/>
      <c r="I59" s="227"/>
      <c r="J59" s="227"/>
      <c r="K59" s="227"/>
      <c r="L59" s="227"/>
      <c r="M59" s="227"/>
      <c r="N59" s="227"/>
      <c r="O59" s="227" t="str">
        <f t="shared" ca="1" si="73"/>
        <v/>
      </c>
      <c r="P59" s="227" t="str">
        <f t="shared" ca="1" si="73"/>
        <v/>
      </c>
      <c r="Q59" s="227" t="str">
        <f t="shared" ca="1" si="73"/>
        <v/>
      </c>
      <c r="R59" s="227" t="str">
        <f t="shared" ca="1" si="73"/>
        <v/>
      </c>
      <c r="S59" s="227" t="str">
        <f t="shared" ca="1" si="73"/>
        <v/>
      </c>
      <c r="T59" s="227" t="str">
        <f t="shared" ca="1" si="73"/>
        <v/>
      </c>
      <c r="U59" s="227" t="str">
        <f t="shared" ca="1" si="73"/>
        <v/>
      </c>
      <c r="V59" s="227" t="str">
        <f t="shared" ca="1" si="73"/>
        <v/>
      </c>
      <c r="W59" s="227" t="str">
        <f t="shared" ca="1" si="73"/>
        <v/>
      </c>
      <c r="X59" s="227" t="str">
        <f t="shared" ca="1" si="73"/>
        <v/>
      </c>
      <c r="Y59" s="227" t="str">
        <f t="shared" ca="1" si="74"/>
        <v/>
      </c>
      <c r="Z59" s="227" t="str">
        <f t="shared" ca="1" si="74"/>
        <v/>
      </c>
      <c r="AA59" s="227" t="str">
        <f t="shared" ca="1" si="74"/>
        <v/>
      </c>
      <c r="AB59" s="227" t="str">
        <f t="shared" ca="1" si="74"/>
        <v/>
      </c>
      <c r="AC59" s="227" t="str">
        <f t="shared" ca="1" si="74"/>
        <v/>
      </c>
      <c r="AD59" s="227" t="str">
        <f t="shared" ca="1" si="74"/>
        <v/>
      </c>
      <c r="AE59" s="227" t="str">
        <f t="shared" ca="1" si="74"/>
        <v/>
      </c>
      <c r="AF59" s="227" t="str">
        <f t="shared" ca="1" si="74"/>
        <v/>
      </c>
      <c r="AG59" s="227" t="str">
        <f t="shared" ca="1" si="74"/>
        <v/>
      </c>
      <c r="AH59" s="227" t="str">
        <f t="shared" ca="1" si="74"/>
        <v/>
      </c>
      <c r="AI59" s="227" t="str">
        <f t="shared" ca="1" si="75"/>
        <v/>
      </c>
      <c r="AJ59" s="227" t="str">
        <f t="shared" ca="1" si="75"/>
        <v/>
      </c>
      <c r="AK59" s="227" t="str">
        <f t="shared" ca="1" si="75"/>
        <v/>
      </c>
      <c r="AL59" s="227">
        <f t="shared" ca="1" si="75"/>
        <v>27833.350199706241</v>
      </c>
      <c r="AM59" s="227">
        <f t="shared" ca="1" si="75"/>
        <v>27833.350199706241</v>
      </c>
      <c r="AN59" s="227">
        <f t="shared" ca="1" si="75"/>
        <v>27833.350199706241</v>
      </c>
      <c r="AO59" s="227">
        <f t="shared" ca="1" si="75"/>
        <v>27833.350199706241</v>
      </c>
      <c r="AP59" s="227">
        <f t="shared" ca="1" si="75"/>
        <v>27833.350199706241</v>
      </c>
      <c r="AQ59" s="227">
        <f t="shared" ca="1" si="75"/>
        <v>27833.350199706241</v>
      </c>
      <c r="AR59" s="227">
        <f t="shared" ca="1" si="75"/>
        <v>27833.350199706241</v>
      </c>
      <c r="AS59" s="227">
        <f t="shared" ca="1" si="76"/>
        <v>27833.350199706241</v>
      </c>
      <c r="AT59" s="227">
        <f t="shared" ca="1" si="76"/>
        <v>27833.350199706241</v>
      </c>
      <c r="AU59" s="227">
        <f t="shared" ca="1" si="76"/>
        <v>27833.350199706241</v>
      </c>
      <c r="AV59" s="227">
        <f t="shared" ca="1" si="76"/>
        <v>27833.350199706241</v>
      </c>
      <c r="AW59" s="227" t="str">
        <f t="shared" ca="1" si="76"/>
        <v/>
      </c>
      <c r="AX59" s="227" t="str">
        <f t="shared" ca="1" si="76"/>
        <v/>
      </c>
      <c r="AY59" s="227" t="str">
        <f t="shared" ca="1" si="76"/>
        <v/>
      </c>
      <c r="AZ59" s="227" t="str">
        <f t="shared" ca="1" si="76"/>
        <v/>
      </c>
      <c r="BA59" s="227" t="str">
        <f t="shared" ca="1" si="76"/>
        <v/>
      </c>
      <c r="BB59" s="227" t="str">
        <f t="shared" ca="1" si="76"/>
        <v/>
      </c>
      <c r="BC59" s="227" t="str">
        <f t="shared" ca="1" si="77"/>
        <v/>
      </c>
      <c r="BD59" s="227" t="str">
        <f t="shared" ca="1" si="77"/>
        <v/>
      </c>
      <c r="BE59" s="227" t="str">
        <f t="shared" ca="1" si="77"/>
        <v/>
      </c>
      <c r="BF59" s="227" t="str">
        <f t="shared" ca="1" si="77"/>
        <v/>
      </c>
      <c r="BG59" s="227" t="str">
        <f t="shared" ca="1" si="77"/>
        <v/>
      </c>
      <c r="BH59" s="227" t="str">
        <f t="shared" ca="1" si="77"/>
        <v/>
      </c>
      <c r="BI59" s="227" t="str">
        <f t="shared" ca="1" si="77"/>
        <v/>
      </c>
      <c r="BJ59" s="227" t="str">
        <f t="shared" ca="1" si="77"/>
        <v/>
      </c>
      <c r="BK59" s="227" t="str">
        <f t="shared" ca="1" si="77"/>
        <v/>
      </c>
      <c r="BL59" s="285" t="str">
        <f t="shared" ca="1" si="77"/>
        <v/>
      </c>
      <c r="BM59" s="296"/>
      <c r="BN59" s="32"/>
    </row>
    <row r="60" spans="1:66" x14ac:dyDescent="0.25">
      <c r="A60" s="284"/>
      <c r="B60" s="297">
        <f t="shared" si="67"/>
        <v>2038</v>
      </c>
      <c r="C60" s="269"/>
      <c r="D60" s="227"/>
      <c r="E60" s="227"/>
      <c r="F60" s="227"/>
      <c r="G60" s="227"/>
      <c r="H60" s="227"/>
      <c r="I60" s="227"/>
      <c r="J60" s="227"/>
      <c r="K60" s="227"/>
      <c r="L60" s="227"/>
      <c r="M60" s="227"/>
      <c r="N60" s="227"/>
      <c r="O60" s="227" t="str">
        <f t="shared" ca="1" si="73"/>
        <v/>
      </c>
      <c r="P60" s="227" t="str">
        <f t="shared" ca="1" si="73"/>
        <v/>
      </c>
      <c r="Q60" s="227" t="str">
        <f t="shared" ca="1" si="73"/>
        <v/>
      </c>
      <c r="R60" s="227" t="str">
        <f t="shared" ca="1" si="73"/>
        <v/>
      </c>
      <c r="S60" s="227" t="str">
        <f t="shared" ca="1" si="73"/>
        <v/>
      </c>
      <c r="T60" s="227" t="str">
        <f t="shared" ca="1" si="73"/>
        <v/>
      </c>
      <c r="U60" s="227" t="str">
        <f t="shared" ca="1" si="73"/>
        <v/>
      </c>
      <c r="V60" s="227" t="str">
        <f t="shared" ca="1" si="73"/>
        <v/>
      </c>
      <c r="W60" s="227" t="str">
        <f t="shared" ca="1" si="73"/>
        <v/>
      </c>
      <c r="X60" s="227" t="str">
        <f t="shared" ca="1" si="73"/>
        <v/>
      </c>
      <c r="Y60" s="227" t="str">
        <f t="shared" ca="1" si="74"/>
        <v/>
      </c>
      <c r="Z60" s="227" t="str">
        <f t="shared" ca="1" si="74"/>
        <v/>
      </c>
      <c r="AA60" s="227" t="str">
        <f t="shared" ca="1" si="74"/>
        <v/>
      </c>
      <c r="AB60" s="227" t="str">
        <f t="shared" ca="1" si="74"/>
        <v/>
      </c>
      <c r="AC60" s="227" t="str">
        <f t="shared" ca="1" si="74"/>
        <v/>
      </c>
      <c r="AD60" s="227" t="str">
        <f t="shared" ca="1" si="74"/>
        <v/>
      </c>
      <c r="AE60" s="227" t="str">
        <f t="shared" ca="1" si="74"/>
        <v/>
      </c>
      <c r="AF60" s="227" t="str">
        <f t="shared" ca="1" si="74"/>
        <v/>
      </c>
      <c r="AG60" s="227" t="str">
        <f t="shared" ca="1" si="74"/>
        <v/>
      </c>
      <c r="AH60" s="227" t="str">
        <f t="shared" ca="1" si="74"/>
        <v/>
      </c>
      <c r="AI60" s="227" t="str">
        <f t="shared" ca="1" si="75"/>
        <v/>
      </c>
      <c r="AJ60" s="227" t="str">
        <f t="shared" ca="1" si="75"/>
        <v/>
      </c>
      <c r="AK60" s="227" t="str">
        <f t="shared" ca="1" si="75"/>
        <v/>
      </c>
      <c r="AL60" s="227" t="str">
        <f t="shared" ca="1" si="75"/>
        <v/>
      </c>
      <c r="AM60" s="227">
        <f t="shared" ca="1" si="75"/>
        <v>29568.787711391371</v>
      </c>
      <c r="AN60" s="227">
        <f t="shared" ca="1" si="75"/>
        <v>29568.787711391371</v>
      </c>
      <c r="AO60" s="227">
        <f t="shared" ca="1" si="75"/>
        <v>29568.787711391371</v>
      </c>
      <c r="AP60" s="227">
        <f t="shared" ca="1" si="75"/>
        <v>29568.787711391371</v>
      </c>
      <c r="AQ60" s="227">
        <f t="shared" ca="1" si="75"/>
        <v>29568.787711391371</v>
      </c>
      <c r="AR60" s="227">
        <f t="shared" ca="1" si="75"/>
        <v>29568.787711391371</v>
      </c>
      <c r="AS60" s="227">
        <f t="shared" ca="1" si="76"/>
        <v>29568.787711391371</v>
      </c>
      <c r="AT60" s="227">
        <f t="shared" ca="1" si="76"/>
        <v>29568.787711391371</v>
      </c>
      <c r="AU60" s="227">
        <f t="shared" ca="1" si="76"/>
        <v>29568.787711391371</v>
      </c>
      <c r="AV60" s="227">
        <f t="shared" ca="1" si="76"/>
        <v>29568.787711391371</v>
      </c>
      <c r="AW60" s="227">
        <f t="shared" ca="1" si="76"/>
        <v>29568.787711391371</v>
      </c>
      <c r="AX60" s="227" t="str">
        <f t="shared" ca="1" si="76"/>
        <v/>
      </c>
      <c r="AY60" s="227" t="str">
        <f t="shared" ca="1" si="76"/>
        <v/>
      </c>
      <c r="AZ60" s="227" t="str">
        <f t="shared" ca="1" si="76"/>
        <v/>
      </c>
      <c r="BA60" s="227" t="str">
        <f t="shared" ca="1" si="76"/>
        <v/>
      </c>
      <c r="BB60" s="227" t="str">
        <f t="shared" ca="1" si="76"/>
        <v/>
      </c>
      <c r="BC60" s="227" t="str">
        <f t="shared" ca="1" si="77"/>
        <v/>
      </c>
      <c r="BD60" s="227" t="str">
        <f t="shared" ca="1" si="77"/>
        <v/>
      </c>
      <c r="BE60" s="227" t="str">
        <f t="shared" ca="1" si="77"/>
        <v/>
      </c>
      <c r="BF60" s="227" t="str">
        <f t="shared" ca="1" si="77"/>
        <v/>
      </c>
      <c r="BG60" s="227" t="str">
        <f t="shared" ca="1" si="77"/>
        <v/>
      </c>
      <c r="BH60" s="227" t="str">
        <f t="shared" ca="1" si="77"/>
        <v/>
      </c>
      <c r="BI60" s="227" t="str">
        <f t="shared" ca="1" si="77"/>
        <v/>
      </c>
      <c r="BJ60" s="227" t="str">
        <f t="shared" ca="1" si="77"/>
        <v/>
      </c>
      <c r="BK60" s="227" t="str">
        <f t="shared" ca="1" si="77"/>
        <v/>
      </c>
      <c r="BL60" s="285" t="str">
        <f t="shared" ca="1" si="77"/>
        <v/>
      </c>
      <c r="BM60" s="296"/>
      <c r="BN60" s="32"/>
    </row>
    <row r="61" spans="1:66" x14ac:dyDescent="0.25">
      <c r="A61" s="284"/>
      <c r="B61" s="297">
        <f t="shared" si="67"/>
        <v>2039</v>
      </c>
      <c r="C61" s="269"/>
      <c r="D61" s="227"/>
      <c r="E61" s="227"/>
      <c r="F61" s="227"/>
      <c r="G61" s="227"/>
      <c r="H61" s="227"/>
      <c r="I61" s="227"/>
      <c r="J61" s="227"/>
      <c r="K61" s="227"/>
      <c r="L61" s="227"/>
      <c r="M61" s="227"/>
      <c r="N61" s="227"/>
      <c r="O61" s="227" t="str">
        <f t="shared" ca="1" si="73"/>
        <v/>
      </c>
      <c r="P61" s="227" t="str">
        <f t="shared" ca="1" si="73"/>
        <v/>
      </c>
      <c r="Q61" s="227" t="str">
        <f t="shared" ca="1" si="73"/>
        <v/>
      </c>
      <c r="R61" s="227" t="str">
        <f t="shared" ca="1" si="73"/>
        <v/>
      </c>
      <c r="S61" s="227" t="str">
        <f t="shared" ca="1" si="73"/>
        <v/>
      </c>
      <c r="T61" s="227" t="str">
        <f t="shared" ca="1" si="73"/>
        <v/>
      </c>
      <c r="U61" s="227" t="str">
        <f t="shared" ca="1" si="73"/>
        <v/>
      </c>
      <c r="V61" s="227" t="str">
        <f t="shared" ca="1" si="73"/>
        <v/>
      </c>
      <c r="W61" s="227" t="str">
        <f t="shared" ca="1" si="73"/>
        <v/>
      </c>
      <c r="X61" s="227" t="str">
        <f t="shared" ca="1" si="73"/>
        <v/>
      </c>
      <c r="Y61" s="227" t="str">
        <f t="shared" ca="1" si="74"/>
        <v/>
      </c>
      <c r="Z61" s="227" t="str">
        <f t="shared" ca="1" si="74"/>
        <v/>
      </c>
      <c r="AA61" s="227" t="str">
        <f t="shared" ca="1" si="74"/>
        <v/>
      </c>
      <c r="AB61" s="227" t="str">
        <f t="shared" ca="1" si="74"/>
        <v/>
      </c>
      <c r="AC61" s="227" t="str">
        <f t="shared" ca="1" si="74"/>
        <v/>
      </c>
      <c r="AD61" s="227" t="str">
        <f t="shared" ca="1" si="74"/>
        <v/>
      </c>
      <c r="AE61" s="227" t="str">
        <f t="shared" ca="1" si="74"/>
        <v/>
      </c>
      <c r="AF61" s="227" t="str">
        <f t="shared" ca="1" si="74"/>
        <v/>
      </c>
      <c r="AG61" s="227" t="str">
        <f t="shared" ca="1" si="74"/>
        <v/>
      </c>
      <c r="AH61" s="227" t="str">
        <f t="shared" ca="1" si="74"/>
        <v/>
      </c>
      <c r="AI61" s="227" t="str">
        <f t="shared" ca="1" si="75"/>
        <v/>
      </c>
      <c r="AJ61" s="227" t="str">
        <f t="shared" ca="1" si="75"/>
        <v/>
      </c>
      <c r="AK61" s="227" t="str">
        <f t="shared" ca="1" si="75"/>
        <v/>
      </c>
      <c r="AL61" s="227" t="str">
        <f t="shared" ca="1" si="75"/>
        <v/>
      </c>
      <c r="AM61" s="227" t="str">
        <f t="shared" ca="1" si="75"/>
        <v/>
      </c>
      <c r="AN61" s="227">
        <f t="shared" ca="1" si="75"/>
        <v>31365.466395691699</v>
      </c>
      <c r="AO61" s="227">
        <f t="shared" ca="1" si="75"/>
        <v>31365.466395691699</v>
      </c>
      <c r="AP61" s="227">
        <f t="shared" ca="1" si="75"/>
        <v>31365.466395691699</v>
      </c>
      <c r="AQ61" s="227">
        <f t="shared" ca="1" si="75"/>
        <v>31365.466395691699</v>
      </c>
      <c r="AR61" s="227">
        <f t="shared" ca="1" si="75"/>
        <v>31365.466395691699</v>
      </c>
      <c r="AS61" s="227">
        <f t="shared" ca="1" si="76"/>
        <v>31365.466395691699</v>
      </c>
      <c r="AT61" s="227">
        <f t="shared" ca="1" si="76"/>
        <v>31365.466395691699</v>
      </c>
      <c r="AU61" s="227">
        <f t="shared" ca="1" si="76"/>
        <v>31365.466395691699</v>
      </c>
      <c r="AV61" s="227">
        <f t="shared" ca="1" si="76"/>
        <v>31365.466395691699</v>
      </c>
      <c r="AW61" s="227">
        <f t="shared" ca="1" si="76"/>
        <v>31365.466395691699</v>
      </c>
      <c r="AX61" s="227">
        <f t="shared" ca="1" si="76"/>
        <v>31365.466395691699</v>
      </c>
      <c r="AY61" s="227" t="str">
        <f t="shared" ca="1" si="76"/>
        <v/>
      </c>
      <c r="AZ61" s="227" t="str">
        <f t="shared" ca="1" si="76"/>
        <v/>
      </c>
      <c r="BA61" s="227" t="str">
        <f t="shared" ca="1" si="76"/>
        <v/>
      </c>
      <c r="BB61" s="227" t="str">
        <f t="shared" ca="1" si="76"/>
        <v/>
      </c>
      <c r="BC61" s="227" t="str">
        <f t="shared" ca="1" si="77"/>
        <v/>
      </c>
      <c r="BD61" s="227" t="str">
        <f t="shared" ca="1" si="77"/>
        <v/>
      </c>
      <c r="BE61" s="227" t="str">
        <f t="shared" ca="1" si="77"/>
        <v/>
      </c>
      <c r="BF61" s="227" t="str">
        <f t="shared" ca="1" si="77"/>
        <v/>
      </c>
      <c r="BG61" s="227" t="str">
        <f t="shared" ca="1" si="77"/>
        <v/>
      </c>
      <c r="BH61" s="227" t="str">
        <f t="shared" ca="1" si="77"/>
        <v/>
      </c>
      <c r="BI61" s="227" t="str">
        <f t="shared" ca="1" si="77"/>
        <v/>
      </c>
      <c r="BJ61" s="227" t="str">
        <f t="shared" ca="1" si="77"/>
        <v/>
      </c>
      <c r="BK61" s="227" t="str">
        <f t="shared" ca="1" si="77"/>
        <v/>
      </c>
      <c r="BL61" s="285" t="str">
        <f t="shared" ca="1" si="77"/>
        <v/>
      </c>
      <c r="BM61" s="296"/>
      <c r="BN61" s="32"/>
    </row>
    <row r="62" spans="1:66" x14ac:dyDescent="0.25">
      <c r="A62" s="284"/>
      <c r="B62" s="297">
        <f t="shared" si="67"/>
        <v>2040</v>
      </c>
      <c r="C62" s="269"/>
      <c r="D62" s="227"/>
      <c r="E62" s="227"/>
      <c r="F62" s="227"/>
      <c r="G62" s="227"/>
      <c r="H62" s="227"/>
      <c r="I62" s="227"/>
      <c r="J62" s="227"/>
      <c r="K62" s="227"/>
      <c r="L62" s="227"/>
      <c r="M62" s="227"/>
      <c r="N62" s="227"/>
      <c r="O62" s="227" t="str">
        <f t="shared" ca="1" si="73"/>
        <v/>
      </c>
      <c r="P62" s="227" t="str">
        <f t="shared" ca="1" si="73"/>
        <v/>
      </c>
      <c r="Q62" s="227" t="str">
        <f t="shared" ca="1" si="73"/>
        <v/>
      </c>
      <c r="R62" s="227" t="str">
        <f t="shared" ca="1" si="73"/>
        <v/>
      </c>
      <c r="S62" s="227" t="str">
        <f t="shared" ca="1" si="73"/>
        <v/>
      </c>
      <c r="T62" s="227" t="str">
        <f t="shared" ca="1" si="73"/>
        <v/>
      </c>
      <c r="U62" s="227" t="str">
        <f t="shared" ca="1" si="73"/>
        <v/>
      </c>
      <c r="V62" s="227" t="str">
        <f t="shared" ca="1" si="73"/>
        <v/>
      </c>
      <c r="W62" s="227" t="str">
        <f t="shared" ca="1" si="73"/>
        <v/>
      </c>
      <c r="X62" s="227" t="str">
        <f t="shared" ca="1" si="73"/>
        <v/>
      </c>
      <c r="Y62" s="227" t="str">
        <f t="shared" ca="1" si="74"/>
        <v/>
      </c>
      <c r="Z62" s="227" t="str">
        <f t="shared" ca="1" si="74"/>
        <v/>
      </c>
      <c r="AA62" s="227" t="str">
        <f t="shared" ca="1" si="74"/>
        <v/>
      </c>
      <c r="AB62" s="227" t="str">
        <f t="shared" ca="1" si="74"/>
        <v/>
      </c>
      <c r="AC62" s="227" t="str">
        <f t="shared" ca="1" si="74"/>
        <v/>
      </c>
      <c r="AD62" s="227" t="str">
        <f t="shared" ca="1" si="74"/>
        <v/>
      </c>
      <c r="AE62" s="227" t="str">
        <f t="shared" ca="1" si="74"/>
        <v/>
      </c>
      <c r="AF62" s="227" t="str">
        <f t="shared" ca="1" si="74"/>
        <v/>
      </c>
      <c r="AG62" s="227" t="str">
        <f t="shared" ca="1" si="74"/>
        <v/>
      </c>
      <c r="AH62" s="227" t="str">
        <f t="shared" ca="1" si="74"/>
        <v/>
      </c>
      <c r="AI62" s="227" t="str">
        <f t="shared" ca="1" si="75"/>
        <v/>
      </c>
      <c r="AJ62" s="227" t="str">
        <f t="shared" ca="1" si="75"/>
        <v/>
      </c>
      <c r="AK62" s="227" t="str">
        <f t="shared" ca="1" si="75"/>
        <v/>
      </c>
      <c r="AL62" s="227" t="str">
        <f t="shared" ca="1" si="75"/>
        <v/>
      </c>
      <c r="AM62" s="227" t="str">
        <f t="shared" ca="1" si="75"/>
        <v/>
      </c>
      <c r="AN62" s="227" t="str">
        <f t="shared" ca="1" si="75"/>
        <v/>
      </c>
      <c r="AO62" s="227">
        <f t="shared" ca="1" si="75"/>
        <v>33272.520088006786</v>
      </c>
      <c r="AP62" s="227">
        <f t="shared" ca="1" si="75"/>
        <v>33272.520088006786</v>
      </c>
      <c r="AQ62" s="227">
        <f t="shared" ca="1" si="75"/>
        <v>33272.520088006786</v>
      </c>
      <c r="AR62" s="227">
        <f t="shared" ca="1" si="75"/>
        <v>33272.520088006786</v>
      </c>
      <c r="AS62" s="227">
        <f t="shared" ca="1" si="76"/>
        <v>33272.520088006786</v>
      </c>
      <c r="AT62" s="227">
        <f t="shared" ca="1" si="76"/>
        <v>33272.520088006786</v>
      </c>
      <c r="AU62" s="227">
        <f t="shared" ca="1" si="76"/>
        <v>33272.520088006786</v>
      </c>
      <c r="AV62" s="227">
        <f t="shared" ca="1" si="76"/>
        <v>33272.520088006786</v>
      </c>
      <c r="AW62" s="227">
        <f t="shared" ca="1" si="76"/>
        <v>33272.520088006786</v>
      </c>
      <c r="AX62" s="227">
        <f t="shared" ca="1" si="76"/>
        <v>33272.520088006786</v>
      </c>
      <c r="AY62" s="227">
        <f t="shared" ca="1" si="76"/>
        <v>33272.520088006786</v>
      </c>
      <c r="AZ62" s="227" t="str">
        <f t="shared" ca="1" si="76"/>
        <v/>
      </c>
      <c r="BA62" s="227" t="str">
        <f t="shared" ca="1" si="76"/>
        <v/>
      </c>
      <c r="BB62" s="227" t="str">
        <f t="shared" ca="1" si="76"/>
        <v/>
      </c>
      <c r="BC62" s="227" t="str">
        <f t="shared" ca="1" si="77"/>
        <v/>
      </c>
      <c r="BD62" s="227" t="str">
        <f t="shared" ca="1" si="77"/>
        <v/>
      </c>
      <c r="BE62" s="227" t="str">
        <f t="shared" ca="1" si="77"/>
        <v/>
      </c>
      <c r="BF62" s="227" t="str">
        <f t="shared" ca="1" si="77"/>
        <v/>
      </c>
      <c r="BG62" s="227" t="str">
        <f t="shared" ca="1" si="77"/>
        <v/>
      </c>
      <c r="BH62" s="227" t="str">
        <f t="shared" ca="1" si="77"/>
        <v/>
      </c>
      <c r="BI62" s="227" t="str">
        <f t="shared" ca="1" si="77"/>
        <v/>
      </c>
      <c r="BJ62" s="227" t="str">
        <f t="shared" ca="1" si="77"/>
        <v/>
      </c>
      <c r="BK62" s="227" t="str">
        <f t="shared" ca="1" si="77"/>
        <v/>
      </c>
      <c r="BL62" s="285" t="str">
        <f t="shared" ca="1" si="77"/>
        <v/>
      </c>
      <c r="BM62" s="296"/>
      <c r="BN62" s="32"/>
    </row>
    <row r="63" spans="1:66" x14ac:dyDescent="0.25">
      <c r="A63" s="128"/>
      <c r="B63" s="297">
        <f t="shared" si="67"/>
        <v>2041</v>
      </c>
      <c r="C63" s="269"/>
      <c r="D63" s="227"/>
      <c r="E63" s="227"/>
      <c r="F63" s="227"/>
      <c r="G63" s="227"/>
      <c r="H63" s="227"/>
      <c r="I63" s="227"/>
      <c r="J63" s="227"/>
      <c r="K63" s="227"/>
      <c r="L63" s="227"/>
      <c r="M63" s="227"/>
      <c r="N63" s="227"/>
      <c r="O63" s="227" t="str">
        <f t="shared" ca="1" si="73"/>
        <v/>
      </c>
      <c r="P63" s="227" t="str">
        <f t="shared" ca="1" si="73"/>
        <v/>
      </c>
      <c r="Q63" s="227" t="str">
        <f t="shared" ca="1" si="73"/>
        <v/>
      </c>
      <c r="R63" s="227" t="str">
        <f t="shared" ca="1" si="73"/>
        <v/>
      </c>
      <c r="S63" s="227" t="str">
        <f t="shared" ca="1" si="73"/>
        <v/>
      </c>
      <c r="T63" s="227" t="str">
        <f t="shared" ca="1" si="73"/>
        <v/>
      </c>
      <c r="U63" s="227" t="str">
        <f t="shared" ca="1" si="73"/>
        <v/>
      </c>
      <c r="V63" s="227" t="str">
        <f t="shared" ca="1" si="73"/>
        <v/>
      </c>
      <c r="W63" s="227" t="str">
        <f t="shared" ca="1" si="73"/>
        <v/>
      </c>
      <c r="X63" s="227" t="str">
        <f t="shared" ca="1" si="73"/>
        <v/>
      </c>
      <c r="Y63" s="227" t="str">
        <f t="shared" ca="1" si="74"/>
        <v/>
      </c>
      <c r="Z63" s="227" t="str">
        <f t="shared" ca="1" si="74"/>
        <v/>
      </c>
      <c r="AA63" s="227" t="str">
        <f t="shared" ca="1" si="74"/>
        <v/>
      </c>
      <c r="AB63" s="227" t="str">
        <f t="shared" ca="1" si="74"/>
        <v/>
      </c>
      <c r="AC63" s="227" t="str">
        <f t="shared" ca="1" si="74"/>
        <v/>
      </c>
      <c r="AD63" s="227" t="str">
        <f t="shared" ca="1" si="74"/>
        <v/>
      </c>
      <c r="AE63" s="227" t="str">
        <f t="shared" ca="1" si="74"/>
        <v/>
      </c>
      <c r="AF63" s="227" t="str">
        <f t="shared" ca="1" si="74"/>
        <v/>
      </c>
      <c r="AG63" s="227" t="str">
        <f t="shared" ca="1" si="74"/>
        <v/>
      </c>
      <c r="AH63" s="227" t="str">
        <f t="shared" ca="1" si="74"/>
        <v/>
      </c>
      <c r="AI63" s="227" t="str">
        <f t="shared" ca="1" si="75"/>
        <v/>
      </c>
      <c r="AJ63" s="227" t="str">
        <f t="shared" ca="1" si="75"/>
        <v/>
      </c>
      <c r="AK63" s="227" t="str">
        <f t="shared" ca="1" si="75"/>
        <v/>
      </c>
      <c r="AL63" s="227" t="str">
        <f t="shared" ca="1" si="75"/>
        <v/>
      </c>
      <c r="AM63" s="227" t="str">
        <f t="shared" ca="1" si="75"/>
        <v/>
      </c>
      <c r="AN63" s="227" t="str">
        <f t="shared" ca="1" si="75"/>
        <v/>
      </c>
      <c r="AO63" s="227" t="str">
        <f t="shared" ca="1" si="75"/>
        <v/>
      </c>
      <c r="AP63" s="227">
        <f t="shared" ca="1" si="75"/>
        <v>35220.344437307889</v>
      </c>
      <c r="AQ63" s="227">
        <f t="shared" ca="1" si="75"/>
        <v>35220.344437307889</v>
      </c>
      <c r="AR63" s="227">
        <f t="shared" ca="1" si="75"/>
        <v>35220.344437307889</v>
      </c>
      <c r="AS63" s="227">
        <f t="shared" ca="1" si="76"/>
        <v>35220.344437307889</v>
      </c>
      <c r="AT63" s="227">
        <f t="shared" ca="1" si="76"/>
        <v>35220.344437307889</v>
      </c>
      <c r="AU63" s="227">
        <f t="shared" ca="1" si="76"/>
        <v>35220.344437307889</v>
      </c>
      <c r="AV63" s="227">
        <f t="shared" ca="1" si="76"/>
        <v>35220.344437307889</v>
      </c>
      <c r="AW63" s="227">
        <f t="shared" ca="1" si="76"/>
        <v>35220.344437307889</v>
      </c>
      <c r="AX63" s="227">
        <f t="shared" ca="1" si="76"/>
        <v>35220.344437307889</v>
      </c>
      <c r="AY63" s="227">
        <f t="shared" ca="1" si="76"/>
        <v>35220.344437307889</v>
      </c>
      <c r="AZ63" s="227">
        <f t="shared" ca="1" si="76"/>
        <v>35220.344437307889</v>
      </c>
      <c r="BA63" s="227" t="str">
        <f t="shared" ca="1" si="76"/>
        <v/>
      </c>
      <c r="BB63" s="227" t="str">
        <f t="shared" ca="1" si="76"/>
        <v/>
      </c>
      <c r="BC63" s="227" t="str">
        <f t="shared" ca="1" si="77"/>
        <v/>
      </c>
      <c r="BD63" s="227" t="str">
        <f t="shared" ca="1" si="77"/>
        <v/>
      </c>
      <c r="BE63" s="227" t="str">
        <f t="shared" ca="1" si="77"/>
        <v/>
      </c>
      <c r="BF63" s="227" t="str">
        <f t="shared" ca="1" si="77"/>
        <v/>
      </c>
      <c r="BG63" s="227" t="str">
        <f t="shared" ca="1" si="77"/>
        <v/>
      </c>
      <c r="BH63" s="227" t="str">
        <f t="shared" ca="1" si="77"/>
        <v/>
      </c>
      <c r="BI63" s="227" t="str">
        <f t="shared" ca="1" si="77"/>
        <v/>
      </c>
      <c r="BJ63" s="227" t="str">
        <f t="shared" ca="1" si="77"/>
        <v/>
      </c>
      <c r="BK63" s="227" t="str">
        <f t="shared" ca="1" si="77"/>
        <v/>
      </c>
      <c r="BL63" s="285" t="str">
        <f t="shared" ca="1" si="77"/>
        <v/>
      </c>
      <c r="BM63" s="294"/>
    </row>
    <row r="64" spans="1:66" x14ac:dyDescent="0.25">
      <c r="A64" s="128"/>
      <c r="B64" s="297">
        <f t="shared" si="67"/>
        <v>2042</v>
      </c>
      <c r="C64" s="269"/>
      <c r="D64" s="227"/>
      <c r="E64" s="227"/>
      <c r="F64" s="227"/>
      <c r="G64" s="227"/>
      <c r="H64" s="227"/>
      <c r="I64" s="227"/>
      <c r="J64" s="227"/>
      <c r="K64" s="227"/>
      <c r="L64" s="227"/>
      <c r="M64" s="227"/>
      <c r="N64" s="227"/>
      <c r="O64" s="227" t="str">
        <f t="shared" ca="1" si="73"/>
        <v/>
      </c>
      <c r="P64" s="227" t="str">
        <f t="shared" ca="1" si="73"/>
        <v/>
      </c>
      <c r="Q64" s="227" t="str">
        <f t="shared" ca="1" si="73"/>
        <v/>
      </c>
      <c r="R64" s="227" t="str">
        <f t="shared" ca="1" si="73"/>
        <v/>
      </c>
      <c r="S64" s="227" t="str">
        <f t="shared" ca="1" si="73"/>
        <v/>
      </c>
      <c r="T64" s="227" t="str">
        <f t="shared" ca="1" si="73"/>
        <v/>
      </c>
      <c r="U64" s="227" t="str">
        <f t="shared" ca="1" si="73"/>
        <v/>
      </c>
      <c r="V64" s="227" t="str">
        <f t="shared" ca="1" si="73"/>
        <v/>
      </c>
      <c r="W64" s="227" t="str">
        <f t="shared" ca="1" si="73"/>
        <v/>
      </c>
      <c r="X64" s="227" t="str">
        <f t="shared" ca="1" si="73"/>
        <v/>
      </c>
      <c r="Y64" s="227" t="str">
        <f t="shared" ca="1" si="74"/>
        <v/>
      </c>
      <c r="Z64" s="227" t="str">
        <f t="shared" ca="1" si="74"/>
        <v/>
      </c>
      <c r="AA64" s="227" t="str">
        <f t="shared" ca="1" si="74"/>
        <v/>
      </c>
      <c r="AB64" s="227" t="str">
        <f t="shared" ca="1" si="74"/>
        <v/>
      </c>
      <c r="AC64" s="227" t="str">
        <f t="shared" ca="1" si="74"/>
        <v/>
      </c>
      <c r="AD64" s="227" t="str">
        <f t="shared" ca="1" si="74"/>
        <v/>
      </c>
      <c r="AE64" s="227" t="str">
        <f t="shared" ca="1" si="74"/>
        <v/>
      </c>
      <c r="AF64" s="227" t="str">
        <f t="shared" ca="1" si="74"/>
        <v/>
      </c>
      <c r="AG64" s="227" t="str">
        <f t="shared" ca="1" si="74"/>
        <v/>
      </c>
      <c r="AH64" s="227" t="str">
        <f t="shared" ca="1" si="74"/>
        <v/>
      </c>
      <c r="AI64" s="227" t="str">
        <f t="shared" ca="1" si="75"/>
        <v/>
      </c>
      <c r="AJ64" s="227" t="str">
        <f t="shared" ca="1" si="75"/>
        <v/>
      </c>
      <c r="AK64" s="227" t="str">
        <f t="shared" ca="1" si="75"/>
        <v/>
      </c>
      <c r="AL64" s="227" t="str">
        <f t="shared" ca="1" si="75"/>
        <v/>
      </c>
      <c r="AM64" s="227" t="str">
        <f t="shared" ca="1" si="75"/>
        <v/>
      </c>
      <c r="AN64" s="227" t="str">
        <f t="shared" ca="1" si="75"/>
        <v/>
      </c>
      <c r="AO64" s="227" t="str">
        <f t="shared" ca="1" si="75"/>
        <v/>
      </c>
      <c r="AP64" s="227" t="str">
        <f t="shared" ca="1" si="75"/>
        <v/>
      </c>
      <c r="AQ64" s="227">
        <f t="shared" ca="1" si="75"/>
        <v>37438.064115218353</v>
      </c>
      <c r="AR64" s="227">
        <f t="shared" ca="1" si="75"/>
        <v>37438.064115218353</v>
      </c>
      <c r="AS64" s="227">
        <f t="shared" ca="1" si="76"/>
        <v>37438.064115218353</v>
      </c>
      <c r="AT64" s="227">
        <f t="shared" ca="1" si="76"/>
        <v>37438.064115218353</v>
      </c>
      <c r="AU64" s="227">
        <f t="shared" ca="1" si="76"/>
        <v>37438.064115218353</v>
      </c>
      <c r="AV64" s="227">
        <f t="shared" ca="1" si="76"/>
        <v>37438.064115218353</v>
      </c>
      <c r="AW64" s="227">
        <f t="shared" ca="1" si="76"/>
        <v>37438.064115218353</v>
      </c>
      <c r="AX64" s="227">
        <f t="shared" ca="1" si="76"/>
        <v>37438.064115218353</v>
      </c>
      <c r="AY64" s="227">
        <f t="shared" ca="1" si="76"/>
        <v>37438.064115218353</v>
      </c>
      <c r="AZ64" s="227">
        <f t="shared" ca="1" si="76"/>
        <v>37438.064115218353</v>
      </c>
      <c r="BA64" s="227">
        <f t="shared" ca="1" si="76"/>
        <v>37438.064115218353</v>
      </c>
      <c r="BB64" s="227" t="str">
        <f t="shared" ca="1" si="76"/>
        <v/>
      </c>
      <c r="BC64" s="227" t="str">
        <f t="shared" ca="1" si="77"/>
        <v/>
      </c>
      <c r="BD64" s="227" t="str">
        <f t="shared" ca="1" si="77"/>
        <v/>
      </c>
      <c r="BE64" s="227" t="str">
        <f t="shared" ca="1" si="77"/>
        <v/>
      </c>
      <c r="BF64" s="227" t="str">
        <f t="shared" ca="1" si="77"/>
        <v/>
      </c>
      <c r="BG64" s="227" t="str">
        <f t="shared" ca="1" si="77"/>
        <v/>
      </c>
      <c r="BH64" s="227" t="str">
        <f t="shared" ca="1" si="77"/>
        <v/>
      </c>
      <c r="BI64" s="227" t="str">
        <f t="shared" ca="1" si="77"/>
        <v/>
      </c>
      <c r="BJ64" s="227" t="str">
        <f t="shared" ca="1" si="77"/>
        <v/>
      </c>
      <c r="BK64" s="227" t="str">
        <f t="shared" ca="1" si="77"/>
        <v/>
      </c>
      <c r="BL64" s="285" t="str">
        <f t="shared" ca="1" si="77"/>
        <v/>
      </c>
      <c r="BM64" s="294"/>
    </row>
    <row r="65" spans="1:65" x14ac:dyDescent="0.25">
      <c r="A65" s="128"/>
      <c r="B65" s="297">
        <f t="shared" si="67"/>
        <v>2043</v>
      </c>
      <c r="C65" s="269"/>
      <c r="D65" s="227"/>
      <c r="E65" s="227"/>
      <c r="F65" s="227"/>
      <c r="G65" s="227"/>
      <c r="H65" s="227"/>
      <c r="I65" s="227"/>
      <c r="J65" s="227"/>
      <c r="K65" s="227"/>
      <c r="L65" s="227"/>
      <c r="M65" s="227"/>
      <c r="N65" s="227"/>
      <c r="O65" s="227" t="str">
        <f t="shared" ca="1" si="73"/>
        <v/>
      </c>
      <c r="P65" s="227" t="str">
        <f t="shared" ca="1" si="73"/>
        <v/>
      </c>
      <c r="Q65" s="227" t="str">
        <f t="shared" ca="1" si="73"/>
        <v/>
      </c>
      <c r="R65" s="227" t="str">
        <f t="shared" ca="1" si="73"/>
        <v/>
      </c>
      <c r="S65" s="227" t="str">
        <f t="shared" ca="1" si="73"/>
        <v/>
      </c>
      <c r="T65" s="227" t="str">
        <f t="shared" ca="1" si="73"/>
        <v/>
      </c>
      <c r="U65" s="227" t="str">
        <f t="shared" ca="1" si="73"/>
        <v/>
      </c>
      <c r="V65" s="227" t="str">
        <f t="shared" ca="1" si="73"/>
        <v/>
      </c>
      <c r="W65" s="227" t="str">
        <f t="shared" ca="1" si="73"/>
        <v/>
      </c>
      <c r="X65" s="227" t="str">
        <f t="shared" ca="1" si="73"/>
        <v/>
      </c>
      <c r="Y65" s="227" t="str">
        <f t="shared" ca="1" si="74"/>
        <v/>
      </c>
      <c r="Z65" s="227" t="str">
        <f t="shared" ca="1" si="74"/>
        <v/>
      </c>
      <c r="AA65" s="227" t="str">
        <f t="shared" ca="1" si="74"/>
        <v/>
      </c>
      <c r="AB65" s="227" t="str">
        <f t="shared" ca="1" si="74"/>
        <v/>
      </c>
      <c r="AC65" s="227" t="str">
        <f t="shared" ca="1" si="74"/>
        <v/>
      </c>
      <c r="AD65" s="227" t="str">
        <f t="shared" ca="1" si="74"/>
        <v/>
      </c>
      <c r="AE65" s="227" t="str">
        <f t="shared" ca="1" si="74"/>
        <v/>
      </c>
      <c r="AF65" s="227" t="str">
        <f t="shared" ca="1" si="74"/>
        <v/>
      </c>
      <c r="AG65" s="227" t="str">
        <f t="shared" ca="1" si="74"/>
        <v/>
      </c>
      <c r="AH65" s="227" t="str">
        <f t="shared" ca="1" si="74"/>
        <v/>
      </c>
      <c r="AI65" s="227" t="str">
        <f t="shared" ca="1" si="75"/>
        <v/>
      </c>
      <c r="AJ65" s="227" t="str">
        <f t="shared" ca="1" si="75"/>
        <v/>
      </c>
      <c r="AK65" s="227" t="str">
        <f t="shared" ca="1" si="75"/>
        <v/>
      </c>
      <c r="AL65" s="227" t="str">
        <f t="shared" ca="1" si="75"/>
        <v/>
      </c>
      <c r="AM65" s="227" t="str">
        <f t="shared" ca="1" si="75"/>
        <v/>
      </c>
      <c r="AN65" s="227" t="str">
        <f t="shared" ca="1" si="75"/>
        <v/>
      </c>
      <c r="AO65" s="227" t="str">
        <f t="shared" ca="1" si="75"/>
        <v/>
      </c>
      <c r="AP65" s="227" t="str">
        <f t="shared" ca="1" si="75"/>
        <v/>
      </c>
      <c r="AQ65" s="227" t="str">
        <f t="shared" ca="1" si="75"/>
        <v/>
      </c>
      <c r="AR65" s="227">
        <f t="shared" ca="1" si="75"/>
        <v>42330.542492813009</v>
      </c>
      <c r="AS65" s="227">
        <f t="shared" ca="1" si="76"/>
        <v>42330.542492813009</v>
      </c>
      <c r="AT65" s="227">
        <f t="shared" ca="1" si="76"/>
        <v>42330.542492813009</v>
      </c>
      <c r="AU65" s="227">
        <f t="shared" ca="1" si="76"/>
        <v>42330.542492813009</v>
      </c>
      <c r="AV65" s="227">
        <f t="shared" ca="1" si="76"/>
        <v>42330.542492813009</v>
      </c>
      <c r="AW65" s="227">
        <f t="shared" ca="1" si="76"/>
        <v>42330.542492813009</v>
      </c>
      <c r="AX65" s="227">
        <f t="shared" ca="1" si="76"/>
        <v>42330.542492813009</v>
      </c>
      <c r="AY65" s="227">
        <f t="shared" ca="1" si="76"/>
        <v>42330.542492813009</v>
      </c>
      <c r="AZ65" s="227">
        <f t="shared" ca="1" si="76"/>
        <v>42330.542492813009</v>
      </c>
      <c r="BA65" s="227">
        <f t="shared" ca="1" si="76"/>
        <v>42330.542492813009</v>
      </c>
      <c r="BB65" s="227">
        <f t="shared" ca="1" si="76"/>
        <v>42330.542492813009</v>
      </c>
      <c r="BC65" s="227" t="str">
        <f t="shared" ca="1" si="77"/>
        <v/>
      </c>
      <c r="BD65" s="227" t="str">
        <f t="shared" ca="1" si="77"/>
        <v/>
      </c>
      <c r="BE65" s="227" t="str">
        <f t="shared" ca="1" si="77"/>
        <v/>
      </c>
      <c r="BF65" s="227" t="str">
        <f t="shared" ca="1" si="77"/>
        <v/>
      </c>
      <c r="BG65" s="227" t="str">
        <f t="shared" ca="1" si="77"/>
        <v/>
      </c>
      <c r="BH65" s="227" t="str">
        <f t="shared" ca="1" si="77"/>
        <v/>
      </c>
      <c r="BI65" s="227" t="str">
        <f t="shared" ca="1" si="77"/>
        <v/>
      </c>
      <c r="BJ65" s="227" t="str">
        <f t="shared" ca="1" si="77"/>
        <v/>
      </c>
      <c r="BK65" s="227" t="str">
        <f t="shared" ca="1" si="77"/>
        <v/>
      </c>
      <c r="BL65" s="285" t="str">
        <f t="shared" ca="1" si="77"/>
        <v/>
      </c>
      <c r="BM65" s="294"/>
    </row>
    <row r="66" spans="1:65" x14ac:dyDescent="0.25">
      <c r="A66" s="128"/>
      <c r="B66" s="297">
        <f t="shared" si="67"/>
        <v>2044</v>
      </c>
      <c r="C66" s="269"/>
      <c r="D66" s="227"/>
      <c r="E66" s="227"/>
      <c r="F66" s="227"/>
      <c r="G66" s="227"/>
      <c r="H66" s="227"/>
      <c r="I66" s="227"/>
      <c r="J66" s="227"/>
      <c r="K66" s="227"/>
      <c r="L66" s="227"/>
      <c r="M66" s="227"/>
      <c r="N66" s="227"/>
      <c r="O66" s="227" t="str">
        <f t="shared" ref="O66:X75" ca="1" si="78">IF(AND(O$23-$B66&gt;=0,O$23-$B66&lt;=10),OFFSET(O66,-10,-10)+HLOOKUP($B66,$N$3:$BL$4,2,FALSE),"")</f>
        <v/>
      </c>
      <c r="P66" s="227" t="str">
        <f t="shared" ca="1" si="78"/>
        <v/>
      </c>
      <c r="Q66" s="227" t="str">
        <f t="shared" ca="1" si="78"/>
        <v/>
      </c>
      <c r="R66" s="227" t="str">
        <f t="shared" ca="1" si="78"/>
        <v/>
      </c>
      <c r="S66" s="227" t="str">
        <f t="shared" ca="1" si="78"/>
        <v/>
      </c>
      <c r="T66" s="227" t="str">
        <f t="shared" ca="1" si="78"/>
        <v/>
      </c>
      <c r="U66" s="227" t="str">
        <f t="shared" ca="1" si="78"/>
        <v/>
      </c>
      <c r="V66" s="227" t="str">
        <f t="shared" ca="1" si="78"/>
        <v/>
      </c>
      <c r="W66" s="227" t="str">
        <f t="shared" ca="1" si="78"/>
        <v/>
      </c>
      <c r="X66" s="227" t="str">
        <f t="shared" ca="1" si="78"/>
        <v/>
      </c>
      <c r="Y66" s="227" t="str">
        <f t="shared" ref="Y66:AH75" ca="1" si="79">IF(AND(Y$23-$B66&gt;=0,Y$23-$B66&lt;=10),OFFSET(Y66,-10,-10)+HLOOKUP($B66,$N$3:$BL$4,2,FALSE),"")</f>
        <v/>
      </c>
      <c r="Z66" s="227" t="str">
        <f t="shared" ca="1" si="79"/>
        <v/>
      </c>
      <c r="AA66" s="227" t="str">
        <f t="shared" ca="1" si="79"/>
        <v/>
      </c>
      <c r="AB66" s="227" t="str">
        <f t="shared" ca="1" si="79"/>
        <v/>
      </c>
      <c r="AC66" s="227" t="str">
        <f t="shared" ca="1" si="79"/>
        <v/>
      </c>
      <c r="AD66" s="227" t="str">
        <f t="shared" ca="1" si="79"/>
        <v/>
      </c>
      <c r="AE66" s="227" t="str">
        <f t="shared" ca="1" si="79"/>
        <v/>
      </c>
      <c r="AF66" s="227" t="str">
        <f t="shared" ca="1" si="79"/>
        <v/>
      </c>
      <c r="AG66" s="227" t="str">
        <f t="shared" ca="1" si="79"/>
        <v/>
      </c>
      <c r="AH66" s="227" t="str">
        <f t="shared" ca="1" si="79"/>
        <v/>
      </c>
      <c r="AI66" s="227" t="str">
        <f t="shared" ref="AI66:AR75" ca="1" si="80">IF(AND(AI$23-$B66&gt;=0,AI$23-$B66&lt;=10),OFFSET(AI66,-10,-10)+HLOOKUP($B66,$N$3:$BL$4,2,FALSE),"")</f>
        <v/>
      </c>
      <c r="AJ66" s="227" t="str">
        <f t="shared" ca="1" si="80"/>
        <v/>
      </c>
      <c r="AK66" s="227" t="str">
        <f t="shared" ca="1" si="80"/>
        <v/>
      </c>
      <c r="AL66" s="227" t="str">
        <f t="shared" ca="1" si="80"/>
        <v/>
      </c>
      <c r="AM66" s="227" t="str">
        <f t="shared" ca="1" si="80"/>
        <v/>
      </c>
      <c r="AN66" s="227" t="str">
        <f t="shared" ca="1" si="80"/>
        <v/>
      </c>
      <c r="AO66" s="227" t="str">
        <f t="shared" ca="1" si="80"/>
        <v/>
      </c>
      <c r="AP66" s="227" t="str">
        <f t="shared" ca="1" si="80"/>
        <v/>
      </c>
      <c r="AQ66" s="227" t="str">
        <f t="shared" ca="1" si="80"/>
        <v/>
      </c>
      <c r="AR66" s="227" t="str">
        <f t="shared" ca="1" si="80"/>
        <v/>
      </c>
      <c r="AS66" s="227">
        <f t="shared" ref="AS66:BB75" ca="1" si="81">IF(AND(AS$23-$B66&gt;=0,AS$23-$B66&lt;=10),OFFSET(AS66,-10,-10)+HLOOKUP($B66,$N$3:$BL$4,2,FALSE),"")</f>
        <v>44466.98126055552</v>
      </c>
      <c r="AT66" s="227">
        <f t="shared" ca="1" si="81"/>
        <v>44466.98126055552</v>
      </c>
      <c r="AU66" s="227">
        <f t="shared" ca="1" si="81"/>
        <v>44466.98126055552</v>
      </c>
      <c r="AV66" s="227">
        <f t="shared" ca="1" si="81"/>
        <v>44466.98126055552</v>
      </c>
      <c r="AW66" s="227">
        <f t="shared" ca="1" si="81"/>
        <v>44466.98126055552</v>
      </c>
      <c r="AX66" s="227">
        <f t="shared" ca="1" si="81"/>
        <v>44466.98126055552</v>
      </c>
      <c r="AY66" s="227">
        <f t="shared" ca="1" si="81"/>
        <v>44466.98126055552</v>
      </c>
      <c r="AZ66" s="227">
        <f t="shared" ca="1" si="81"/>
        <v>44466.98126055552</v>
      </c>
      <c r="BA66" s="227">
        <f t="shared" ca="1" si="81"/>
        <v>44466.98126055552</v>
      </c>
      <c r="BB66" s="227">
        <f t="shared" ca="1" si="81"/>
        <v>44466.98126055552</v>
      </c>
      <c r="BC66" s="227">
        <f t="shared" ref="BC66:BL75" ca="1" si="82">IF(AND(BC$23-$B66&gt;=0,BC$23-$B66&lt;=10),OFFSET(BC66,-10,-10)+HLOOKUP($B66,$N$3:$BL$4,2,FALSE),"")</f>
        <v>44466.98126055552</v>
      </c>
      <c r="BD66" s="227" t="str">
        <f t="shared" ca="1" si="82"/>
        <v/>
      </c>
      <c r="BE66" s="227" t="str">
        <f t="shared" ca="1" si="82"/>
        <v/>
      </c>
      <c r="BF66" s="227" t="str">
        <f t="shared" ca="1" si="82"/>
        <v/>
      </c>
      <c r="BG66" s="227" t="str">
        <f t="shared" ca="1" si="82"/>
        <v/>
      </c>
      <c r="BH66" s="227" t="str">
        <f t="shared" ca="1" si="82"/>
        <v/>
      </c>
      <c r="BI66" s="227" t="str">
        <f t="shared" ca="1" si="82"/>
        <v/>
      </c>
      <c r="BJ66" s="227" t="str">
        <f t="shared" ca="1" si="82"/>
        <v/>
      </c>
      <c r="BK66" s="227" t="str">
        <f t="shared" ca="1" si="82"/>
        <v/>
      </c>
      <c r="BL66" s="285" t="str">
        <f t="shared" ca="1" si="82"/>
        <v/>
      </c>
      <c r="BM66" s="294"/>
    </row>
    <row r="67" spans="1:65" x14ac:dyDescent="0.25">
      <c r="A67" s="128"/>
      <c r="B67" s="297">
        <f t="shared" si="67"/>
        <v>2045</v>
      </c>
      <c r="C67" s="269"/>
      <c r="D67" s="227"/>
      <c r="E67" s="227"/>
      <c r="F67" s="227"/>
      <c r="G67" s="227"/>
      <c r="H67" s="227"/>
      <c r="I67" s="227"/>
      <c r="J67" s="227"/>
      <c r="K67" s="227"/>
      <c r="L67" s="227"/>
      <c r="M67" s="227"/>
      <c r="N67" s="227"/>
      <c r="O67" s="227" t="str">
        <f t="shared" ca="1" si="78"/>
        <v/>
      </c>
      <c r="P67" s="227" t="str">
        <f t="shared" ca="1" si="78"/>
        <v/>
      </c>
      <c r="Q67" s="227" t="str">
        <f t="shared" ca="1" si="78"/>
        <v/>
      </c>
      <c r="R67" s="227" t="str">
        <f t="shared" ca="1" si="78"/>
        <v/>
      </c>
      <c r="S67" s="227" t="str">
        <f t="shared" ca="1" si="78"/>
        <v/>
      </c>
      <c r="T67" s="227" t="str">
        <f t="shared" ca="1" si="78"/>
        <v/>
      </c>
      <c r="U67" s="227" t="str">
        <f t="shared" ca="1" si="78"/>
        <v/>
      </c>
      <c r="V67" s="227" t="str">
        <f t="shared" ca="1" si="78"/>
        <v/>
      </c>
      <c r="W67" s="227" t="str">
        <f t="shared" ca="1" si="78"/>
        <v/>
      </c>
      <c r="X67" s="227" t="str">
        <f t="shared" ca="1" si="78"/>
        <v/>
      </c>
      <c r="Y67" s="227" t="str">
        <f t="shared" ca="1" si="79"/>
        <v/>
      </c>
      <c r="Z67" s="227" t="str">
        <f t="shared" ca="1" si="79"/>
        <v/>
      </c>
      <c r="AA67" s="227" t="str">
        <f t="shared" ca="1" si="79"/>
        <v/>
      </c>
      <c r="AB67" s="227" t="str">
        <f t="shared" ca="1" si="79"/>
        <v/>
      </c>
      <c r="AC67" s="227" t="str">
        <f t="shared" ca="1" si="79"/>
        <v/>
      </c>
      <c r="AD67" s="227" t="str">
        <f t="shared" ca="1" si="79"/>
        <v/>
      </c>
      <c r="AE67" s="227" t="str">
        <f t="shared" ca="1" si="79"/>
        <v/>
      </c>
      <c r="AF67" s="227" t="str">
        <f t="shared" ca="1" si="79"/>
        <v/>
      </c>
      <c r="AG67" s="227" t="str">
        <f t="shared" ca="1" si="79"/>
        <v/>
      </c>
      <c r="AH67" s="227" t="str">
        <f t="shared" ca="1" si="79"/>
        <v/>
      </c>
      <c r="AI67" s="227" t="str">
        <f t="shared" ca="1" si="80"/>
        <v/>
      </c>
      <c r="AJ67" s="227" t="str">
        <f t="shared" ca="1" si="80"/>
        <v/>
      </c>
      <c r="AK67" s="227" t="str">
        <f t="shared" ca="1" si="80"/>
        <v/>
      </c>
      <c r="AL67" s="227" t="str">
        <f t="shared" ca="1" si="80"/>
        <v/>
      </c>
      <c r="AM67" s="227" t="str">
        <f t="shared" ca="1" si="80"/>
        <v/>
      </c>
      <c r="AN67" s="227" t="str">
        <f t="shared" ca="1" si="80"/>
        <v/>
      </c>
      <c r="AO67" s="227" t="str">
        <f t="shared" ca="1" si="80"/>
        <v/>
      </c>
      <c r="AP67" s="227" t="str">
        <f t="shared" ca="1" si="80"/>
        <v/>
      </c>
      <c r="AQ67" s="227" t="str">
        <f t="shared" ca="1" si="80"/>
        <v/>
      </c>
      <c r="AR67" s="227" t="str">
        <f t="shared" ca="1" si="80"/>
        <v/>
      </c>
      <c r="AS67" s="227" t="str">
        <f t="shared" ca="1" si="81"/>
        <v/>
      </c>
      <c r="AT67" s="227">
        <f t="shared" ca="1" si="81"/>
        <v>47560.547582749052</v>
      </c>
      <c r="AU67" s="227">
        <f t="shared" ca="1" si="81"/>
        <v>47560.547582749052</v>
      </c>
      <c r="AV67" s="227">
        <f t="shared" ca="1" si="81"/>
        <v>47560.547582749052</v>
      </c>
      <c r="AW67" s="227">
        <f t="shared" ca="1" si="81"/>
        <v>47560.547582749052</v>
      </c>
      <c r="AX67" s="227">
        <f t="shared" ca="1" si="81"/>
        <v>47560.547582749052</v>
      </c>
      <c r="AY67" s="227">
        <f t="shared" ca="1" si="81"/>
        <v>47560.547582749052</v>
      </c>
      <c r="AZ67" s="227">
        <f t="shared" ca="1" si="81"/>
        <v>47560.547582749052</v>
      </c>
      <c r="BA67" s="227">
        <f t="shared" ca="1" si="81"/>
        <v>47560.547582749052</v>
      </c>
      <c r="BB67" s="227">
        <f t="shared" ca="1" si="81"/>
        <v>47560.547582749052</v>
      </c>
      <c r="BC67" s="227">
        <f t="shared" ca="1" si="82"/>
        <v>47560.547582749052</v>
      </c>
      <c r="BD67" s="227">
        <f t="shared" ca="1" si="82"/>
        <v>47560.547582749052</v>
      </c>
      <c r="BE67" s="227" t="str">
        <f t="shared" ca="1" si="82"/>
        <v/>
      </c>
      <c r="BF67" s="227" t="str">
        <f t="shared" ca="1" si="82"/>
        <v/>
      </c>
      <c r="BG67" s="227" t="str">
        <f t="shared" ca="1" si="82"/>
        <v/>
      </c>
      <c r="BH67" s="227" t="str">
        <f t="shared" ca="1" si="82"/>
        <v/>
      </c>
      <c r="BI67" s="227" t="str">
        <f t="shared" ca="1" si="82"/>
        <v/>
      </c>
      <c r="BJ67" s="227" t="str">
        <f t="shared" ca="1" si="82"/>
        <v/>
      </c>
      <c r="BK67" s="227" t="str">
        <f t="shared" ca="1" si="82"/>
        <v/>
      </c>
      <c r="BL67" s="285" t="str">
        <f t="shared" ca="1" si="82"/>
        <v/>
      </c>
      <c r="BM67" s="294"/>
    </row>
    <row r="68" spans="1:65" x14ac:dyDescent="0.25">
      <c r="A68" s="128"/>
      <c r="B68" s="297">
        <f t="shared" si="67"/>
        <v>2046</v>
      </c>
      <c r="C68" s="269"/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7" t="str">
        <f t="shared" ca="1" si="78"/>
        <v/>
      </c>
      <c r="P68" s="227" t="str">
        <f t="shared" ca="1" si="78"/>
        <v/>
      </c>
      <c r="Q68" s="227" t="str">
        <f t="shared" ca="1" si="78"/>
        <v/>
      </c>
      <c r="R68" s="227" t="str">
        <f t="shared" ca="1" si="78"/>
        <v/>
      </c>
      <c r="S68" s="227" t="str">
        <f t="shared" ca="1" si="78"/>
        <v/>
      </c>
      <c r="T68" s="227" t="str">
        <f t="shared" ca="1" si="78"/>
        <v/>
      </c>
      <c r="U68" s="227" t="str">
        <f t="shared" ca="1" si="78"/>
        <v/>
      </c>
      <c r="V68" s="227" t="str">
        <f t="shared" ca="1" si="78"/>
        <v/>
      </c>
      <c r="W68" s="227" t="str">
        <f t="shared" ca="1" si="78"/>
        <v/>
      </c>
      <c r="X68" s="227" t="str">
        <f t="shared" ca="1" si="78"/>
        <v/>
      </c>
      <c r="Y68" s="227" t="str">
        <f t="shared" ca="1" si="79"/>
        <v/>
      </c>
      <c r="Z68" s="227" t="str">
        <f t="shared" ca="1" si="79"/>
        <v/>
      </c>
      <c r="AA68" s="227" t="str">
        <f t="shared" ca="1" si="79"/>
        <v/>
      </c>
      <c r="AB68" s="227" t="str">
        <f t="shared" ca="1" si="79"/>
        <v/>
      </c>
      <c r="AC68" s="227" t="str">
        <f t="shared" ca="1" si="79"/>
        <v/>
      </c>
      <c r="AD68" s="227" t="str">
        <f t="shared" ca="1" si="79"/>
        <v/>
      </c>
      <c r="AE68" s="227" t="str">
        <f t="shared" ca="1" si="79"/>
        <v/>
      </c>
      <c r="AF68" s="227" t="str">
        <f t="shared" ca="1" si="79"/>
        <v/>
      </c>
      <c r="AG68" s="227" t="str">
        <f t="shared" ca="1" si="79"/>
        <v/>
      </c>
      <c r="AH68" s="227" t="str">
        <f t="shared" ca="1" si="79"/>
        <v/>
      </c>
      <c r="AI68" s="227" t="str">
        <f t="shared" ca="1" si="80"/>
        <v/>
      </c>
      <c r="AJ68" s="227" t="str">
        <f t="shared" ca="1" si="80"/>
        <v/>
      </c>
      <c r="AK68" s="227" t="str">
        <f t="shared" ca="1" si="80"/>
        <v/>
      </c>
      <c r="AL68" s="227" t="str">
        <f t="shared" ca="1" si="80"/>
        <v/>
      </c>
      <c r="AM68" s="227" t="str">
        <f t="shared" ca="1" si="80"/>
        <v/>
      </c>
      <c r="AN68" s="227" t="str">
        <f t="shared" ca="1" si="80"/>
        <v/>
      </c>
      <c r="AO68" s="227" t="str">
        <f t="shared" ca="1" si="80"/>
        <v/>
      </c>
      <c r="AP68" s="227" t="str">
        <f t="shared" ca="1" si="80"/>
        <v/>
      </c>
      <c r="AQ68" s="227" t="str">
        <f t="shared" ca="1" si="80"/>
        <v/>
      </c>
      <c r="AR68" s="227" t="str">
        <f t="shared" ca="1" si="80"/>
        <v/>
      </c>
      <c r="AS68" s="227" t="str">
        <f t="shared" ca="1" si="81"/>
        <v/>
      </c>
      <c r="AT68" s="227" t="str">
        <f t="shared" ca="1" si="81"/>
        <v/>
      </c>
      <c r="AU68" s="227">
        <f t="shared" ca="1" si="81"/>
        <v>50334.620956964674</v>
      </c>
      <c r="AV68" s="227">
        <f t="shared" ca="1" si="81"/>
        <v>50334.620956964674</v>
      </c>
      <c r="AW68" s="227">
        <f t="shared" ca="1" si="81"/>
        <v>50334.620956964674</v>
      </c>
      <c r="AX68" s="227">
        <f t="shared" ca="1" si="81"/>
        <v>50334.620956964674</v>
      </c>
      <c r="AY68" s="227">
        <f t="shared" ca="1" si="81"/>
        <v>50334.620956964674</v>
      </c>
      <c r="AZ68" s="227">
        <f t="shared" ca="1" si="81"/>
        <v>50334.620956964674</v>
      </c>
      <c r="BA68" s="227">
        <f t="shared" ca="1" si="81"/>
        <v>50334.620956964674</v>
      </c>
      <c r="BB68" s="227">
        <f t="shared" ca="1" si="81"/>
        <v>50334.620956964674</v>
      </c>
      <c r="BC68" s="227">
        <f t="shared" ca="1" si="82"/>
        <v>50334.620956964674</v>
      </c>
      <c r="BD68" s="227">
        <f t="shared" ca="1" si="82"/>
        <v>50334.620956964674</v>
      </c>
      <c r="BE68" s="227">
        <f t="shared" ca="1" si="82"/>
        <v>50334.620956964674</v>
      </c>
      <c r="BF68" s="227" t="str">
        <f t="shared" ca="1" si="82"/>
        <v/>
      </c>
      <c r="BG68" s="227" t="str">
        <f t="shared" ca="1" si="82"/>
        <v/>
      </c>
      <c r="BH68" s="227" t="str">
        <f t="shared" ca="1" si="82"/>
        <v/>
      </c>
      <c r="BI68" s="227" t="str">
        <f t="shared" ca="1" si="82"/>
        <v/>
      </c>
      <c r="BJ68" s="227" t="str">
        <f t="shared" ca="1" si="82"/>
        <v/>
      </c>
      <c r="BK68" s="227" t="str">
        <f t="shared" ca="1" si="82"/>
        <v/>
      </c>
      <c r="BL68" s="285" t="str">
        <f t="shared" ca="1" si="82"/>
        <v/>
      </c>
      <c r="BM68" s="294"/>
    </row>
    <row r="69" spans="1:65" x14ac:dyDescent="0.25">
      <c r="A69" s="128"/>
      <c r="B69" s="297">
        <f t="shared" si="67"/>
        <v>2047</v>
      </c>
      <c r="C69" s="269"/>
      <c r="D69" s="227"/>
      <c r="E69" s="227"/>
      <c r="F69" s="227"/>
      <c r="G69" s="227"/>
      <c r="H69" s="227"/>
      <c r="I69" s="227"/>
      <c r="J69" s="227"/>
      <c r="K69" s="227"/>
      <c r="L69" s="227"/>
      <c r="M69" s="227"/>
      <c r="N69" s="227"/>
      <c r="O69" s="227" t="str">
        <f t="shared" ca="1" si="78"/>
        <v/>
      </c>
      <c r="P69" s="227" t="str">
        <f t="shared" ca="1" si="78"/>
        <v/>
      </c>
      <c r="Q69" s="227" t="str">
        <f t="shared" ca="1" si="78"/>
        <v/>
      </c>
      <c r="R69" s="227" t="str">
        <f t="shared" ca="1" si="78"/>
        <v/>
      </c>
      <c r="S69" s="227" t="str">
        <f t="shared" ca="1" si="78"/>
        <v/>
      </c>
      <c r="T69" s="227" t="str">
        <f t="shared" ca="1" si="78"/>
        <v/>
      </c>
      <c r="U69" s="227" t="str">
        <f t="shared" ca="1" si="78"/>
        <v/>
      </c>
      <c r="V69" s="227" t="str">
        <f t="shared" ca="1" si="78"/>
        <v/>
      </c>
      <c r="W69" s="227" t="str">
        <f t="shared" ca="1" si="78"/>
        <v/>
      </c>
      <c r="X69" s="227" t="str">
        <f t="shared" ca="1" si="78"/>
        <v/>
      </c>
      <c r="Y69" s="227" t="str">
        <f t="shared" ca="1" si="79"/>
        <v/>
      </c>
      <c r="Z69" s="227" t="str">
        <f t="shared" ca="1" si="79"/>
        <v/>
      </c>
      <c r="AA69" s="227" t="str">
        <f t="shared" ca="1" si="79"/>
        <v/>
      </c>
      <c r="AB69" s="227" t="str">
        <f t="shared" ca="1" si="79"/>
        <v/>
      </c>
      <c r="AC69" s="227" t="str">
        <f t="shared" ca="1" si="79"/>
        <v/>
      </c>
      <c r="AD69" s="227" t="str">
        <f t="shared" ca="1" si="79"/>
        <v/>
      </c>
      <c r="AE69" s="227" t="str">
        <f t="shared" ca="1" si="79"/>
        <v/>
      </c>
      <c r="AF69" s="227" t="str">
        <f t="shared" ca="1" si="79"/>
        <v/>
      </c>
      <c r="AG69" s="227" t="str">
        <f t="shared" ca="1" si="79"/>
        <v/>
      </c>
      <c r="AH69" s="227" t="str">
        <f t="shared" ca="1" si="79"/>
        <v/>
      </c>
      <c r="AI69" s="227" t="str">
        <f t="shared" ca="1" si="80"/>
        <v/>
      </c>
      <c r="AJ69" s="227" t="str">
        <f t="shared" ca="1" si="80"/>
        <v/>
      </c>
      <c r="AK69" s="227" t="str">
        <f t="shared" ca="1" si="80"/>
        <v/>
      </c>
      <c r="AL69" s="227" t="str">
        <f t="shared" ca="1" si="80"/>
        <v/>
      </c>
      <c r="AM69" s="227" t="str">
        <f t="shared" ca="1" si="80"/>
        <v/>
      </c>
      <c r="AN69" s="227" t="str">
        <f t="shared" ca="1" si="80"/>
        <v/>
      </c>
      <c r="AO69" s="227" t="str">
        <f t="shared" ca="1" si="80"/>
        <v/>
      </c>
      <c r="AP69" s="227" t="str">
        <f t="shared" ca="1" si="80"/>
        <v/>
      </c>
      <c r="AQ69" s="227" t="str">
        <f t="shared" ca="1" si="80"/>
        <v/>
      </c>
      <c r="AR69" s="227" t="str">
        <f t="shared" ca="1" si="80"/>
        <v/>
      </c>
      <c r="AS69" s="227" t="str">
        <f t="shared" ca="1" si="81"/>
        <v/>
      </c>
      <c r="AT69" s="227" t="str">
        <f t="shared" ca="1" si="81"/>
        <v/>
      </c>
      <c r="AU69" s="227" t="str">
        <f t="shared" ca="1" si="81"/>
        <v/>
      </c>
      <c r="AV69" s="227">
        <f t="shared" ca="1" si="81"/>
        <v>53741.81460556767</v>
      </c>
      <c r="AW69" s="227">
        <f t="shared" ca="1" si="81"/>
        <v>53741.81460556767</v>
      </c>
      <c r="AX69" s="227">
        <f t="shared" ca="1" si="81"/>
        <v>53741.81460556767</v>
      </c>
      <c r="AY69" s="227">
        <f t="shared" ca="1" si="81"/>
        <v>53741.81460556767</v>
      </c>
      <c r="AZ69" s="227">
        <f t="shared" ca="1" si="81"/>
        <v>53741.81460556767</v>
      </c>
      <c r="BA69" s="227">
        <f t="shared" ca="1" si="81"/>
        <v>53741.81460556767</v>
      </c>
      <c r="BB69" s="227">
        <f t="shared" ca="1" si="81"/>
        <v>53741.81460556767</v>
      </c>
      <c r="BC69" s="227">
        <f t="shared" ca="1" si="82"/>
        <v>53741.81460556767</v>
      </c>
      <c r="BD69" s="227">
        <f t="shared" ca="1" si="82"/>
        <v>53741.81460556767</v>
      </c>
      <c r="BE69" s="227">
        <f t="shared" ca="1" si="82"/>
        <v>53741.81460556767</v>
      </c>
      <c r="BF69" s="227">
        <f t="shared" ca="1" si="82"/>
        <v>53741.81460556767</v>
      </c>
      <c r="BG69" s="227" t="str">
        <f t="shared" ca="1" si="82"/>
        <v/>
      </c>
      <c r="BH69" s="227" t="str">
        <f t="shared" ca="1" si="82"/>
        <v/>
      </c>
      <c r="BI69" s="227" t="str">
        <f t="shared" ca="1" si="82"/>
        <v/>
      </c>
      <c r="BJ69" s="227" t="str">
        <f t="shared" ca="1" si="82"/>
        <v/>
      </c>
      <c r="BK69" s="227" t="str">
        <f t="shared" ca="1" si="82"/>
        <v/>
      </c>
      <c r="BL69" s="285" t="str">
        <f t="shared" ca="1" si="82"/>
        <v/>
      </c>
      <c r="BM69" s="294"/>
    </row>
    <row r="70" spans="1:65" x14ac:dyDescent="0.25">
      <c r="A70" s="128"/>
      <c r="B70" s="297">
        <f t="shared" si="67"/>
        <v>2048</v>
      </c>
      <c r="C70" s="269"/>
      <c r="D70" s="227"/>
      <c r="E70" s="227"/>
      <c r="F70" s="227"/>
      <c r="G70" s="227"/>
      <c r="H70" s="227"/>
      <c r="I70" s="227"/>
      <c r="J70" s="227"/>
      <c r="K70" s="227"/>
      <c r="L70" s="227"/>
      <c r="M70" s="227"/>
      <c r="N70" s="227"/>
      <c r="O70" s="227" t="str">
        <f t="shared" ca="1" si="78"/>
        <v/>
      </c>
      <c r="P70" s="227" t="str">
        <f t="shared" ca="1" si="78"/>
        <v/>
      </c>
      <c r="Q70" s="227" t="str">
        <f t="shared" ca="1" si="78"/>
        <v/>
      </c>
      <c r="R70" s="227" t="str">
        <f t="shared" ca="1" si="78"/>
        <v/>
      </c>
      <c r="S70" s="227" t="str">
        <f t="shared" ca="1" si="78"/>
        <v/>
      </c>
      <c r="T70" s="227" t="str">
        <f t="shared" ca="1" si="78"/>
        <v/>
      </c>
      <c r="U70" s="227" t="str">
        <f t="shared" ca="1" si="78"/>
        <v/>
      </c>
      <c r="V70" s="227" t="str">
        <f t="shared" ca="1" si="78"/>
        <v/>
      </c>
      <c r="W70" s="227" t="str">
        <f t="shared" ca="1" si="78"/>
        <v/>
      </c>
      <c r="X70" s="227" t="str">
        <f t="shared" ca="1" si="78"/>
        <v/>
      </c>
      <c r="Y70" s="227" t="str">
        <f t="shared" ca="1" si="79"/>
        <v/>
      </c>
      <c r="Z70" s="227" t="str">
        <f t="shared" ca="1" si="79"/>
        <v/>
      </c>
      <c r="AA70" s="227" t="str">
        <f t="shared" ca="1" si="79"/>
        <v/>
      </c>
      <c r="AB70" s="227" t="str">
        <f t="shared" ca="1" si="79"/>
        <v/>
      </c>
      <c r="AC70" s="227" t="str">
        <f t="shared" ca="1" si="79"/>
        <v/>
      </c>
      <c r="AD70" s="227" t="str">
        <f t="shared" ca="1" si="79"/>
        <v/>
      </c>
      <c r="AE70" s="227" t="str">
        <f t="shared" ca="1" si="79"/>
        <v/>
      </c>
      <c r="AF70" s="227" t="str">
        <f t="shared" ca="1" si="79"/>
        <v/>
      </c>
      <c r="AG70" s="227" t="str">
        <f t="shared" ca="1" si="79"/>
        <v/>
      </c>
      <c r="AH70" s="227" t="str">
        <f t="shared" ca="1" si="79"/>
        <v/>
      </c>
      <c r="AI70" s="227" t="str">
        <f t="shared" ca="1" si="80"/>
        <v/>
      </c>
      <c r="AJ70" s="227" t="str">
        <f t="shared" ca="1" si="80"/>
        <v/>
      </c>
      <c r="AK70" s="227" t="str">
        <f t="shared" ca="1" si="80"/>
        <v/>
      </c>
      <c r="AL70" s="227" t="str">
        <f t="shared" ca="1" si="80"/>
        <v/>
      </c>
      <c r="AM70" s="227" t="str">
        <f t="shared" ca="1" si="80"/>
        <v/>
      </c>
      <c r="AN70" s="227" t="str">
        <f t="shared" ca="1" si="80"/>
        <v/>
      </c>
      <c r="AO70" s="227" t="str">
        <f t="shared" ca="1" si="80"/>
        <v/>
      </c>
      <c r="AP70" s="227" t="str">
        <f t="shared" ca="1" si="80"/>
        <v/>
      </c>
      <c r="AQ70" s="227" t="str">
        <f t="shared" ca="1" si="80"/>
        <v/>
      </c>
      <c r="AR70" s="227" t="str">
        <f t="shared" ca="1" si="80"/>
        <v/>
      </c>
      <c r="AS70" s="227" t="str">
        <f t="shared" ca="1" si="81"/>
        <v/>
      </c>
      <c r="AT70" s="227" t="str">
        <f t="shared" ca="1" si="81"/>
        <v/>
      </c>
      <c r="AU70" s="227" t="str">
        <f t="shared" ca="1" si="81"/>
        <v/>
      </c>
      <c r="AV70" s="227" t="str">
        <f t="shared" ca="1" si="81"/>
        <v/>
      </c>
      <c r="AW70" s="227">
        <f t="shared" ca="1" si="81"/>
        <v>57279.110885056078</v>
      </c>
      <c r="AX70" s="227">
        <f t="shared" ca="1" si="81"/>
        <v>57279.110885056078</v>
      </c>
      <c r="AY70" s="227">
        <f t="shared" ca="1" si="81"/>
        <v>57279.110885056078</v>
      </c>
      <c r="AZ70" s="227">
        <f t="shared" ca="1" si="81"/>
        <v>57279.110885056078</v>
      </c>
      <c r="BA70" s="227">
        <f t="shared" ca="1" si="81"/>
        <v>57279.110885056078</v>
      </c>
      <c r="BB70" s="227">
        <f t="shared" ca="1" si="81"/>
        <v>57279.110885056078</v>
      </c>
      <c r="BC70" s="227">
        <f t="shared" ca="1" si="82"/>
        <v>57279.110885056078</v>
      </c>
      <c r="BD70" s="227">
        <f t="shared" ca="1" si="82"/>
        <v>57279.110885056078</v>
      </c>
      <c r="BE70" s="227">
        <f t="shared" ca="1" si="82"/>
        <v>57279.110885056078</v>
      </c>
      <c r="BF70" s="227">
        <f t="shared" ca="1" si="82"/>
        <v>57279.110885056078</v>
      </c>
      <c r="BG70" s="227">
        <f t="shared" ca="1" si="82"/>
        <v>57279.110885056078</v>
      </c>
      <c r="BH70" s="227" t="str">
        <f t="shared" ca="1" si="82"/>
        <v/>
      </c>
      <c r="BI70" s="227" t="str">
        <f t="shared" ca="1" si="82"/>
        <v/>
      </c>
      <c r="BJ70" s="227" t="str">
        <f t="shared" ca="1" si="82"/>
        <v/>
      </c>
      <c r="BK70" s="227" t="str">
        <f t="shared" ca="1" si="82"/>
        <v/>
      </c>
      <c r="BL70" s="285" t="str">
        <f t="shared" ca="1" si="82"/>
        <v/>
      </c>
      <c r="BM70" s="294"/>
    </row>
    <row r="71" spans="1:65" x14ac:dyDescent="0.25">
      <c r="A71" s="128"/>
      <c r="B71" s="297">
        <f t="shared" si="67"/>
        <v>2049</v>
      </c>
      <c r="C71" s="269"/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227" t="str">
        <f t="shared" ca="1" si="78"/>
        <v/>
      </c>
      <c r="P71" s="227" t="str">
        <f t="shared" ca="1" si="78"/>
        <v/>
      </c>
      <c r="Q71" s="227" t="str">
        <f t="shared" ca="1" si="78"/>
        <v/>
      </c>
      <c r="R71" s="227" t="str">
        <f t="shared" ca="1" si="78"/>
        <v/>
      </c>
      <c r="S71" s="227" t="str">
        <f t="shared" ca="1" si="78"/>
        <v/>
      </c>
      <c r="T71" s="227" t="str">
        <f t="shared" ca="1" si="78"/>
        <v/>
      </c>
      <c r="U71" s="227" t="str">
        <f t="shared" ca="1" si="78"/>
        <v/>
      </c>
      <c r="V71" s="227" t="str">
        <f t="shared" ca="1" si="78"/>
        <v/>
      </c>
      <c r="W71" s="227" t="str">
        <f t="shared" ca="1" si="78"/>
        <v/>
      </c>
      <c r="X71" s="227" t="str">
        <f t="shared" ca="1" si="78"/>
        <v/>
      </c>
      <c r="Y71" s="227" t="str">
        <f t="shared" ca="1" si="79"/>
        <v/>
      </c>
      <c r="Z71" s="227" t="str">
        <f t="shared" ca="1" si="79"/>
        <v/>
      </c>
      <c r="AA71" s="227" t="str">
        <f t="shared" ca="1" si="79"/>
        <v/>
      </c>
      <c r="AB71" s="227" t="str">
        <f t="shared" ca="1" si="79"/>
        <v/>
      </c>
      <c r="AC71" s="227" t="str">
        <f t="shared" ca="1" si="79"/>
        <v/>
      </c>
      <c r="AD71" s="227" t="str">
        <f t="shared" ca="1" si="79"/>
        <v/>
      </c>
      <c r="AE71" s="227" t="str">
        <f t="shared" ca="1" si="79"/>
        <v/>
      </c>
      <c r="AF71" s="227" t="str">
        <f t="shared" ca="1" si="79"/>
        <v/>
      </c>
      <c r="AG71" s="227" t="str">
        <f t="shared" ca="1" si="79"/>
        <v/>
      </c>
      <c r="AH71" s="227" t="str">
        <f t="shared" ca="1" si="79"/>
        <v/>
      </c>
      <c r="AI71" s="227" t="str">
        <f t="shared" ca="1" si="80"/>
        <v/>
      </c>
      <c r="AJ71" s="227" t="str">
        <f t="shared" ca="1" si="80"/>
        <v/>
      </c>
      <c r="AK71" s="227" t="str">
        <f t="shared" ca="1" si="80"/>
        <v/>
      </c>
      <c r="AL71" s="227" t="str">
        <f t="shared" ca="1" si="80"/>
        <v/>
      </c>
      <c r="AM71" s="227" t="str">
        <f t="shared" ca="1" si="80"/>
        <v/>
      </c>
      <c r="AN71" s="227" t="str">
        <f t="shared" ca="1" si="80"/>
        <v/>
      </c>
      <c r="AO71" s="227" t="str">
        <f t="shared" ca="1" si="80"/>
        <v/>
      </c>
      <c r="AP71" s="227" t="str">
        <f t="shared" ca="1" si="80"/>
        <v/>
      </c>
      <c r="AQ71" s="227" t="str">
        <f t="shared" ca="1" si="80"/>
        <v/>
      </c>
      <c r="AR71" s="227" t="str">
        <f t="shared" ca="1" si="80"/>
        <v/>
      </c>
      <c r="AS71" s="227" t="str">
        <f t="shared" ca="1" si="81"/>
        <v/>
      </c>
      <c r="AT71" s="227" t="str">
        <f t="shared" ca="1" si="81"/>
        <v/>
      </c>
      <c r="AU71" s="227" t="str">
        <f t="shared" ca="1" si="81"/>
        <v/>
      </c>
      <c r="AV71" s="227" t="str">
        <f t="shared" ca="1" si="81"/>
        <v/>
      </c>
      <c r="AW71" s="227" t="str">
        <f t="shared" ca="1" si="81"/>
        <v/>
      </c>
      <c r="AX71" s="227">
        <f t="shared" ca="1" si="81"/>
        <v>60994.354549791322</v>
      </c>
      <c r="AY71" s="227">
        <f t="shared" ca="1" si="81"/>
        <v>60994.354549791322</v>
      </c>
      <c r="AZ71" s="227">
        <f t="shared" ca="1" si="81"/>
        <v>60994.354549791322</v>
      </c>
      <c r="BA71" s="227">
        <f t="shared" ca="1" si="81"/>
        <v>60994.354549791322</v>
      </c>
      <c r="BB71" s="227">
        <f t="shared" ca="1" si="81"/>
        <v>60994.354549791322</v>
      </c>
      <c r="BC71" s="227">
        <f t="shared" ca="1" si="82"/>
        <v>60994.354549791322</v>
      </c>
      <c r="BD71" s="227">
        <f t="shared" ca="1" si="82"/>
        <v>60994.354549791322</v>
      </c>
      <c r="BE71" s="227">
        <f t="shared" ca="1" si="82"/>
        <v>60994.354549791322</v>
      </c>
      <c r="BF71" s="227">
        <f t="shared" ca="1" si="82"/>
        <v>60994.354549791322</v>
      </c>
      <c r="BG71" s="227">
        <f t="shared" ca="1" si="82"/>
        <v>60994.354549791322</v>
      </c>
      <c r="BH71" s="227">
        <f t="shared" ca="1" si="82"/>
        <v>60994.354549791322</v>
      </c>
      <c r="BI71" s="227" t="str">
        <f t="shared" ca="1" si="82"/>
        <v/>
      </c>
      <c r="BJ71" s="227" t="str">
        <f t="shared" ca="1" si="82"/>
        <v/>
      </c>
      <c r="BK71" s="227" t="str">
        <f t="shared" ca="1" si="82"/>
        <v/>
      </c>
      <c r="BL71" s="285" t="str">
        <f t="shared" ca="1" si="82"/>
        <v/>
      </c>
      <c r="BM71" s="294"/>
    </row>
    <row r="72" spans="1:65" x14ac:dyDescent="0.25">
      <c r="A72" s="128"/>
      <c r="B72" s="297">
        <f t="shared" si="67"/>
        <v>2050</v>
      </c>
      <c r="C72" s="269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 t="str">
        <f t="shared" ca="1" si="78"/>
        <v/>
      </c>
      <c r="P72" s="227" t="str">
        <f t="shared" ca="1" si="78"/>
        <v/>
      </c>
      <c r="Q72" s="227" t="str">
        <f t="shared" ca="1" si="78"/>
        <v/>
      </c>
      <c r="R72" s="227" t="str">
        <f t="shared" ca="1" si="78"/>
        <v/>
      </c>
      <c r="S72" s="227" t="str">
        <f t="shared" ca="1" si="78"/>
        <v/>
      </c>
      <c r="T72" s="227" t="str">
        <f t="shared" ca="1" si="78"/>
        <v/>
      </c>
      <c r="U72" s="227" t="str">
        <f t="shared" ca="1" si="78"/>
        <v/>
      </c>
      <c r="V72" s="227" t="str">
        <f t="shared" ca="1" si="78"/>
        <v/>
      </c>
      <c r="W72" s="227" t="str">
        <f t="shared" ca="1" si="78"/>
        <v/>
      </c>
      <c r="X72" s="227" t="str">
        <f t="shared" ca="1" si="78"/>
        <v/>
      </c>
      <c r="Y72" s="227" t="str">
        <f t="shared" ca="1" si="79"/>
        <v/>
      </c>
      <c r="Z72" s="227" t="str">
        <f t="shared" ca="1" si="79"/>
        <v/>
      </c>
      <c r="AA72" s="227" t="str">
        <f t="shared" ca="1" si="79"/>
        <v/>
      </c>
      <c r="AB72" s="227" t="str">
        <f t="shared" ca="1" si="79"/>
        <v/>
      </c>
      <c r="AC72" s="227" t="str">
        <f t="shared" ca="1" si="79"/>
        <v/>
      </c>
      <c r="AD72" s="227" t="str">
        <f t="shared" ca="1" si="79"/>
        <v/>
      </c>
      <c r="AE72" s="227" t="str">
        <f t="shared" ca="1" si="79"/>
        <v/>
      </c>
      <c r="AF72" s="227" t="str">
        <f t="shared" ca="1" si="79"/>
        <v/>
      </c>
      <c r="AG72" s="227" t="str">
        <f t="shared" ca="1" si="79"/>
        <v/>
      </c>
      <c r="AH72" s="227" t="str">
        <f t="shared" ca="1" si="79"/>
        <v/>
      </c>
      <c r="AI72" s="227" t="str">
        <f t="shared" ca="1" si="80"/>
        <v/>
      </c>
      <c r="AJ72" s="227" t="str">
        <f t="shared" ca="1" si="80"/>
        <v/>
      </c>
      <c r="AK72" s="227" t="str">
        <f t="shared" ca="1" si="80"/>
        <v/>
      </c>
      <c r="AL72" s="227" t="str">
        <f t="shared" ca="1" si="80"/>
        <v/>
      </c>
      <c r="AM72" s="227" t="str">
        <f t="shared" ca="1" si="80"/>
        <v/>
      </c>
      <c r="AN72" s="227" t="str">
        <f t="shared" ca="1" si="80"/>
        <v/>
      </c>
      <c r="AO72" s="227" t="str">
        <f t="shared" ca="1" si="80"/>
        <v/>
      </c>
      <c r="AP72" s="227" t="str">
        <f t="shared" ca="1" si="80"/>
        <v/>
      </c>
      <c r="AQ72" s="227" t="str">
        <f t="shared" ca="1" si="80"/>
        <v/>
      </c>
      <c r="AR72" s="227" t="str">
        <f t="shared" ca="1" si="80"/>
        <v/>
      </c>
      <c r="AS72" s="227" t="str">
        <f t="shared" ca="1" si="81"/>
        <v/>
      </c>
      <c r="AT72" s="227" t="str">
        <f t="shared" ca="1" si="81"/>
        <v/>
      </c>
      <c r="AU72" s="227" t="str">
        <f t="shared" ca="1" si="81"/>
        <v/>
      </c>
      <c r="AV72" s="227" t="str">
        <f t="shared" ca="1" si="81"/>
        <v/>
      </c>
      <c r="AW72" s="227" t="str">
        <f t="shared" ca="1" si="81"/>
        <v/>
      </c>
      <c r="AX72" s="227" t="str">
        <f t="shared" ca="1" si="81"/>
        <v/>
      </c>
      <c r="AY72" s="227">
        <f t="shared" ca="1" si="81"/>
        <v>65052.432085398439</v>
      </c>
      <c r="AZ72" s="227">
        <f t="shared" ca="1" si="81"/>
        <v>65052.432085398439</v>
      </c>
      <c r="BA72" s="227">
        <f t="shared" ca="1" si="81"/>
        <v>65052.432085398439</v>
      </c>
      <c r="BB72" s="227">
        <f t="shared" ca="1" si="81"/>
        <v>65052.432085398439</v>
      </c>
      <c r="BC72" s="227">
        <f t="shared" ca="1" si="82"/>
        <v>65052.432085398439</v>
      </c>
      <c r="BD72" s="227">
        <f t="shared" ca="1" si="82"/>
        <v>65052.432085398439</v>
      </c>
      <c r="BE72" s="227">
        <f t="shared" ca="1" si="82"/>
        <v>65052.432085398439</v>
      </c>
      <c r="BF72" s="227">
        <f t="shared" ca="1" si="82"/>
        <v>65052.432085398439</v>
      </c>
      <c r="BG72" s="227">
        <f t="shared" ca="1" si="82"/>
        <v>65052.432085398439</v>
      </c>
      <c r="BH72" s="227">
        <f t="shared" ca="1" si="82"/>
        <v>65052.432085398439</v>
      </c>
      <c r="BI72" s="227">
        <f t="shared" ca="1" si="82"/>
        <v>65052.432085398439</v>
      </c>
      <c r="BJ72" s="227" t="str">
        <f t="shared" ca="1" si="82"/>
        <v/>
      </c>
      <c r="BK72" s="227" t="str">
        <f t="shared" ca="1" si="82"/>
        <v/>
      </c>
      <c r="BL72" s="285" t="str">
        <f t="shared" ca="1" si="82"/>
        <v/>
      </c>
      <c r="BM72" s="294"/>
    </row>
    <row r="73" spans="1:65" x14ac:dyDescent="0.25">
      <c r="A73" s="128"/>
      <c r="B73" s="297">
        <f t="shared" si="67"/>
        <v>2051</v>
      </c>
      <c r="C73" s="269"/>
      <c r="D73" s="227"/>
      <c r="E73" s="227"/>
      <c r="F73" s="227"/>
      <c r="G73" s="227"/>
      <c r="H73" s="227"/>
      <c r="I73" s="227"/>
      <c r="J73" s="227"/>
      <c r="K73" s="227"/>
      <c r="L73" s="227"/>
      <c r="M73" s="227"/>
      <c r="N73" s="227"/>
      <c r="O73" s="227" t="str">
        <f t="shared" ca="1" si="78"/>
        <v/>
      </c>
      <c r="P73" s="227" t="str">
        <f t="shared" ca="1" si="78"/>
        <v/>
      </c>
      <c r="Q73" s="227" t="str">
        <f t="shared" ca="1" si="78"/>
        <v/>
      </c>
      <c r="R73" s="227" t="str">
        <f t="shared" ca="1" si="78"/>
        <v/>
      </c>
      <c r="S73" s="227" t="str">
        <f t="shared" ca="1" si="78"/>
        <v/>
      </c>
      <c r="T73" s="227" t="str">
        <f t="shared" ca="1" si="78"/>
        <v/>
      </c>
      <c r="U73" s="227" t="str">
        <f t="shared" ca="1" si="78"/>
        <v/>
      </c>
      <c r="V73" s="227" t="str">
        <f t="shared" ca="1" si="78"/>
        <v/>
      </c>
      <c r="W73" s="227" t="str">
        <f t="shared" ca="1" si="78"/>
        <v/>
      </c>
      <c r="X73" s="227" t="str">
        <f t="shared" ca="1" si="78"/>
        <v/>
      </c>
      <c r="Y73" s="227" t="str">
        <f t="shared" ca="1" si="79"/>
        <v/>
      </c>
      <c r="Z73" s="227" t="str">
        <f t="shared" ca="1" si="79"/>
        <v/>
      </c>
      <c r="AA73" s="227" t="str">
        <f t="shared" ca="1" si="79"/>
        <v/>
      </c>
      <c r="AB73" s="227" t="str">
        <f t="shared" ca="1" si="79"/>
        <v/>
      </c>
      <c r="AC73" s="227" t="str">
        <f t="shared" ca="1" si="79"/>
        <v/>
      </c>
      <c r="AD73" s="227" t="str">
        <f t="shared" ca="1" si="79"/>
        <v/>
      </c>
      <c r="AE73" s="227" t="str">
        <f t="shared" ca="1" si="79"/>
        <v/>
      </c>
      <c r="AF73" s="227" t="str">
        <f t="shared" ca="1" si="79"/>
        <v/>
      </c>
      <c r="AG73" s="227" t="str">
        <f t="shared" ca="1" si="79"/>
        <v/>
      </c>
      <c r="AH73" s="227" t="str">
        <f t="shared" ca="1" si="79"/>
        <v/>
      </c>
      <c r="AI73" s="227" t="str">
        <f t="shared" ca="1" si="80"/>
        <v/>
      </c>
      <c r="AJ73" s="227" t="str">
        <f t="shared" ca="1" si="80"/>
        <v/>
      </c>
      <c r="AK73" s="227" t="str">
        <f t="shared" ca="1" si="80"/>
        <v/>
      </c>
      <c r="AL73" s="227" t="str">
        <f t="shared" ca="1" si="80"/>
        <v/>
      </c>
      <c r="AM73" s="227" t="str">
        <f t="shared" ca="1" si="80"/>
        <v/>
      </c>
      <c r="AN73" s="227" t="str">
        <f t="shared" ca="1" si="80"/>
        <v/>
      </c>
      <c r="AO73" s="227" t="str">
        <f t="shared" ca="1" si="80"/>
        <v/>
      </c>
      <c r="AP73" s="227" t="str">
        <f t="shared" ca="1" si="80"/>
        <v/>
      </c>
      <c r="AQ73" s="227" t="str">
        <f t="shared" ca="1" si="80"/>
        <v/>
      </c>
      <c r="AR73" s="227" t="str">
        <f t="shared" ca="1" si="80"/>
        <v/>
      </c>
      <c r="AS73" s="227" t="str">
        <f t="shared" ca="1" si="81"/>
        <v/>
      </c>
      <c r="AT73" s="227" t="str">
        <f t="shared" ca="1" si="81"/>
        <v/>
      </c>
      <c r="AU73" s="227" t="str">
        <f t="shared" ca="1" si="81"/>
        <v/>
      </c>
      <c r="AV73" s="227" t="str">
        <f t="shared" ca="1" si="81"/>
        <v/>
      </c>
      <c r="AW73" s="227" t="str">
        <f t="shared" ca="1" si="81"/>
        <v/>
      </c>
      <c r="AX73" s="227" t="str">
        <f t="shared" ca="1" si="81"/>
        <v/>
      </c>
      <c r="AY73" s="227" t="str">
        <f t="shared" ca="1" si="81"/>
        <v/>
      </c>
      <c r="AZ73" s="227">
        <f t="shared" ca="1" si="81"/>
        <v>69341.500911857467</v>
      </c>
      <c r="BA73" s="227">
        <f t="shared" ca="1" si="81"/>
        <v>69341.500911857467</v>
      </c>
      <c r="BB73" s="227">
        <f t="shared" ca="1" si="81"/>
        <v>69341.500911857467</v>
      </c>
      <c r="BC73" s="227">
        <f t="shared" ca="1" si="82"/>
        <v>69341.500911857467</v>
      </c>
      <c r="BD73" s="227">
        <f t="shared" ca="1" si="82"/>
        <v>69341.500911857467</v>
      </c>
      <c r="BE73" s="227">
        <f t="shared" ca="1" si="82"/>
        <v>69341.500911857467</v>
      </c>
      <c r="BF73" s="227">
        <f t="shared" ca="1" si="82"/>
        <v>69341.500911857467</v>
      </c>
      <c r="BG73" s="227">
        <f t="shared" ca="1" si="82"/>
        <v>69341.500911857467</v>
      </c>
      <c r="BH73" s="227">
        <f t="shared" ca="1" si="82"/>
        <v>69341.500911857467</v>
      </c>
      <c r="BI73" s="227">
        <f t="shared" ca="1" si="82"/>
        <v>69341.500911857467</v>
      </c>
      <c r="BJ73" s="227">
        <f t="shared" ca="1" si="82"/>
        <v>69341.500911857467</v>
      </c>
      <c r="BK73" s="227" t="str">
        <f t="shared" ca="1" si="82"/>
        <v/>
      </c>
      <c r="BL73" s="285" t="str">
        <f t="shared" ca="1" si="82"/>
        <v/>
      </c>
      <c r="BM73" s="294"/>
    </row>
    <row r="74" spans="1:65" x14ac:dyDescent="0.25">
      <c r="A74" s="128"/>
      <c r="B74" s="297">
        <f t="shared" si="67"/>
        <v>2052</v>
      </c>
      <c r="C74" s="269"/>
      <c r="D74" s="227"/>
      <c r="E74" s="227"/>
      <c r="F74" s="227"/>
      <c r="G74" s="227"/>
      <c r="H74" s="227"/>
      <c r="I74" s="227"/>
      <c r="J74" s="227"/>
      <c r="K74" s="227"/>
      <c r="L74" s="227"/>
      <c r="M74" s="227"/>
      <c r="N74" s="227"/>
      <c r="O74" s="227" t="str">
        <f t="shared" ca="1" si="78"/>
        <v/>
      </c>
      <c r="P74" s="227" t="str">
        <f t="shared" ca="1" si="78"/>
        <v/>
      </c>
      <c r="Q74" s="227" t="str">
        <f t="shared" ca="1" si="78"/>
        <v/>
      </c>
      <c r="R74" s="227" t="str">
        <f t="shared" ca="1" si="78"/>
        <v/>
      </c>
      <c r="S74" s="227" t="str">
        <f t="shared" ca="1" si="78"/>
        <v/>
      </c>
      <c r="T74" s="227" t="str">
        <f t="shared" ca="1" si="78"/>
        <v/>
      </c>
      <c r="U74" s="227" t="str">
        <f t="shared" ca="1" si="78"/>
        <v/>
      </c>
      <c r="V74" s="227" t="str">
        <f t="shared" ca="1" si="78"/>
        <v/>
      </c>
      <c r="W74" s="227" t="str">
        <f t="shared" ca="1" si="78"/>
        <v/>
      </c>
      <c r="X74" s="227" t="str">
        <f t="shared" ca="1" si="78"/>
        <v/>
      </c>
      <c r="Y74" s="227" t="str">
        <f t="shared" ca="1" si="79"/>
        <v/>
      </c>
      <c r="Z74" s="227" t="str">
        <f t="shared" ca="1" si="79"/>
        <v/>
      </c>
      <c r="AA74" s="227" t="str">
        <f t="shared" ca="1" si="79"/>
        <v/>
      </c>
      <c r="AB74" s="227" t="str">
        <f t="shared" ca="1" si="79"/>
        <v/>
      </c>
      <c r="AC74" s="227" t="str">
        <f t="shared" ca="1" si="79"/>
        <v/>
      </c>
      <c r="AD74" s="227" t="str">
        <f t="shared" ca="1" si="79"/>
        <v/>
      </c>
      <c r="AE74" s="227" t="str">
        <f t="shared" ca="1" si="79"/>
        <v/>
      </c>
      <c r="AF74" s="227" t="str">
        <f t="shared" ca="1" si="79"/>
        <v/>
      </c>
      <c r="AG74" s="227" t="str">
        <f t="shared" ca="1" si="79"/>
        <v/>
      </c>
      <c r="AH74" s="227" t="str">
        <f t="shared" ca="1" si="79"/>
        <v/>
      </c>
      <c r="AI74" s="227" t="str">
        <f t="shared" ca="1" si="80"/>
        <v/>
      </c>
      <c r="AJ74" s="227" t="str">
        <f t="shared" ca="1" si="80"/>
        <v/>
      </c>
      <c r="AK74" s="227" t="str">
        <f t="shared" ca="1" si="80"/>
        <v/>
      </c>
      <c r="AL74" s="227" t="str">
        <f t="shared" ca="1" si="80"/>
        <v/>
      </c>
      <c r="AM74" s="227" t="str">
        <f t="shared" ca="1" si="80"/>
        <v/>
      </c>
      <c r="AN74" s="227" t="str">
        <f t="shared" ca="1" si="80"/>
        <v/>
      </c>
      <c r="AO74" s="227" t="str">
        <f t="shared" ca="1" si="80"/>
        <v/>
      </c>
      <c r="AP74" s="227" t="str">
        <f t="shared" ca="1" si="80"/>
        <v/>
      </c>
      <c r="AQ74" s="227" t="str">
        <f t="shared" ca="1" si="80"/>
        <v/>
      </c>
      <c r="AR74" s="227" t="str">
        <f t="shared" ca="1" si="80"/>
        <v/>
      </c>
      <c r="AS74" s="227" t="str">
        <f t="shared" ca="1" si="81"/>
        <v/>
      </c>
      <c r="AT74" s="227" t="str">
        <f t="shared" ca="1" si="81"/>
        <v/>
      </c>
      <c r="AU74" s="227" t="str">
        <f t="shared" ca="1" si="81"/>
        <v/>
      </c>
      <c r="AV74" s="227" t="str">
        <f t="shared" ca="1" si="81"/>
        <v/>
      </c>
      <c r="AW74" s="227" t="str">
        <f t="shared" ca="1" si="81"/>
        <v/>
      </c>
      <c r="AX74" s="227" t="str">
        <f t="shared" ca="1" si="81"/>
        <v/>
      </c>
      <c r="AY74" s="227" t="str">
        <f t="shared" ca="1" si="81"/>
        <v/>
      </c>
      <c r="AZ74" s="227" t="str">
        <f t="shared" ca="1" si="81"/>
        <v/>
      </c>
      <c r="BA74" s="227">
        <f t="shared" ca="1" si="81"/>
        <v>73955.520853164693</v>
      </c>
      <c r="BB74" s="227">
        <f t="shared" ca="1" si="81"/>
        <v>73955.520853164693</v>
      </c>
      <c r="BC74" s="227">
        <f t="shared" ca="1" si="82"/>
        <v>73955.520853164693</v>
      </c>
      <c r="BD74" s="227">
        <f t="shared" ca="1" si="82"/>
        <v>73955.520853164693</v>
      </c>
      <c r="BE74" s="227">
        <f t="shared" ca="1" si="82"/>
        <v>73955.520853164693</v>
      </c>
      <c r="BF74" s="227">
        <f t="shared" ca="1" si="82"/>
        <v>73955.520853164693</v>
      </c>
      <c r="BG74" s="227">
        <f t="shared" ca="1" si="82"/>
        <v>73955.520853164693</v>
      </c>
      <c r="BH74" s="227">
        <f t="shared" ca="1" si="82"/>
        <v>73955.520853164693</v>
      </c>
      <c r="BI74" s="227">
        <f t="shared" ca="1" si="82"/>
        <v>73955.520853164693</v>
      </c>
      <c r="BJ74" s="227">
        <f t="shared" ca="1" si="82"/>
        <v>73955.520853164693</v>
      </c>
      <c r="BK74" s="227">
        <f t="shared" ca="1" si="82"/>
        <v>73955.520853164693</v>
      </c>
      <c r="BL74" s="285" t="str">
        <f t="shared" ca="1" si="82"/>
        <v/>
      </c>
      <c r="BM74" s="294"/>
    </row>
    <row r="75" spans="1:65" x14ac:dyDescent="0.25">
      <c r="A75" s="128"/>
      <c r="B75" s="297">
        <f t="shared" si="67"/>
        <v>2053</v>
      </c>
      <c r="C75" s="269"/>
      <c r="D75" s="227"/>
      <c r="E75" s="227"/>
      <c r="F75" s="227"/>
      <c r="G75" s="227"/>
      <c r="H75" s="227"/>
      <c r="I75" s="227"/>
      <c r="J75" s="227"/>
      <c r="K75" s="227"/>
      <c r="L75" s="227"/>
      <c r="M75" s="227"/>
      <c r="N75" s="227"/>
      <c r="O75" s="227" t="str">
        <f t="shared" ca="1" si="78"/>
        <v/>
      </c>
      <c r="P75" s="227" t="str">
        <f t="shared" ca="1" si="78"/>
        <v/>
      </c>
      <c r="Q75" s="227" t="str">
        <f t="shared" ca="1" si="78"/>
        <v/>
      </c>
      <c r="R75" s="227" t="str">
        <f t="shared" ca="1" si="78"/>
        <v/>
      </c>
      <c r="S75" s="227" t="str">
        <f t="shared" ca="1" si="78"/>
        <v/>
      </c>
      <c r="T75" s="227" t="str">
        <f t="shared" ca="1" si="78"/>
        <v/>
      </c>
      <c r="U75" s="227" t="str">
        <f t="shared" ca="1" si="78"/>
        <v/>
      </c>
      <c r="V75" s="227" t="str">
        <f t="shared" ca="1" si="78"/>
        <v/>
      </c>
      <c r="W75" s="227" t="str">
        <f t="shared" ca="1" si="78"/>
        <v/>
      </c>
      <c r="X75" s="227" t="str">
        <f t="shared" ca="1" si="78"/>
        <v/>
      </c>
      <c r="Y75" s="227" t="str">
        <f t="shared" ca="1" si="79"/>
        <v/>
      </c>
      <c r="Z75" s="227" t="str">
        <f t="shared" ca="1" si="79"/>
        <v/>
      </c>
      <c r="AA75" s="227" t="str">
        <f t="shared" ca="1" si="79"/>
        <v/>
      </c>
      <c r="AB75" s="227" t="str">
        <f t="shared" ca="1" si="79"/>
        <v/>
      </c>
      <c r="AC75" s="227" t="str">
        <f t="shared" ca="1" si="79"/>
        <v/>
      </c>
      <c r="AD75" s="227" t="str">
        <f t="shared" ca="1" si="79"/>
        <v/>
      </c>
      <c r="AE75" s="227" t="str">
        <f t="shared" ca="1" si="79"/>
        <v/>
      </c>
      <c r="AF75" s="227" t="str">
        <f t="shared" ca="1" si="79"/>
        <v/>
      </c>
      <c r="AG75" s="227" t="str">
        <f t="shared" ca="1" si="79"/>
        <v/>
      </c>
      <c r="AH75" s="227" t="str">
        <f t="shared" ca="1" si="79"/>
        <v/>
      </c>
      <c r="AI75" s="227" t="str">
        <f t="shared" ca="1" si="80"/>
        <v/>
      </c>
      <c r="AJ75" s="227" t="str">
        <f t="shared" ca="1" si="80"/>
        <v/>
      </c>
      <c r="AK75" s="227" t="str">
        <f t="shared" ca="1" si="80"/>
        <v/>
      </c>
      <c r="AL75" s="227" t="str">
        <f t="shared" ca="1" si="80"/>
        <v/>
      </c>
      <c r="AM75" s="227" t="str">
        <f t="shared" ca="1" si="80"/>
        <v/>
      </c>
      <c r="AN75" s="227" t="str">
        <f t="shared" ca="1" si="80"/>
        <v/>
      </c>
      <c r="AO75" s="227" t="str">
        <f t="shared" ca="1" si="80"/>
        <v/>
      </c>
      <c r="AP75" s="227" t="str">
        <f t="shared" ca="1" si="80"/>
        <v/>
      </c>
      <c r="AQ75" s="227" t="str">
        <f t="shared" ca="1" si="80"/>
        <v/>
      </c>
      <c r="AR75" s="227" t="str">
        <f t="shared" ca="1" si="80"/>
        <v/>
      </c>
      <c r="AS75" s="227" t="str">
        <f t="shared" ca="1" si="81"/>
        <v/>
      </c>
      <c r="AT75" s="227" t="str">
        <f t="shared" ca="1" si="81"/>
        <v/>
      </c>
      <c r="AU75" s="227" t="str">
        <f t="shared" ca="1" si="81"/>
        <v/>
      </c>
      <c r="AV75" s="227" t="str">
        <f t="shared" ca="1" si="81"/>
        <v/>
      </c>
      <c r="AW75" s="227" t="str">
        <f t="shared" ca="1" si="81"/>
        <v/>
      </c>
      <c r="AX75" s="227" t="str">
        <f t="shared" ca="1" si="81"/>
        <v/>
      </c>
      <c r="AY75" s="227" t="str">
        <f t="shared" ca="1" si="81"/>
        <v/>
      </c>
      <c r="AZ75" s="227" t="str">
        <f t="shared" ca="1" si="81"/>
        <v/>
      </c>
      <c r="BA75" s="227" t="str">
        <f t="shared" ca="1" si="81"/>
        <v/>
      </c>
      <c r="BB75" s="227">
        <f t="shared" ca="1" si="81"/>
        <v>81145.933604988095</v>
      </c>
      <c r="BC75" s="227">
        <f t="shared" ca="1" si="82"/>
        <v>81145.933604988095</v>
      </c>
      <c r="BD75" s="227">
        <f t="shared" ca="1" si="82"/>
        <v>81145.933604988095</v>
      </c>
      <c r="BE75" s="227">
        <f t="shared" ca="1" si="82"/>
        <v>81145.933604988095</v>
      </c>
      <c r="BF75" s="227">
        <f t="shared" ca="1" si="82"/>
        <v>81145.933604988095</v>
      </c>
      <c r="BG75" s="227">
        <f t="shared" ca="1" si="82"/>
        <v>81145.933604988095</v>
      </c>
      <c r="BH75" s="227">
        <f t="shared" ca="1" si="82"/>
        <v>81145.933604988095</v>
      </c>
      <c r="BI75" s="227">
        <f t="shared" ca="1" si="82"/>
        <v>81145.933604988095</v>
      </c>
      <c r="BJ75" s="227">
        <f t="shared" ca="1" si="82"/>
        <v>81145.933604988095</v>
      </c>
      <c r="BK75" s="227">
        <f t="shared" ca="1" si="82"/>
        <v>81145.933604988095</v>
      </c>
      <c r="BL75" s="285">
        <f t="shared" ca="1" si="82"/>
        <v>81145.933604988095</v>
      </c>
      <c r="BM75" s="294"/>
    </row>
    <row r="76" spans="1:65" x14ac:dyDescent="0.25">
      <c r="A76" s="128"/>
      <c r="B76" s="297">
        <f t="shared" si="67"/>
        <v>2054</v>
      </c>
      <c r="C76" s="269"/>
      <c r="D76" s="227"/>
      <c r="E76" s="227"/>
      <c r="F76" s="227"/>
      <c r="G76" s="227"/>
      <c r="H76" s="227"/>
      <c r="I76" s="227"/>
      <c r="J76" s="227"/>
      <c r="K76" s="227"/>
      <c r="L76" s="227"/>
      <c r="M76" s="227"/>
      <c r="N76" s="227"/>
      <c r="O76" s="227" t="str">
        <f t="shared" ref="O76:X85" ca="1" si="83">IF(AND(O$23-$B76&gt;=0,O$23-$B76&lt;=10),OFFSET(O76,-10,-10)+HLOOKUP($B76,$N$3:$BL$4,2,FALSE),"")</f>
        <v/>
      </c>
      <c r="P76" s="227" t="str">
        <f t="shared" ca="1" si="83"/>
        <v/>
      </c>
      <c r="Q76" s="227" t="str">
        <f t="shared" ca="1" si="83"/>
        <v/>
      </c>
      <c r="R76" s="227" t="str">
        <f t="shared" ca="1" si="83"/>
        <v/>
      </c>
      <c r="S76" s="227" t="str">
        <f t="shared" ca="1" si="83"/>
        <v/>
      </c>
      <c r="T76" s="227" t="str">
        <f t="shared" ca="1" si="83"/>
        <v/>
      </c>
      <c r="U76" s="227" t="str">
        <f t="shared" ca="1" si="83"/>
        <v/>
      </c>
      <c r="V76" s="227" t="str">
        <f t="shared" ca="1" si="83"/>
        <v/>
      </c>
      <c r="W76" s="227" t="str">
        <f t="shared" ca="1" si="83"/>
        <v/>
      </c>
      <c r="X76" s="227" t="str">
        <f t="shared" ca="1" si="83"/>
        <v/>
      </c>
      <c r="Y76" s="227" t="str">
        <f t="shared" ref="Y76:AH85" ca="1" si="84">IF(AND(Y$23-$B76&gt;=0,Y$23-$B76&lt;=10),OFFSET(Y76,-10,-10)+HLOOKUP($B76,$N$3:$BL$4,2,FALSE),"")</f>
        <v/>
      </c>
      <c r="Z76" s="227" t="str">
        <f t="shared" ca="1" si="84"/>
        <v/>
      </c>
      <c r="AA76" s="227" t="str">
        <f t="shared" ca="1" si="84"/>
        <v/>
      </c>
      <c r="AB76" s="227" t="str">
        <f t="shared" ca="1" si="84"/>
        <v/>
      </c>
      <c r="AC76" s="227" t="str">
        <f t="shared" ca="1" si="84"/>
        <v/>
      </c>
      <c r="AD76" s="227" t="str">
        <f t="shared" ca="1" si="84"/>
        <v/>
      </c>
      <c r="AE76" s="227" t="str">
        <f t="shared" ca="1" si="84"/>
        <v/>
      </c>
      <c r="AF76" s="227" t="str">
        <f t="shared" ca="1" si="84"/>
        <v/>
      </c>
      <c r="AG76" s="227" t="str">
        <f t="shared" ca="1" si="84"/>
        <v/>
      </c>
      <c r="AH76" s="227" t="str">
        <f t="shared" ca="1" si="84"/>
        <v/>
      </c>
      <c r="AI76" s="227" t="str">
        <f t="shared" ref="AI76:AR85" ca="1" si="85">IF(AND(AI$23-$B76&gt;=0,AI$23-$B76&lt;=10),OFFSET(AI76,-10,-10)+HLOOKUP($B76,$N$3:$BL$4,2,FALSE),"")</f>
        <v/>
      </c>
      <c r="AJ76" s="227" t="str">
        <f t="shared" ca="1" si="85"/>
        <v/>
      </c>
      <c r="AK76" s="227" t="str">
        <f t="shared" ca="1" si="85"/>
        <v/>
      </c>
      <c r="AL76" s="227" t="str">
        <f t="shared" ca="1" si="85"/>
        <v/>
      </c>
      <c r="AM76" s="227" t="str">
        <f t="shared" ca="1" si="85"/>
        <v/>
      </c>
      <c r="AN76" s="227" t="str">
        <f t="shared" ca="1" si="85"/>
        <v/>
      </c>
      <c r="AO76" s="227" t="str">
        <f t="shared" ca="1" si="85"/>
        <v/>
      </c>
      <c r="AP76" s="227" t="str">
        <f t="shared" ca="1" si="85"/>
        <v/>
      </c>
      <c r="AQ76" s="227" t="str">
        <f t="shared" ca="1" si="85"/>
        <v/>
      </c>
      <c r="AR76" s="227" t="str">
        <f t="shared" ca="1" si="85"/>
        <v/>
      </c>
      <c r="AS76" s="227" t="str">
        <f t="shared" ref="AS76:BB85" ca="1" si="86">IF(AND(AS$23-$B76&gt;=0,AS$23-$B76&lt;=10),OFFSET(AS76,-10,-10)+HLOOKUP($B76,$N$3:$BL$4,2,FALSE),"")</f>
        <v/>
      </c>
      <c r="AT76" s="227" t="str">
        <f t="shared" ca="1" si="86"/>
        <v/>
      </c>
      <c r="AU76" s="227" t="str">
        <f t="shared" ca="1" si="86"/>
        <v/>
      </c>
      <c r="AV76" s="227" t="str">
        <f t="shared" ca="1" si="86"/>
        <v/>
      </c>
      <c r="AW76" s="227" t="str">
        <f t="shared" ca="1" si="86"/>
        <v/>
      </c>
      <c r="AX76" s="227" t="str">
        <f t="shared" ca="1" si="86"/>
        <v/>
      </c>
      <c r="AY76" s="227" t="str">
        <f t="shared" ca="1" si="86"/>
        <v/>
      </c>
      <c r="AZ76" s="227" t="str">
        <f t="shared" ca="1" si="86"/>
        <v/>
      </c>
      <c r="BA76" s="227" t="str">
        <f t="shared" ca="1" si="86"/>
        <v/>
      </c>
      <c r="BB76" s="227" t="str">
        <f t="shared" ca="1" si="86"/>
        <v/>
      </c>
      <c r="BC76" s="227">
        <f t="shared" ref="BC76:BL85" ca="1" si="87">IF(AND(BC$23-$B76&gt;=0,BC$23-$B76&lt;=10),OFFSET(BC76,-10,-10)+HLOOKUP($B76,$N$3:$BL$4,2,FALSE),"")</f>
        <v>86062.649308630076</v>
      </c>
      <c r="BD76" s="227">
        <f t="shared" ca="1" si="87"/>
        <v>86062.649308630076</v>
      </c>
      <c r="BE76" s="227">
        <f t="shared" ca="1" si="87"/>
        <v>86062.649308630076</v>
      </c>
      <c r="BF76" s="227">
        <f t="shared" ca="1" si="87"/>
        <v>86062.649308630076</v>
      </c>
      <c r="BG76" s="227">
        <f t="shared" ca="1" si="87"/>
        <v>86062.649308630076</v>
      </c>
      <c r="BH76" s="227">
        <f t="shared" ca="1" si="87"/>
        <v>86062.649308630076</v>
      </c>
      <c r="BI76" s="227">
        <f t="shared" ca="1" si="87"/>
        <v>86062.649308630076</v>
      </c>
      <c r="BJ76" s="227">
        <f t="shared" ca="1" si="87"/>
        <v>86062.649308630076</v>
      </c>
      <c r="BK76" s="227">
        <f t="shared" ca="1" si="87"/>
        <v>86062.649308630076</v>
      </c>
      <c r="BL76" s="285">
        <f t="shared" ca="1" si="87"/>
        <v>86062.649308630076</v>
      </c>
      <c r="BM76" s="294"/>
    </row>
    <row r="77" spans="1:65" x14ac:dyDescent="0.25">
      <c r="A77" s="128"/>
      <c r="B77" s="297">
        <f t="shared" si="67"/>
        <v>2055</v>
      </c>
      <c r="C77" s="269"/>
      <c r="D77" s="227"/>
      <c r="E77" s="227"/>
      <c r="F77" s="227"/>
      <c r="G77" s="227"/>
      <c r="H77" s="227"/>
      <c r="I77" s="227"/>
      <c r="J77" s="227"/>
      <c r="K77" s="227"/>
      <c r="L77" s="227"/>
      <c r="M77" s="227"/>
      <c r="N77" s="227"/>
      <c r="O77" s="227" t="str">
        <f t="shared" ca="1" si="83"/>
        <v/>
      </c>
      <c r="P77" s="227" t="str">
        <f t="shared" ca="1" si="83"/>
        <v/>
      </c>
      <c r="Q77" s="227" t="str">
        <f t="shared" ca="1" si="83"/>
        <v/>
      </c>
      <c r="R77" s="227" t="str">
        <f t="shared" ca="1" si="83"/>
        <v/>
      </c>
      <c r="S77" s="227" t="str">
        <f t="shared" ca="1" si="83"/>
        <v/>
      </c>
      <c r="T77" s="227" t="str">
        <f t="shared" ca="1" si="83"/>
        <v/>
      </c>
      <c r="U77" s="227" t="str">
        <f t="shared" ca="1" si="83"/>
        <v/>
      </c>
      <c r="V77" s="227" t="str">
        <f t="shared" ca="1" si="83"/>
        <v/>
      </c>
      <c r="W77" s="227" t="str">
        <f t="shared" ca="1" si="83"/>
        <v/>
      </c>
      <c r="X77" s="227" t="str">
        <f t="shared" ca="1" si="83"/>
        <v/>
      </c>
      <c r="Y77" s="227" t="str">
        <f t="shared" ca="1" si="84"/>
        <v/>
      </c>
      <c r="Z77" s="227" t="str">
        <f t="shared" ca="1" si="84"/>
        <v/>
      </c>
      <c r="AA77" s="227" t="str">
        <f t="shared" ca="1" si="84"/>
        <v/>
      </c>
      <c r="AB77" s="227" t="str">
        <f t="shared" ca="1" si="84"/>
        <v/>
      </c>
      <c r="AC77" s="227" t="str">
        <f t="shared" ca="1" si="84"/>
        <v/>
      </c>
      <c r="AD77" s="227" t="str">
        <f t="shared" ca="1" si="84"/>
        <v/>
      </c>
      <c r="AE77" s="227" t="str">
        <f t="shared" ca="1" si="84"/>
        <v/>
      </c>
      <c r="AF77" s="227" t="str">
        <f t="shared" ca="1" si="84"/>
        <v/>
      </c>
      <c r="AG77" s="227" t="str">
        <f t="shared" ca="1" si="84"/>
        <v/>
      </c>
      <c r="AH77" s="227" t="str">
        <f t="shared" ca="1" si="84"/>
        <v/>
      </c>
      <c r="AI77" s="227" t="str">
        <f t="shared" ca="1" si="85"/>
        <v/>
      </c>
      <c r="AJ77" s="227" t="str">
        <f t="shared" ca="1" si="85"/>
        <v/>
      </c>
      <c r="AK77" s="227" t="str">
        <f t="shared" ca="1" si="85"/>
        <v/>
      </c>
      <c r="AL77" s="227" t="str">
        <f t="shared" ca="1" si="85"/>
        <v/>
      </c>
      <c r="AM77" s="227" t="str">
        <f t="shared" ca="1" si="85"/>
        <v/>
      </c>
      <c r="AN77" s="227" t="str">
        <f t="shared" ca="1" si="85"/>
        <v/>
      </c>
      <c r="AO77" s="227" t="str">
        <f t="shared" ca="1" si="85"/>
        <v/>
      </c>
      <c r="AP77" s="227" t="str">
        <f t="shared" ca="1" si="85"/>
        <v/>
      </c>
      <c r="AQ77" s="227" t="str">
        <f t="shared" ca="1" si="85"/>
        <v/>
      </c>
      <c r="AR77" s="227" t="str">
        <f t="shared" ca="1" si="85"/>
        <v/>
      </c>
      <c r="AS77" s="227" t="str">
        <f t="shared" ca="1" si="86"/>
        <v/>
      </c>
      <c r="AT77" s="227" t="str">
        <f t="shared" ca="1" si="86"/>
        <v/>
      </c>
      <c r="AU77" s="227" t="str">
        <f t="shared" ca="1" si="86"/>
        <v/>
      </c>
      <c r="AV77" s="227" t="str">
        <f t="shared" ca="1" si="86"/>
        <v/>
      </c>
      <c r="AW77" s="227" t="str">
        <f t="shared" ca="1" si="86"/>
        <v/>
      </c>
      <c r="AX77" s="227" t="str">
        <f t="shared" ca="1" si="86"/>
        <v/>
      </c>
      <c r="AY77" s="227" t="str">
        <f t="shared" ca="1" si="86"/>
        <v/>
      </c>
      <c r="AZ77" s="227" t="str">
        <f t="shared" ca="1" si="86"/>
        <v/>
      </c>
      <c r="BA77" s="227" t="str">
        <f t="shared" ca="1" si="86"/>
        <v/>
      </c>
      <c r="BB77" s="227" t="str">
        <f t="shared" ca="1" si="86"/>
        <v/>
      </c>
      <c r="BC77" s="227" t="str">
        <f t="shared" ca="1" si="87"/>
        <v/>
      </c>
      <c r="BD77" s="227">
        <f t="shared" ca="1" si="87"/>
        <v>92173.24120007304</v>
      </c>
      <c r="BE77" s="227">
        <f t="shared" ca="1" si="87"/>
        <v>92173.24120007304</v>
      </c>
      <c r="BF77" s="227">
        <f t="shared" ca="1" si="87"/>
        <v>92173.24120007304</v>
      </c>
      <c r="BG77" s="227">
        <f t="shared" ca="1" si="87"/>
        <v>92173.24120007304</v>
      </c>
      <c r="BH77" s="227">
        <f t="shared" ca="1" si="87"/>
        <v>92173.24120007304</v>
      </c>
      <c r="BI77" s="227">
        <f t="shared" ca="1" si="87"/>
        <v>92173.24120007304</v>
      </c>
      <c r="BJ77" s="227">
        <f t="shared" ca="1" si="87"/>
        <v>92173.24120007304</v>
      </c>
      <c r="BK77" s="227">
        <f t="shared" ca="1" si="87"/>
        <v>92173.24120007304</v>
      </c>
      <c r="BL77" s="285">
        <f t="shared" ca="1" si="87"/>
        <v>92173.24120007304</v>
      </c>
      <c r="BM77" s="294"/>
    </row>
    <row r="78" spans="1:65" x14ac:dyDescent="0.25">
      <c r="A78" s="128"/>
      <c r="B78" s="297">
        <f t="shared" si="67"/>
        <v>2056</v>
      </c>
      <c r="C78" s="269"/>
      <c r="D78" s="227"/>
      <c r="E78" s="227"/>
      <c r="F78" s="227"/>
      <c r="G78" s="227"/>
      <c r="H78" s="227"/>
      <c r="I78" s="227"/>
      <c r="J78" s="227"/>
      <c r="K78" s="227"/>
      <c r="L78" s="227"/>
      <c r="M78" s="227"/>
      <c r="N78" s="227"/>
      <c r="O78" s="227" t="str">
        <f t="shared" ca="1" si="83"/>
        <v/>
      </c>
      <c r="P78" s="227" t="str">
        <f t="shared" ca="1" si="83"/>
        <v/>
      </c>
      <c r="Q78" s="227" t="str">
        <f t="shared" ca="1" si="83"/>
        <v/>
      </c>
      <c r="R78" s="227" t="str">
        <f t="shared" ca="1" si="83"/>
        <v/>
      </c>
      <c r="S78" s="227" t="str">
        <f t="shared" ca="1" si="83"/>
        <v/>
      </c>
      <c r="T78" s="227" t="str">
        <f t="shared" ca="1" si="83"/>
        <v/>
      </c>
      <c r="U78" s="227" t="str">
        <f t="shared" ca="1" si="83"/>
        <v/>
      </c>
      <c r="V78" s="227" t="str">
        <f t="shared" ca="1" si="83"/>
        <v/>
      </c>
      <c r="W78" s="227" t="str">
        <f t="shared" ca="1" si="83"/>
        <v/>
      </c>
      <c r="X78" s="227" t="str">
        <f t="shared" ca="1" si="83"/>
        <v/>
      </c>
      <c r="Y78" s="227" t="str">
        <f t="shared" ca="1" si="84"/>
        <v/>
      </c>
      <c r="Z78" s="227" t="str">
        <f t="shared" ca="1" si="84"/>
        <v/>
      </c>
      <c r="AA78" s="227" t="str">
        <f t="shared" ca="1" si="84"/>
        <v/>
      </c>
      <c r="AB78" s="227" t="str">
        <f t="shared" ca="1" si="84"/>
        <v/>
      </c>
      <c r="AC78" s="227" t="str">
        <f t="shared" ca="1" si="84"/>
        <v/>
      </c>
      <c r="AD78" s="227" t="str">
        <f t="shared" ca="1" si="84"/>
        <v/>
      </c>
      <c r="AE78" s="227" t="str">
        <f t="shared" ca="1" si="84"/>
        <v/>
      </c>
      <c r="AF78" s="227" t="str">
        <f t="shared" ca="1" si="84"/>
        <v/>
      </c>
      <c r="AG78" s="227" t="str">
        <f t="shared" ca="1" si="84"/>
        <v/>
      </c>
      <c r="AH78" s="227" t="str">
        <f t="shared" ca="1" si="84"/>
        <v/>
      </c>
      <c r="AI78" s="227" t="str">
        <f t="shared" ca="1" si="85"/>
        <v/>
      </c>
      <c r="AJ78" s="227" t="str">
        <f t="shared" ca="1" si="85"/>
        <v/>
      </c>
      <c r="AK78" s="227" t="str">
        <f t="shared" ca="1" si="85"/>
        <v/>
      </c>
      <c r="AL78" s="227" t="str">
        <f t="shared" ca="1" si="85"/>
        <v/>
      </c>
      <c r="AM78" s="227" t="str">
        <f t="shared" ca="1" si="85"/>
        <v/>
      </c>
      <c r="AN78" s="227" t="str">
        <f t="shared" ca="1" si="85"/>
        <v/>
      </c>
      <c r="AO78" s="227" t="str">
        <f t="shared" ca="1" si="85"/>
        <v/>
      </c>
      <c r="AP78" s="227" t="str">
        <f t="shared" ca="1" si="85"/>
        <v/>
      </c>
      <c r="AQ78" s="227" t="str">
        <f t="shared" ca="1" si="85"/>
        <v/>
      </c>
      <c r="AR78" s="227" t="str">
        <f t="shared" ca="1" si="85"/>
        <v/>
      </c>
      <c r="AS78" s="227" t="str">
        <f t="shared" ca="1" si="86"/>
        <v/>
      </c>
      <c r="AT78" s="227" t="str">
        <f t="shared" ca="1" si="86"/>
        <v/>
      </c>
      <c r="AU78" s="227" t="str">
        <f t="shared" ca="1" si="86"/>
        <v/>
      </c>
      <c r="AV78" s="227" t="str">
        <f t="shared" ca="1" si="86"/>
        <v/>
      </c>
      <c r="AW78" s="227" t="str">
        <f t="shared" ca="1" si="86"/>
        <v/>
      </c>
      <c r="AX78" s="227" t="str">
        <f t="shared" ca="1" si="86"/>
        <v/>
      </c>
      <c r="AY78" s="227" t="str">
        <f t="shared" ca="1" si="86"/>
        <v/>
      </c>
      <c r="AZ78" s="227" t="str">
        <f t="shared" ca="1" si="86"/>
        <v/>
      </c>
      <c r="BA78" s="227" t="str">
        <f t="shared" ca="1" si="86"/>
        <v/>
      </c>
      <c r="BB78" s="227" t="str">
        <f t="shared" ca="1" si="86"/>
        <v/>
      </c>
      <c r="BC78" s="227" t="str">
        <f t="shared" ca="1" si="87"/>
        <v/>
      </c>
      <c r="BD78" s="227" t="str">
        <f t="shared" ca="1" si="87"/>
        <v/>
      </c>
      <c r="BE78" s="227">
        <f t="shared" ca="1" si="87"/>
        <v>98184.532629548165</v>
      </c>
      <c r="BF78" s="227">
        <f t="shared" ca="1" si="87"/>
        <v>98184.532629548165</v>
      </c>
      <c r="BG78" s="227">
        <f t="shared" ca="1" si="87"/>
        <v>98184.532629548165</v>
      </c>
      <c r="BH78" s="227">
        <f t="shared" ca="1" si="87"/>
        <v>98184.532629548165</v>
      </c>
      <c r="BI78" s="227">
        <f t="shared" ca="1" si="87"/>
        <v>98184.532629548165</v>
      </c>
      <c r="BJ78" s="227">
        <f t="shared" ca="1" si="87"/>
        <v>98184.532629548165</v>
      </c>
      <c r="BK78" s="227">
        <f t="shared" ca="1" si="87"/>
        <v>98184.532629548165</v>
      </c>
      <c r="BL78" s="285">
        <f t="shared" ca="1" si="87"/>
        <v>98184.532629548165</v>
      </c>
      <c r="BM78" s="294"/>
    </row>
    <row r="79" spans="1:65" x14ac:dyDescent="0.25">
      <c r="A79" s="128"/>
      <c r="B79" s="297">
        <f t="shared" si="67"/>
        <v>2057</v>
      </c>
      <c r="C79" s="269"/>
      <c r="D79" s="227"/>
      <c r="E79" s="227"/>
      <c r="F79" s="227"/>
      <c r="G79" s="227"/>
      <c r="H79" s="227"/>
      <c r="I79" s="227"/>
      <c r="J79" s="227"/>
      <c r="K79" s="227"/>
      <c r="L79" s="227"/>
      <c r="M79" s="227"/>
      <c r="N79" s="227"/>
      <c r="O79" s="227" t="str">
        <f t="shared" ca="1" si="83"/>
        <v/>
      </c>
      <c r="P79" s="227" t="str">
        <f t="shared" ca="1" si="83"/>
        <v/>
      </c>
      <c r="Q79" s="227" t="str">
        <f t="shared" ca="1" si="83"/>
        <v/>
      </c>
      <c r="R79" s="227" t="str">
        <f t="shared" ca="1" si="83"/>
        <v/>
      </c>
      <c r="S79" s="227" t="str">
        <f t="shared" ca="1" si="83"/>
        <v/>
      </c>
      <c r="T79" s="227" t="str">
        <f t="shared" ca="1" si="83"/>
        <v/>
      </c>
      <c r="U79" s="227" t="str">
        <f t="shared" ca="1" si="83"/>
        <v/>
      </c>
      <c r="V79" s="227" t="str">
        <f t="shared" ca="1" si="83"/>
        <v/>
      </c>
      <c r="W79" s="227" t="str">
        <f t="shared" ca="1" si="83"/>
        <v/>
      </c>
      <c r="X79" s="227" t="str">
        <f t="shared" ca="1" si="83"/>
        <v/>
      </c>
      <c r="Y79" s="227" t="str">
        <f t="shared" ca="1" si="84"/>
        <v/>
      </c>
      <c r="Z79" s="227" t="str">
        <f t="shared" ca="1" si="84"/>
        <v/>
      </c>
      <c r="AA79" s="227" t="str">
        <f t="shared" ca="1" si="84"/>
        <v/>
      </c>
      <c r="AB79" s="227" t="str">
        <f t="shared" ca="1" si="84"/>
        <v/>
      </c>
      <c r="AC79" s="227" t="str">
        <f t="shared" ca="1" si="84"/>
        <v/>
      </c>
      <c r="AD79" s="227" t="str">
        <f t="shared" ca="1" si="84"/>
        <v/>
      </c>
      <c r="AE79" s="227" t="str">
        <f t="shared" ca="1" si="84"/>
        <v/>
      </c>
      <c r="AF79" s="227" t="str">
        <f t="shared" ca="1" si="84"/>
        <v/>
      </c>
      <c r="AG79" s="227" t="str">
        <f t="shared" ca="1" si="84"/>
        <v/>
      </c>
      <c r="AH79" s="227" t="str">
        <f t="shared" ca="1" si="84"/>
        <v/>
      </c>
      <c r="AI79" s="227" t="str">
        <f t="shared" ca="1" si="85"/>
        <v/>
      </c>
      <c r="AJ79" s="227" t="str">
        <f t="shared" ca="1" si="85"/>
        <v/>
      </c>
      <c r="AK79" s="227" t="str">
        <f t="shared" ca="1" si="85"/>
        <v/>
      </c>
      <c r="AL79" s="227" t="str">
        <f t="shared" ca="1" si="85"/>
        <v/>
      </c>
      <c r="AM79" s="227" t="str">
        <f t="shared" ca="1" si="85"/>
        <v/>
      </c>
      <c r="AN79" s="227" t="str">
        <f t="shared" ca="1" si="85"/>
        <v/>
      </c>
      <c r="AO79" s="227" t="str">
        <f t="shared" ca="1" si="85"/>
        <v/>
      </c>
      <c r="AP79" s="227" t="str">
        <f t="shared" ca="1" si="85"/>
        <v/>
      </c>
      <c r="AQ79" s="227" t="str">
        <f t="shared" ca="1" si="85"/>
        <v/>
      </c>
      <c r="AR79" s="227" t="str">
        <f t="shared" ca="1" si="85"/>
        <v/>
      </c>
      <c r="AS79" s="227" t="str">
        <f t="shared" ca="1" si="86"/>
        <v/>
      </c>
      <c r="AT79" s="227" t="str">
        <f t="shared" ca="1" si="86"/>
        <v/>
      </c>
      <c r="AU79" s="227" t="str">
        <f t="shared" ca="1" si="86"/>
        <v/>
      </c>
      <c r="AV79" s="227" t="str">
        <f t="shared" ca="1" si="86"/>
        <v/>
      </c>
      <c r="AW79" s="227" t="str">
        <f t="shared" ca="1" si="86"/>
        <v/>
      </c>
      <c r="AX79" s="227" t="str">
        <f t="shared" ca="1" si="86"/>
        <v/>
      </c>
      <c r="AY79" s="227" t="str">
        <f t="shared" ca="1" si="86"/>
        <v/>
      </c>
      <c r="AZ79" s="227" t="str">
        <f t="shared" ca="1" si="86"/>
        <v/>
      </c>
      <c r="BA79" s="227" t="str">
        <f t="shared" ca="1" si="86"/>
        <v/>
      </c>
      <c r="BB79" s="227" t="str">
        <f t="shared" ca="1" si="86"/>
        <v/>
      </c>
      <c r="BC79" s="227" t="str">
        <f t="shared" ca="1" si="87"/>
        <v/>
      </c>
      <c r="BD79" s="227" t="str">
        <f t="shared" ca="1" si="87"/>
        <v/>
      </c>
      <c r="BE79" s="227" t="str">
        <f t="shared" ca="1" si="87"/>
        <v/>
      </c>
      <c r="BF79" s="227">
        <f t="shared" ca="1" si="87"/>
        <v>104710.86196389438</v>
      </c>
      <c r="BG79" s="227">
        <f t="shared" ca="1" si="87"/>
        <v>104710.86196389438</v>
      </c>
      <c r="BH79" s="227">
        <f t="shared" ca="1" si="87"/>
        <v>104710.86196389438</v>
      </c>
      <c r="BI79" s="227">
        <f t="shared" ca="1" si="87"/>
        <v>104710.86196389438</v>
      </c>
      <c r="BJ79" s="227">
        <f t="shared" ca="1" si="87"/>
        <v>104710.86196389438</v>
      </c>
      <c r="BK79" s="227">
        <f t="shared" ca="1" si="87"/>
        <v>104710.86196389438</v>
      </c>
      <c r="BL79" s="285">
        <f t="shared" ca="1" si="87"/>
        <v>104710.86196389438</v>
      </c>
      <c r="BM79" s="294"/>
    </row>
    <row r="80" spans="1:65" x14ac:dyDescent="0.25">
      <c r="A80" s="128"/>
      <c r="B80" s="297">
        <f t="shared" si="67"/>
        <v>2058</v>
      </c>
      <c r="C80" s="269"/>
      <c r="D80" s="227"/>
      <c r="E80" s="227"/>
      <c r="F80" s="227"/>
      <c r="G80" s="227"/>
      <c r="H80" s="227"/>
      <c r="I80" s="227"/>
      <c r="J80" s="227"/>
      <c r="K80" s="227"/>
      <c r="L80" s="227"/>
      <c r="M80" s="227"/>
      <c r="N80" s="227"/>
      <c r="O80" s="227" t="str">
        <f t="shared" ca="1" si="83"/>
        <v/>
      </c>
      <c r="P80" s="227" t="str">
        <f t="shared" ca="1" si="83"/>
        <v/>
      </c>
      <c r="Q80" s="227" t="str">
        <f t="shared" ca="1" si="83"/>
        <v/>
      </c>
      <c r="R80" s="227" t="str">
        <f t="shared" ca="1" si="83"/>
        <v/>
      </c>
      <c r="S80" s="227" t="str">
        <f t="shared" ca="1" si="83"/>
        <v/>
      </c>
      <c r="T80" s="227" t="str">
        <f t="shared" ca="1" si="83"/>
        <v/>
      </c>
      <c r="U80" s="227" t="str">
        <f t="shared" ca="1" si="83"/>
        <v/>
      </c>
      <c r="V80" s="227" t="str">
        <f t="shared" ca="1" si="83"/>
        <v/>
      </c>
      <c r="W80" s="227" t="str">
        <f t="shared" ca="1" si="83"/>
        <v/>
      </c>
      <c r="X80" s="227" t="str">
        <f t="shared" ca="1" si="83"/>
        <v/>
      </c>
      <c r="Y80" s="227" t="str">
        <f t="shared" ca="1" si="84"/>
        <v/>
      </c>
      <c r="Z80" s="227" t="str">
        <f t="shared" ca="1" si="84"/>
        <v/>
      </c>
      <c r="AA80" s="227" t="str">
        <f t="shared" ca="1" si="84"/>
        <v/>
      </c>
      <c r="AB80" s="227" t="str">
        <f t="shared" ca="1" si="84"/>
        <v/>
      </c>
      <c r="AC80" s="227" t="str">
        <f t="shared" ca="1" si="84"/>
        <v/>
      </c>
      <c r="AD80" s="227" t="str">
        <f t="shared" ca="1" si="84"/>
        <v/>
      </c>
      <c r="AE80" s="227" t="str">
        <f t="shared" ca="1" si="84"/>
        <v/>
      </c>
      <c r="AF80" s="227" t="str">
        <f t="shared" ca="1" si="84"/>
        <v/>
      </c>
      <c r="AG80" s="227" t="str">
        <f t="shared" ca="1" si="84"/>
        <v/>
      </c>
      <c r="AH80" s="227" t="str">
        <f t="shared" ca="1" si="84"/>
        <v/>
      </c>
      <c r="AI80" s="227" t="str">
        <f t="shared" ca="1" si="85"/>
        <v/>
      </c>
      <c r="AJ80" s="227" t="str">
        <f t="shared" ca="1" si="85"/>
        <v/>
      </c>
      <c r="AK80" s="227" t="str">
        <f t="shared" ca="1" si="85"/>
        <v/>
      </c>
      <c r="AL80" s="227" t="str">
        <f t="shared" ca="1" si="85"/>
        <v/>
      </c>
      <c r="AM80" s="227" t="str">
        <f t="shared" ca="1" si="85"/>
        <v/>
      </c>
      <c r="AN80" s="227" t="str">
        <f t="shared" ca="1" si="85"/>
        <v/>
      </c>
      <c r="AO80" s="227" t="str">
        <f t="shared" ca="1" si="85"/>
        <v/>
      </c>
      <c r="AP80" s="227" t="str">
        <f t="shared" ca="1" si="85"/>
        <v/>
      </c>
      <c r="AQ80" s="227" t="str">
        <f t="shared" ca="1" si="85"/>
        <v/>
      </c>
      <c r="AR80" s="227" t="str">
        <f t="shared" ca="1" si="85"/>
        <v/>
      </c>
      <c r="AS80" s="227" t="str">
        <f t="shared" ca="1" si="86"/>
        <v/>
      </c>
      <c r="AT80" s="227" t="str">
        <f t="shared" ca="1" si="86"/>
        <v/>
      </c>
      <c r="AU80" s="227" t="str">
        <f t="shared" ca="1" si="86"/>
        <v/>
      </c>
      <c r="AV80" s="227" t="str">
        <f t="shared" ca="1" si="86"/>
        <v/>
      </c>
      <c r="AW80" s="227" t="str">
        <f t="shared" ca="1" si="86"/>
        <v/>
      </c>
      <c r="AX80" s="227" t="str">
        <f t="shared" ca="1" si="86"/>
        <v/>
      </c>
      <c r="AY80" s="227" t="str">
        <f t="shared" ca="1" si="86"/>
        <v/>
      </c>
      <c r="AZ80" s="227" t="str">
        <f t="shared" ca="1" si="86"/>
        <v/>
      </c>
      <c r="BA80" s="227" t="str">
        <f t="shared" ca="1" si="86"/>
        <v/>
      </c>
      <c r="BB80" s="227" t="str">
        <f t="shared" ca="1" si="86"/>
        <v/>
      </c>
      <c r="BC80" s="227" t="str">
        <f t="shared" ca="1" si="87"/>
        <v/>
      </c>
      <c r="BD80" s="227" t="str">
        <f t="shared" ca="1" si="87"/>
        <v/>
      </c>
      <c r="BE80" s="227" t="str">
        <f t="shared" ca="1" si="87"/>
        <v/>
      </c>
      <c r="BF80" s="227" t="str">
        <f t="shared" ca="1" si="87"/>
        <v/>
      </c>
      <c r="BG80" s="227">
        <f t="shared" ca="1" si="87"/>
        <v>111731.39817521363</v>
      </c>
      <c r="BH80" s="227">
        <f t="shared" ca="1" si="87"/>
        <v>111731.39817521363</v>
      </c>
      <c r="BI80" s="227">
        <f t="shared" ca="1" si="87"/>
        <v>111731.39817521363</v>
      </c>
      <c r="BJ80" s="227">
        <f t="shared" ca="1" si="87"/>
        <v>111731.39817521363</v>
      </c>
      <c r="BK80" s="227">
        <f t="shared" ca="1" si="87"/>
        <v>111731.39817521363</v>
      </c>
      <c r="BL80" s="285">
        <f t="shared" ca="1" si="87"/>
        <v>111731.39817521363</v>
      </c>
      <c r="BM80" s="294"/>
    </row>
    <row r="81" spans="1:65" x14ac:dyDescent="0.25">
      <c r="A81" s="128"/>
      <c r="B81" s="297">
        <f t="shared" si="67"/>
        <v>2059</v>
      </c>
      <c r="C81" s="269"/>
      <c r="D81" s="227"/>
      <c r="E81" s="227"/>
      <c r="F81" s="227"/>
      <c r="G81" s="227"/>
      <c r="H81" s="227"/>
      <c r="I81" s="227"/>
      <c r="J81" s="227"/>
      <c r="K81" s="227"/>
      <c r="L81" s="227"/>
      <c r="M81" s="227"/>
      <c r="N81" s="227"/>
      <c r="O81" s="227" t="str">
        <f t="shared" ca="1" si="83"/>
        <v/>
      </c>
      <c r="P81" s="227" t="str">
        <f t="shared" ca="1" si="83"/>
        <v/>
      </c>
      <c r="Q81" s="227" t="str">
        <f t="shared" ca="1" si="83"/>
        <v/>
      </c>
      <c r="R81" s="227" t="str">
        <f t="shared" ca="1" si="83"/>
        <v/>
      </c>
      <c r="S81" s="227" t="str">
        <f t="shared" ca="1" si="83"/>
        <v/>
      </c>
      <c r="T81" s="227" t="str">
        <f t="shared" ca="1" si="83"/>
        <v/>
      </c>
      <c r="U81" s="227" t="str">
        <f t="shared" ca="1" si="83"/>
        <v/>
      </c>
      <c r="V81" s="227" t="str">
        <f t="shared" ca="1" si="83"/>
        <v/>
      </c>
      <c r="W81" s="227" t="str">
        <f t="shared" ca="1" si="83"/>
        <v/>
      </c>
      <c r="X81" s="227" t="str">
        <f t="shared" ca="1" si="83"/>
        <v/>
      </c>
      <c r="Y81" s="227" t="str">
        <f t="shared" ca="1" si="84"/>
        <v/>
      </c>
      <c r="Z81" s="227" t="str">
        <f t="shared" ca="1" si="84"/>
        <v/>
      </c>
      <c r="AA81" s="227" t="str">
        <f t="shared" ca="1" si="84"/>
        <v/>
      </c>
      <c r="AB81" s="227" t="str">
        <f t="shared" ca="1" si="84"/>
        <v/>
      </c>
      <c r="AC81" s="227" t="str">
        <f t="shared" ca="1" si="84"/>
        <v/>
      </c>
      <c r="AD81" s="227" t="str">
        <f t="shared" ca="1" si="84"/>
        <v/>
      </c>
      <c r="AE81" s="227" t="str">
        <f t="shared" ca="1" si="84"/>
        <v/>
      </c>
      <c r="AF81" s="227" t="str">
        <f t="shared" ca="1" si="84"/>
        <v/>
      </c>
      <c r="AG81" s="227" t="str">
        <f t="shared" ca="1" si="84"/>
        <v/>
      </c>
      <c r="AH81" s="227" t="str">
        <f t="shared" ca="1" si="84"/>
        <v/>
      </c>
      <c r="AI81" s="227" t="str">
        <f t="shared" ca="1" si="85"/>
        <v/>
      </c>
      <c r="AJ81" s="227" t="str">
        <f t="shared" ca="1" si="85"/>
        <v/>
      </c>
      <c r="AK81" s="227" t="str">
        <f t="shared" ca="1" si="85"/>
        <v/>
      </c>
      <c r="AL81" s="227" t="str">
        <f t="shared" ca="1" si="85"/>
        <v/>
      </c>
      <c r="AM81" s="227" t="str">
        <f t="shared" ca="1" si="85"/>
        <v/>
      </c>
      <c r="AN81" s="227" t="str">
        <f t="shared" ca="1" si="85"/>
        <v/>
      </c>
      <c r="AO81" s="227" t="str">
        <f t="shared" ca="1" si="85"/>
        <v/>
      </c>
      <c r="AP81" s="227" t="str">
        <f t="shared" ca="1" si="85"/>
        <v/>
      </c>
      <c r="AQ81" s="227" t="str">
        <f t="shared" ca="1" si="85"/>
        <v/>
      </c>
      <c r="AR81" s="227" t="str">
        <f t="shared" ca="1" si="85"/>
        <v/>
      </c>
      <c r="AS81" s="227" t="str">
        <f t="shared" ca="1" si="86"/>
        <v/>
      </c>
      <c r="AT81" s="227" t="str">
        <f t="shared" ca="1" si="86"/>
        <v/>
      </c>
      <c r="AU81" s="227" t="str">
        <f t="shared" ca="1" si="86"/>
        <v/>
      </c>
      <c r="AV81" s="227" t="str">
        <f t="shared" ca="1" si="86"/>
        <v/>
      </c>
      <c r="AW81" s="227" t="str">
        <f t="shared" ca="1" si="86"/>
        <v/>
      </c>
      <c r="AX81" s="227" t="str">
        <f t="shared" ca="1" si="86"/>
        <v/>
      </c>
      <c r="AY81" s="227" t="str">
        <f t="shared" ca="1" si="86"/>
        <v/>
      </c>
      <c r="AZ81" s="227" t="str">
        <f t="shared" ca="1" si="86"/>
        <v/>
      </c>
      <c r="BA81" s="227" t="str">
        <f t="shared" ca="1" si="86"/>
        <v/>
      </c>
      <c r="BB81" s="227" t="str">
        <f t="shared" ca="1" si="86"/>
        <v/>
      </c>
      <c r="BC81" s="227" t="str">
        <f t="shared" ca="1" si="87"/>
        <v/>
      </c>
      <c r="BD81" s="227" t="str">
        <f t="shared" ca="1" si="87"/>
        <v/>
      </c>
      <c r="BE81" s="227" t="str">
        <f t="shared" ca="1" si="87"/>
        <v/>
      </c>
      <c r="BF81" s="227" t="str">
        <f t="shared" ca="1" si="87"/>
        <v/>
      </c>
      <c r="BG81" s="227" t="str">
        <f t="shared" ca="1" si="87"/>
        <v/>
      </c>
      <c r="BH81" s="227">
        <f t="shared" ca="1" si="87"/>
        <v>118978.10868134972</v>
      </c>
      <c r="BI81" s="227">
        <f t="shared" ca="1" si="87"/>
        <v>118978.10868134972</v>
      </c>
      <c r="BJ81" s="227">
        <f t="shared" ca="1" si="87"/>
        <v>118978.10868134972</v>
      </c>
      <c r="BK81" s="227">
        <f t="shared" ca="1" si="87"/>
        <v>118978.10868134972</v>
      </c>
      <c r="BL81" s="285">
        <f t="shared" ca="1" si="87"/>
        <v>118978.10868134972</v>
      </c>
      <c r="BM81" s="294"/>
    </row>
    <row r="82" spans="1:65" x14ac:dyDescent="0.25">
      <c r="A82" s="128"/>
      <c r="B82" s="297">
        <f t="shared" si="67"/>
        <v>2060</v>
      </c>
      <c r="C82" s="269"/>
      <c r="D82" s="227"/>
      <c r="E82" s="227"/>
      <c r="F82" s="227"/>
      <c r="G82" s="227"/>
      <c r="H82" s="227"/>
      <c r="I82" s="227"/>
      <c r="J82" s="227"/>
      <c r="K82" s="227"/>
      <c r="L82" s="227"/>
      <c r="M82" s="227"/>
      <c r="N82" s="227"/>
      <c r="O82" s="227" t="str">
        <f t="shared" ca="1" si="83"/>
        <v/>
      </c>
      <c r="P82" s="227" t="str">
        <f t="shared" ca="1" si="83"/>
        <v/>
      </c>
      <c r="Q82" s="227" t="str">
        <f t="shared" ca="1" si="83"/>
        <v/>
      </c>
      <c r="R82" s="227" t="str">
        <f t="shared" ca="1" si="83"/>
        <v/>
      </c>
      <c r="S82" s="227" t="str">
        <f t="shared" ca="1" si="83"/>
        <v/>
      </c>
      <c r="T82" s="227" t="str">
        <f t="shared" ca="1" si="83"/>
        <v/>
      </c>
      <c r="U82" s="227" t="str">
        <f t="shared" ca="1" si="83"/>
        <v/>
      </c>
      <c r="V82" s="227" t="str">
        <f t="shared" ca="1" si="83"/>
        <v/>
      </c>
      <c r="W82" s="227" t="str">
        <f t="shared" ca="1" si="83"/>
        <v/>
      </c>
      <c r="X82" s="227" t="str">
        <f t="shared" ca="1" si="83"/>
        <v/>
      </c>
      <c r="Y82" s="227" t="str">
        <f t="shared" ca="1" si="84"/>
        <v/>
      </c>
      <c r="Z82" s="227" t="str">
        <f t="shared" ca="1" si="84"/>
        <v/>
      </c>
      <c r="AA82" s="227" t="str">
        <f t="shared" ca="1" si="84"/>
        <v/>
      </c>
      <c r="AB82" s="227" t="str">
        <f t="shared" ca="1" si="84"/>
        <v/>
      </c>
      <c r="AC82" s="227" t="str">
        <f t="shared" ca="1" si="84"/>
        <v/>
      </c>
      <c r="AD82" s="227" t="str">
        <f t="shared" ca="1" si="84"/>
        <v/>
      </c>
      <c r="AE82" s="227" t="str">
        <f t="shared" ca="1" si="84"/>
        <v/>
      </c>
      <c r="AF82" s="227" t="str">
        <f t="shared" ca="1" si="84"/>
        <v/>
      </c>
      <c r="AG82" s="227" t="str">
        <f t="shared" ca="1" si="84"/>
        <v/>
      </c>
      <c r="AH82" s="227" t="str">
        <f t="shared" ca="1" si="84"/>
        <v/>
      </c>
      <c r="AI82" s="227" t="str">
        <f t="shared" ca="1" si="85"/>
        <v/>
      </c>
      <c r="AJ82" s="227" t="str">
        <f t="shared" ca="1" si="85"/>
        <v/>
      </c>
      <c r="AK82" s="227" t="str">
        <f t="shared" ca="1" si="85"/>
        <v/>
      </c>
      <c r="AL82" s="227" t="str">
        <f t="shared" ca="1" si="85"/>
        <v/>
      </c>
      <c r="AM82" s="227" t="str">
        <f t="shared" ca="1" si="85"/>
        <v/>
      </c>
      <c r="AN82" s="227" t="str">
        <f t="shared" ca="1" si="85"/>
        <v/>
      </c>
      <c r="AO82" s="227" t="str">
        <f t="shared" ca="1" si="85"/>
        <v/>
      </c>
      <c r="AP82" s="227" t="str">
        <f t="shared" ca="1" si="85"/>
        <v/>
      </c>
      <c r="AQ82" s="227" t="str">
        <f t="shared" ca="1" si="85"/>
        <v/>
      </c>
      <c r="AR82" s="227" t="str">
        <f t="shared" ca="1" si="85"/>
        <v/>
      </c>
      <c r="AS82" s="227" t="str">
        <f t="shared" ca="1" si="86"/>
        <v/>
      </c>
      <c r="AT82" s="227" t="str">
        <f t="shared" ca="1" si="86"/>
        <v/>
      </c>
      <c r="AU82" s="227" t="str">
        <f t="shared" ca="1" si="86"/>
        <v/>
      </c>
      <c r="AV82" s="227" t="str">
        <f t="shared" ca="1" si="86"/>
        <v/>
      </c>
      <c r="AW82" s="227" t="str">
        <f t="shared" ca="1" si="86"/>
        <v/>
      </c>
      <c r="AX82" s="227" t="str">
        <f t="shared" ca="1" si="86"/>
        <v/>
      </c>
      <c r="AY82" s="227" t="str">
        <f t="shared" ca="1" si="86"/>
        <v/>
      </c>
      <c r="AZ82" s="227" t="str">
        <f t="shared" ca="1" si="86"/>
        <v/>
      </c>
      <c r="BA82" s="227" t="str">
        <f t="shared" ca="1" si="86"/>
        <v/>
      </c>
      <c r="BB82" s="227" t="str">
        <f t="shared" ca="1" si="86"/>
        <v/>
      </c>
      <c r="BC82" s="227" t="str">
        <f t="shared" ca="1" si="87"/>
        <v/>
      </c>
      <c r="BD82" s="227" t="str">
        <f t="shared" ca="1" si="87"/>
        <v/>
      </c>
      <c r="BE82" s="227" t="str">
        <f t="shared" ca="1" si="87"/>
        <v/>
      </c>
      <c r="BF82" s="227" t="str">
        <f t="shared" ca="1" si="87"/>
        <v/>
      </c>
      <c r="BG82" s="227" t="str">
        <f t="shared" ca="1" si="87"/>
        <v/>
      </c>
      <c r="BH82" s="227" t="str">
        <f t="shared" ca="1" si="87"/>
        <v/>
      </c>
      <c r="BI82" s="227">
        <f t="shared" ca="1" si="87"/>
        <v>126830.33070744487</v>
      </c>
      <c r="BJ82" s="227">
        <f t="shared" ca="1" si="87"/>
        <v>126830.33070744487</v>
      </c>
      <c r="BK82" s="227">
        <f t="shared" ca="1" si="87"/>
        <v>126830.33070744487</v>
      </c>
      <c r="BL82" s="285">
        <f t="shared" ca="1" si="87"/>
        <v>126830.33070744487</v>
      </c>
      <c r="BM82" s="294"/>
    </row>
    <row r="83" spans="1:65" x14ac:dyDescent="0.25">
      <c r="A83" s="128"/>
      <c r="B83" s="297">
        <f t="shared" si="67"/>
        <v>2061</v>
      </c>
      <c r="C83" s="269"/>
      <c r="D83" s="227"/>
      <c r="E83" s="227"/>
      <c r="F83" s="227"/>
      <c r="G83" s="227"/>
      <c r="H83" s="227"/>
      <c r="I83" s="227"/>
      <c r="J83" s="227"/>
      <c r="K83" s="227"/>
      <c r="L83" s="227"/>
      <c r="M83" s="227"/>
      <c r="N83" s="227"/>
      <c r="O83" s="227" t="str">
        <f t="shared" ca="1" si="83"/>
        <v/>
      </c>
      <c r="P83" s="227" t="str">
        <f t="shared" ca="1" si="83"/>
        <v/>
      </c>
      <c r="Q83" s="227" t="str">
        <f t="shared" ca="1" si="83"/>
        <v/>
      </c>
      <c r="R83" s="227" t="str">
        <f t="shared" ca="1" si="83"/>
        <v/>
      </c>
      <c r="S83" s="227" t="str">
        <f t="shared" ca="1" si="83"/>
        <v/>
      </c>
      <c r="T83" s="227" t="str">
        <f t="shared" ca="1" si="83"/>
        <v/>
      </c>
      <c r="U83" s="227" t="str">
        <f t="shared" ca="1" si="83"/>
        <v/>
      </c>
      <c r="V83" s="227" t="str">
        <f t="shared" ca="1" si="83"/>
        <v/>
      </c>
      <c r="W83" s="227" t="str">
        <f t="shared" ca="1" si="83"/>
        <v/>
      </c>
      <c r="X83" s="227" t="str">
        <f t="shared" ca="1" si="83"/>
        <v/>
      </c>
      <c r="Y83" s="227" t="str">
        <f t="shared" ca="1" si="84"/>
        <v/>
      </c>
      <c r="Z83" s="227" t="str">
        <f t="shared" ca="1" si="84"/>
        <v/>
      </c>
      <c r="AA83" s="227" t="str">
        <f t="shared" ca="1" si="84"/>
        <v/>
      </c>
      <c r="AB83" s="227" t="str">
        <f t="shared" ca="1" si="84"/>
        <v/>
      </c>
      <c r="AC83" s="227" t="str">
        <f t="shared" ca="1" si="84"/>
        <v/>
      </c>
      <c r="AD83" s="227" t="str">
        <f t="shared" ca="1" si="84"/>
        <v/>
      </c>
      <c r="AE83" s="227" t="str">
        <f t="shared" ca="1" si="84"/>
        <v/>
      </c>
      <c r="AF83" s="227" t="str">
        <f t="shared" ca="1" si="84"/>
        <v/>
      </c>
      <c r="AG83" s="227" t="str">
        <f t="shared" ca="1" si="84"/>
        <v/>
      </c>
      <c r="AH83" s="227" t="str">
        <f t="shared" ca="1" si="84"/>
        <v/>
      </c>
      <c r="AI83" s="227" t="str">
        <f t="shared" ca="1" si="85"/>
        <v/>
      </c>
      <c r="AJ83" s="227" t="str">
        <f t="shared" ca="1" si="85"/>
        <v/>
      </c>
      <c r="AK83" s="227" t="str">
        <f t="shared" ca="1" si="85"/>
        <v/>
      </c>
      <c r="AL83" s="227" t="str">
        <f t="shared" ca="1" si="85"/>
        <v/>
      </c>
      <c r="AM83" s="227" t="str">
        <f t="shared" ca="1" si="85"/>
        <v/>
      </c>
      <c r="AN83" s="227" t="str">
        <f t="shared" ca="1" si="85"/>
        <v/>
      </c>
      <c r="AO83" s="227" t="str">
        <f t="shared" ca="1" si="85"/>
        <v/>
      </c>
      <c r="AP83" s="227" t="str">
        <f t="shared" ca="1" si="85"/>
        <v/>
      </c>
      <c r="AQ83" s="227" t="str">
        <f t="shared" ca="1" si="85"/>
        <v/>
      </c>
      <c r="AR83" s="227" t="str">
        <f t="shared" ca="1" si="85"/>
        <v/>
      </c>
      <c r="AS83" s="227" t="str">
        <f t="shared" ca="1" si="86"/>
        <v/>
      </c>
      <c r="AT83" s="227" t="str">
        <f t="shared" ca="1" si="86"/>
        <v/>
      </c>
      <c r="AU83" s="227" t="str">
        <f t="shared" ca="1" si="86"/>
        <v/>
      </c>
      <c r="AV83" s="227" t="str">
        <f t="shared" ca="1" si="86"/>
        <v/>
      </c>
      <c r="AW83" s="227" t="str">
        <f t="shared" ca="1" si="86"/>
        <v/>
      </c>
      <c r="AX83" s="227" t="str">
        <f t="shared" ca="1" si="86"/>
        <v/>
      </c>
      <c r="AY83" s="227" t="str">
        <f t="shared" ca="1" si="86"/>
        <v/>
      </c>
      <c r="AZ83" s="227" t="str">
        <f t="shared" ca="1" si="86"/>
        <v/>
      </c>
      <c r="BA83" s="227" t="str">
        <f t="shared" ca="1" si="86"/>
        <v/>
      </c>
      <c r="BB83" s="227" t="str">
        <f t="shared" ca="1" si="86"/>
        <v/>
      </c>
      <c r="BC83" s="227" t="str">
        <f t="shared" ca="1" si="87"/>
        <v/>
      </c>
      <c r="BD83" s="227" t="str">
        <f t="shared" ca="1" si="87"/>
        <v/>
      </c>
      <c r="BE83" s="227" t="str">
        <f t="shared" ca="1" si="87"/>
        <v/>
      </c>
      <c r="BF83" s="227" t="str">
        <f t="shared" ca="1" si="87"/>
        <v/>
      </c>
      <c r="BG83" s="227" t="str">
        <f t="shared" ca="1" si="87"/>
        <v/>
      </c>
      <c r="BH83" s="227" t="str">
        <f t="shared" ca="1" si="87"/>
        <v/>
      </c>
      <c r="BI83" s="227" t="str">
        <f t="shared" ca="1" si="87"/>
        <v/>
      </c>
      <c r="BJ83" s="227">
        <f t="shared" ca="1" si="87"/>
        <v>134567.16042093234</v>
      </c>
      <c r="BK83" s="227">
        <f t="shared" ca="1" si="87"/>
        <v>134567.16042093234</v>
      </c>
      <c r="BL83" s="285">
        <f t="shared" ca="1" si="87"/>
        <v>134567.16042093234</v>
      </c>
      <c r="BM83" s="294"/>
    </row>
    <row r="84" spans="1:65" x14ac:dyDescent="0.25">
      <c r="A84" s="128"/>
      <c r="B84" s="297">
        <f t="shared" si="67"/>
        <v>2062</v>
      </c>
      <c r="C84" s="269"/>
      <c r="D84" s="227"/>
      <c r="E84" s="227"/>
      <c r="F84" s="227"/>
      <c r="G84" s="227"/>
      <c r="H84" s="227"/>
      <c r="I84" s="227"/>
      <c r="J84" s="227"/>
      <c r="K84" s="227"/>
      <c r="L84" s="227"/>
      <c r="M84" s="227"/>
      <c r="N84" s="227"/>
      <c r="O84" s="227" t="str">
        <f t="shared" ca="1" si="83"/>
        <v/>
      </c>
      <c r="P84" s="227" t="str">
        <f t="shared" ca="1" si="83"/>
        <v/>
      </c>
      <c r="Q84" s="227" t="str">
        <f t="shared" ca="1" si="83"/>
        <v/>
      </c>
      <c r="R84" s="227" t="str">
        <f t="shared" ca="1" si="83"/>
        <v/>
      </c>
      <c r="S84" s="227" t="str">
        <f t="shared" ca="1" si="83"/>
        <v/>
      </c>
      <c r="T84" s="227" t="str">
        <f t="shared" ca="1" si="83"/>
        <v/>
      </c>
      <c r="U84" s="227" t="str">
        <f t="shared" ca="1" si="83"/>
        <v/>
      </c>
      <c r="V84" s="227" t="str">
        <f t="shared" ca="1" si="83"/>
        <v/>
      </c>
      <c r="W84" s="227" t="str">
        <f t="shared" ca="1" si="83"/>
        <v/>
      </c>
      <c r="X84" s="227" t="str">
        <f t="shared" ca="1" si="83"/>
        <v/>
      </c>
      <c r="Y84" s="227" t="str">
        <f t="shared" ca="1" si="84"/>
        <v/>
      </c>
      <c r="Z84" s="227" t="str">
        <f t="shared" ca="1" si="84"/>
        <v/>
      </c>
      <c r="AA84" s="227" t="str">
        <f t="shared" ca="1" si="84"/>
        <v/>
      </c>
      <c r="AB84" s="227" t="str">
        <f t="shared" ca="1" si="84"/>
        <v/>
      </c>
      <c r="AC84" s="227" t="str">
        <f t="shared" ca="1" si="84"/>
        <v/>
      </c>
      <c r="AD84" s="227" t="str">
        <f t="shared" ca="1" si="84"/>
        <v/>
      </c>
      <c r="AE84" s="227" t="str">
        <f t="shared" ca="1" si="84"/>
        <v/>
      </c>
      <c r="AF84" s="227" t="str">
        <f t="shared" ca="1" si="84"/>
        <v/>
      </c>
      <c r="AG84" s="227" t="str">
        <f t="shared" ca="1" si="84"/>
        <v/>
      </c>
      <c r="AH84" s="227" t="str">
        <f t="shared" ca="1" si="84"/>
        <v/>
      </c>
      <c r="AI84" s="227" t="str">
        <f t="shared" ca="1" si="85"/>
        <v/>
      </c>
      <c r="AJ84" s="227" t="str">
        <f t="shared" ca="1" si="85"/>
        <v/>
      </c>
      <c r="AK84" s="227" t="str">
        <f t="shared" ca="1" si="85"/>
        <v/>
      </c>
      <c r="AL84" s="227" t="str">
        <f t="shared" ca="1" si="85"/>
        <v/>
      </c>
      <c r="AM84" s="227" t="str">
        <f t="shared" ca="1" si="85"/>
        <v/>
      </c>
      <c r="AN84" s="227" t="str">
        <f t="shared" ca="1" si="85"/>
        <v/>
      </c>
      <c r="AO84" s="227" t="str">
        <f t="shared" ca="1" si="85"/>
        <v/>
      </c>
      <c r="AP84" s="227" t="str">
        <f t="shared" ca="1" si="85"/>
        <v/>
      </c>
      <c r="AQ84" s="227" t="str">
        <f t="shared" ca="1" si="85"/>
        <v/>
      </c>
      <c r="AR84" s="227" t="str">
        <f t="shared" ca="1" si="85"/>
        <v/>
      </c>
      <c r="AS84" s="227" t="str">
        <f t="shared" ca="1" si="86"/>
        <v/>
      </c>
      <c r="AT84" s="227" t="str">
        <f t="shared" ca="1" si="86"/>
        <v/>
      </c>
      <c r="AU84" s="227" t="str">
        <f t="shared" ca="1" si="86"/>
        <v/>
      </c>
      <c r="AV84" s="227" t="str">
        <f t="shared" ca="1" si="86"/>
        <v/>
      </c>
      <c r="AW84" s="227" t="str">
        <f t="shared" ca="1" si="86"/>
        <v/>
      </c>
      <c r="AX84" s="227" t="str">
        <f t="shared" ca="1" si="86"/>
        <v/>
      </c>
      <c r="AY84" s="227" t="str">
        <f t="shared" ca="1" si="86"/>
        <v/>
      </c>
      <c r="AZ84" s="227" t="str">
        <f t="shared" ca="1" si="86"/>
        <v/>
      </c>
      <c r="BA84" s="227" t="str">
        <f t="shared" ca="1" si="86"/>
        <v/>
      </c>
      <c r="BB84" s="227" t="str">
        <f t="shared" ca="1" si="86"/>
        <v/>
      </c>
      <c r="BC84" s="227" t="str">
        <f t="shared" ca="1" si="87"/>
        <v/>
      </c>
      <c r="BD84" s="227" t="str">
        <f t="shared" ca="1" si="87"/>
        <v/>
      </c>
      <c r="BE84" s="227" t="str">
        <f t="shared" ca="1" si="87"/>
        <v/>
      </c>
      <c r="BF84" s="227" t="str">
        <f t="shared" ca="1" si="87"/>
        <v/>
      </c>
      <c r="BG84" s="227" t="str">
        <f t="shared" ca="1" si="87"/>
        <v/>
      </c>
      <c r="BH84" s="227" t="str">
        <f t="shared" ca="1" si="87"/>
        <v/>
      </c>
      <c r="BI84" s="227" t="str">
        <f t="shared" ca="1" si="87"/>
        <v/>
      </c>
      <c r="BJ84" s="227" t="str">
        <f t="shared" ca="1" si="87"/>
        <v/>
      </c>
      <c r="BK84" s="227">
        <f t="shared" ca="1" si="87"/>
        <v>142711.63506676588</v>
      </c>
      <c r="BL84" s="285">
        <f t="shared" ca="1" si="87"/>
        <v>142711.63506676588</v>
      </c>
      <c r="BM84" s="294"/>
    </row>
    <row r="85" spans="1:65" ht="15.75" thickBot="1" x14ac:dyDescent="0.3">
      <c r="A85" s="128"/>
      <c r="B85" s="276">
        <f t="shared" si="67"/>
        <v>2063</v>
      </c>
      <c r="C85" s="313"/>
      <c r="D85" s="314"/>
      <c r="E85" s="314"/>
      <c r="F85" s="314"/>
      <c r="G85" s="314"/>
      <c r="H85" s="314"/>
      <c r="I85" s="314"/>
      <c r="J85" s="314"/>
      <c r="K85" s="314"/>
      <c r="L85" s="314"/>
      <c r="M85" s="314"/>
      <c r="N85" s="314"/>
      <c r="O85" s="314" t="str">
        <f t="shared" ca="1" si="83"/>
        <v/>
      </c>
      <c r="P85" s="314" t="str">
        <f t="shared" ca="1" si="83"/>
        <v/>
      </c>
      <c r="Q85" s="314" t="str">
        <f t="shared" ca="1" si="83"/>
        <v/>
      </c>
      <c r="R85" s="314" t="str">
        <f t="shared" ca="1" si="83"/>
        <v/>
      </c>
      <c r="S85" s="314" t="str">
        <f t="shared" ca="1" si="83"/>
        <v/>
      </c>
      <c r="T85" s="314" t="str">
        <f t="shared" ca="1" si="83"/>
        <v/>
      </c>
      <c r="U85" s="314" t="str">
        <f t="shared" ca="1" si="83"/>
        <v/>
      </c>
      <c r="V85" s="314" t="str">
        <f t="shared" ca="1" si="83"/>
        <v/>
      </c>
      <c r="W85" s="314" t="str">
        <f t="shared" ca="1" si="83"/>
        <v/>
      </c>
      <c r="X85" s="314" t="str">
        <f t="shared" ca="1" si="83"/>
        <v/>
      </c>
      <c r="Y85" s="314" t="str">
        <f t="shared" ca="1" si="84"/>
        <v/>
      </c>
      <c r="Z85" s="314" t="str">
        <f t="shared" ca="1" si="84"/>
        <v/>
      </c>
      <c r="AA85" s="314" t="str">
        <f t="shared" ca="1" si="84"/>
        <v/>
      </c>
      <c r="AB85" s="314" t="str">
        <f t="shared" ca="1" si="84"/>
        <v/>
      </c>
      <c r="AC85" s="314" t="str">
        <f t="shared" ca="1" si="84"/>
        <v/>
      </c>
      <c r="AD85" s="314" t="str">
        <f t="shared" ca="1" si="84"/>
        <v/>
      </c>
      <c r="AE85" s="314" t="str">
        <f t="shared" ca="1" si="84"/>
        <v/>
      </c>
      <c r="AF85" s="314" t="str">
        <f t="shared" ca="1" si="84"/>
        <v/>
      </c>
      <c r="AG85" s="314" t="str">
        <f t="shared" ca="1" si="84"/>
        <v/>
      </c>
      <c r="AH85" s="314" t="str">
        <f t="shared" ca="1" si="84"/>
        <v/>
      </c>
      <c r="AI85" s="314" t="str">
        <f t="shared" ca="1" si="85"/>
        <v/>
      </c>
      <c r="AJ85" s="314" t="str">
        <f t="shared" ca="1" si="85"/>
        <v/>
      </c>
      <c r="AK85" s="314" t="str">
        <f t="shared" ca="1" si="85"/>
        <v/>
      </c>
      <c r="AL85" s="314" t="str">
        <f t="shared" ca="1" si="85"/>
        <v/>
      </c>
      <c r="AM85" s="314" t="str">
        <f t="shared" ca="1" si="85"/>
        <v/>
      </c>
      <c r="AN85" s="314" t="str">
        <f t="shared" ca="1" si="85"/>
        <v/>
      </c>
      <c r="AO85" s="314" t="str">
        <f t="shared" ca="1" si="85"/>
        <v/>
      </c>
      <c r="AP85" s="314" t="str">
        <f t="shared" ca="1" si="85"/>
        <v/>
      </c>
      <c r="AQ85" s="314" t="str">
        <f t="shared" ca="1" si="85"/>
        <v/>
      </c>
      <c r="AR85" s="314" t="str">
        <f t="shared" ca="1" si="85"/>
        <v/>
      </c>
      <c r="AS85" s="314" t="str">
        <f t="shared" ca="1" si="86"/>
        <v/>
      </c>
      <c r="AT85" s="314" t="str">
        <f t="shared" ca="1" si="86"/>
        <v/>
      </c>
      <c r="AU85" s="314" t="str">
        <f t="shared" ca="1" si="86"/>
        <v/>
      </c>
      <c r="AV85" s="314" t="str">
        <f t="shared" ca="1" si="86"/>
        <v/>
      </c>
      <c r="AW85" s="314" t="str">
        <f t="shared" ca="1" si="86"/>
        <v/>
      </c>
      <c r="AX85" s="314" t="str">
        <f t="shared" ca="1" si="86"/>
        <v/>
      </c>
      <c r="AY85" s="314" t="str">
        <f t="shared" ca="1" si="86"/>
        <v/>
      </c>
      <c r="AZ85" s="314" t="str">
        <f t="shared" ca="1" si="86"/>
        <v/>
      </c>
      <c r="BA85" s="314" t="str">
        <f t="shared" ca="1" si="86"/>
        <v/>
      </c>
      <c r="BB85" s="314" t="str">
        <f t="shared" ca="1" si="86"/>
        <v/>
      </c>
      <c r="BC85" s="314" t="str">
        <f t="shared" ca="1" si="87"/>
        <v/>
      </c>
      <c r="BD85" s="314" t="str">
        <f t="shared" ca="1" si="87"/>
        <v/>
      </c>
      <c r="BE85" s="314" t="str">
        <f t="shared" ca="1" si="87"/>
        <v/>
      </c>
      <c r="BF85" s="314" t="str">
        <f t="shared" ca="1" si="87"/>
        <v/>
      </c>
      <c r="BG85" s="314" t="str">
        <f t="shared" ca="1" si="87"/>
        <v/>
      </c>
      <c r="BH85" s="314" t="str">
        <f t="shared" ca="1" si="87"/>
        <v/>
      </c>
      <c r="BI85" s="314" t="str">
        <f t="shared" ca="1" si="87"/>
        <v/>
      </c>
      <c r="BJ85" s="314" t="str">
        <f t="shared" ca="1" si="87"/>
        <v/>
      </c>
      <c r="BK85" s="314" t="str">
        <f t="shared" ca="1" si="87"/>
        <v/>
      </c>
      <c r="BL85" s="315">
        <f t="shared" ca="1" si="87"/>
        <v>153718.64297992238</v>
      </c>
      <c r="BM85" s="294"/>
    </row>
    <row r="86" spans="1:65" x14ac:dyDescent="0.25">
      <c r="A86" s="128"/>
      <c r="B86" s="269"/>
      <c r="C86" s="269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270"/>
      <c r="P86" s="270"/>
      <c r="Q86" s="270"/>
      <c r="R86" s="270"/>
      <c r="S86" s="270"/>
      <c r="T86" s="270"/>
      <c r="U86" s="270"/>
      <c r="V86" s="270"/>
      <c r="W86" s="270"/>
      <c r="X86" s="270"/>
      <c r="Y86" s="270"/>
      <c r="Z86" s="270"/>
      <c r="AA86" s="270"/>
      <c r="AB86" s="270"/>
      <c r="AC86" s="270"/>
      <c r="AD86" s="270"/>
      <c r="AE86" s="270"/>
      <c r="AF86" s="270"/>
      <c r="AG86" s="270"/>
      <c r="AH86" s="270"/>
      <c r="AI86" s="270"/>
      <c r="AJ86" s="270"/>
      <c r="AK86" s="270"/>
      <c r="AL86" s="270"/>
      <c r="AM86" s="270"/>
      <c r="AN86" s="270"/>
      <c r="AO86" s="270"/>
      <c r="AP86" s="69"/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69"/>
      <c r="BJ86" s="69"/>
      <c r="BK86" s="69"/>
      <c r="BL86" s="69"/>
      <c r="BM86" s="294"/>
    </row>
    <row r="87" spans="1:65" ht="15.75" thickBot="1" x14ac:dyDescent="0.3">
      <c r="A87" s="293" t="s">
        <v>1196</v>
      </c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60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  <c r="BI87" s="126"/>
      <c r="BJ87" s="126"/>
      <c r="BK87" s="126"/>
      <c r="BL87" s="126"/>
      <c r="BM87" s="294"/>
    </row>
    <row r="88" spans="1:65" ht="15.75" thickBot="1" x14ac:dyDescent="0.3">
      <c r="A88" s="69"/>
      <c r="B88" s="295"/>
      <c r="C88" s="273">
        <f t="shared" ref="C88:L88" si="88">D88-1</f>
        <v>2002</v>
      </c>
      <c r="D88" s="273">
        <f t="shared" si="88"/>
        <v>2003</v>
      </c>
      <c r="E88" s="273">
        <f t="shared" si="88"/>
        <v>2004</v>
      </c>
      <c r="F88" s="273">
        <f t="shared" si="88"/>
        <v>2005</v>
      </c>
      <c r="G88" s="273">
        <f t="shared" si="88"/>
        <v>2006</v>
      </c>
      <c r="H88" s="273">
        <f t="shared" si="88"/>
        <v>2007</v>
      </c>
      <c r="I88" s="273">
        <f t="shared" si="88"/>
        <v>2008</v>
      </c>
      <c r="J88" s="273">
        <f t="shared" si="88"/>
        <v>2009</v>
      </c>
      <c r="K88" s="273">
        <f t="shared" si="88"/>
        <v>2010</v>
      </c>
      <c r="L88" s="273">
        <f t="shared" si="88"/>
        <v>2011</v>
      </c>
      <c r="M88" s="273">
        <f>N88-1</f>
        <v>2012</v>
      </c>
      <c r="N88" s="316">
        <f>$C$3</f>
        <v>2013</v>
      </c>
      <c r="O88" s="273">
        <f>N88+1</f>
        <v>2014</v>
      </c>
      <c r="P88" s="273">
        <f t="shared" ref="P88:AN88" si="89">O88+1</f>
        <v>2015</v>
      </c>
      <c r="Q88" s="273">
        <f t="shared" si="89"/>
        <v>2016</v>
      </c>
      <c r="R88" s="273">
        <f t="shared" si="89"/>
        <v>2017</v>
      </c>
      <c r="S88" s="273">
        <f t="shared" si="89"/>
        <v>2018</v>
      </c>
      <c r="T88" s="273">
        <f t="shared" si="89"/>
        <v>2019</v>
      </c>
      <c r="U88" s="273">
        <f t="shared" si="89"/>
        <v>2020</v>
      </c>
      <c r="V88" s="273">
        <f t="shared" si="89"/>
        <v>2021</v>
      </c>
      <c r="W88" s="273">
        <f t="shared" si="89"/>
        <v>2022</v>
      </c>
      <c r="X88" s="273">
        <f t="shared" si="89"/>
        <v>2023</v>
      </c>
      <c r="Y88" s="273">
        <f t="shared" si="89"/>
        <v>2024</v>
      </c>
      <c r="Z88" s="273">
        <f t="shared" si="89"/>
        <v>2025</v>
      </c>
      <c r="AA88" s="273">
        <f t="shared" si="89"/>
        <v>2026</v>
      </c>
      <c r="AB88" s="273">
        <f t="shared" si="89"/>
        <v>2027</v>
      </c>
      <c r="AC88" s="273">
        <f t="shared" si="89"/>
        <v>2028</v>
      </c>
      <c r="AD88" s="273">
        <f t="shared" si="89"/>
        <v>2029</v>
      </c>
      <c r="AE88" s="273">
        <f t="shared" si="89"/>
        <v>2030</v>
      </c>
      <c r="AF88" s="273">
        <f t="shared" si="89"/>
        <v>2031</v>
      </c>
      <c r="AG88" s="273">
        <f t="shared" si="89"/>
        <v>2032</v>
      </c>
      <c r="AH88" s="273">
        <f t="shared" si="89"/>
        <v>2033</v>
      </c>
      <c r="AI88" s="273">
        <f t="shared" si="89"/>
        <v>2034</v>
      </c>
      <c r="AJ88" s="273">
        <f t="shared" si="89"/>
        <v>2035</v>
      </c>
      <c r="AK88" s="273">
        <f t="shared" si="89"/>
        <v>2036</v>
      </c>
      <c r="AL88" s="273">
        <f t="shared" si="89"/>
        <v>2037</v>
      </c>
      <c r="AM88" s="273">
        <f t="shared" si="89"/>
        <v>2038</v>
      </c>
      <c r="AN88" s="273">
        <f t="shared" si="89"/>
        <v>2039</v>
      </c>
      <c r="AO88" s="273">
        <f>AN88+1</f>
        <v>2040</v>
      </c>
      <c r="AP88" s="273">
        <f t="shared" ref="AP88:AQ88" si="90">AO88+1</f>
        <v>2041</v>
      </c>
      <c r="AQ88" s="273">
        <f t="shared" si="90"/>
        <v>2042</v>
      </c>
      <c r="AR88" s="273">
        <f t="shared" ref="AR88:AS88" si="91">AQ88+1</f>
        <v>2043</v>
      </c>
      <c r="AS88" s="273">
        <f t="shared" si="91"/>
        <v>2044</v>
      </c>
      <c r="AT88" s="273">
        <f t="shared" ref="AT88:AU88" si="92">AS88+1</f>
        <v>2045</v>
      </c>
      <c r="AU88" s="273">
        <f t="shared" si="92"/>
        <v>2046</v>
      </c>
      <c r="AV88" s="273">
        <f t="shared" ref="AV88:AW88" si="93">AU88+1</f>
        <v>2047</v>
      </c>
      <c r="AW88" s="273">
        <f t="shared" si="93"/>
        <v>2048</v>
      </c>
      <c r="AX88" s="273">
        <f t="shared" ref="AX88:AY88" si="94">AW88+1</f>
        <v>2049</v>
      </c>
      <c r="AY88" s="273">
        <f t="shared" si="94"/>
        <v>2050</v>
      </c>
      <c r="AZ88" s="273">
        <f t="shared" ref="AZ88:BA88" si="95">AY88+1</f>
        <v>2051</v>
      </c>
      <c r="BA88" s="273">
        <f t="shared" si="95"/>
        <v>2052</v>
      </c>
      <c r="BB88" s="273">
        <f t="shared" ref="BB88:BC88" si="96">BA88+1</f>
        <v>2053</v>
      </c>
      <c r="BC88" s="273">
        <f t="shared" si="96"/>
        <v>2054</v>
      </c>
      <c r="BD88" s="273">
        <f t="shared" ref="BD88:BE88" si="97">BC88+1</f>
        <v>2055</v>
      </c>
      <c r="BE88" s="273">
        <f t="shared" si="97"/>
        <v>2056</v>
      </c>
      <c r="BF88" s="273">
        <f t="shared" ref="BF88:BG88" si="98">BE88+1</f>
        <v>2057</v>
      </c>
      <c r="BG88" s="273">
        <f t="shared" si="98"/>
        <v>2058</v>
      </c>
      <c r="BH88" s="273">
        <f t="shared" ref="BH88" si="99">BG88+1</f>
        <v>2059</v>
      </c>
      <c r="BI88" s="273">
        <f>BH88+1</f>
        <v>2060</v>
      </c>
      <c r="BJ88" s="273">
        <f t="shared" ref="BJ88" si="100">BI88+1</f>
        <v>2061</v>
      </c>
      <c r="BK88" s="273">
        <f t="shared" ref="BK88" si="101">BJ88+1</f>
        <v>2062</v>
      </c>
      <c r="BL88" s="274">
        <f t="shared" ref="BL88" si="102">BK88+1</f>
        <v>2063</v>
      </c>
      <c r="BM88" s="317"/>
    </row>
    <row r="89" spans="1:65" x14ac:dyDescent="0.25">
      <c r="A89" s="69"/>
      <c r="B89" s="297">
        <f t="shared" ref="B89:B98" si="103">B90-1</f>
        <v>2002</v>
      </c>
      <c r="C89" s="318">
        <f t="shared" ref="C89:C120" si="104">IF(AND(C$88-$B89&gt;=1,C$88-$B89&lt;=9),HLOOKUP($B89,$C$10:$BL$11,2,FALSE),IF(OR(C$88-$B89=0,C$88-$B89=10),(HLOOKUP($B89,$C$10:$BL$11,2,FALSE))/2,""))</f>
        <v>1.8751902495448659E-2</v>
      </c>
      <c r="D89" s="318">
        <f t="shared" ref="D89:M99" si="105">IF(AND(D$88-$B89&gt;=1,D$88-$B89&lt;=9),HLOOKUP($B89,$C$10:$BL$11,2,FALSE),IF(OR(D$88-$B89=0,D$88-$B89=10),POWER((HLOOKUP($B89,$C$10:$BL$11,2,FALSE))+1,1/2)-1,""))</f>
        <v>3.7503804990897317E-2</v>
      </c>
      <c r="E89" s="318">
        <f t="shared" si="105"/>
        <v>3.7503804990897317E-2</v>
      </c>
      <c r="F89" s="318">
        <f t="shared" si="105"/>
        <v>3.7503804990897317E-2</v>
      </c>
      <c r="G89" s="318">
        <f t="shared" si="105"/>
        <v>3.7503804990897317E-2</v>
      </c>
      <c r="H89" s="318">
        <f t="shared" si="105"/>
        <v>3.7503804990897317E-2</v>
      </c>
      <c r="I89" s="318">
        <f t="shared" si="105"/>
        <v>3.7503804990897317E-2</v>
      </c>
      <c r="J89" s="318">
        <f t="shared" si="105"/>
        <v>3.7503804990897317E-2</v>
      </c>
      <c r="K89" s="318">
        <f t="shared" si="105"/>
        <v>3.7503804990897317E-2</v>
      </c>
      <c r="L89" s="318">
        <f t="shared" si="105"/>
        <v>3.7503804990897317E-2</v>
      </c>
      <c r="M89" s="318">
        <f t="shared" si="105"/>
        <v>1.8579307168026693E-2</v>
      </c>
      <c r="N89" s="318" t="str">
        <f t="shared" ref="N89:AS89" si="106">IF(AND(N$88-$B89&gt;=1,N$88-$B89&lt;=9),HLOOKUP($B89,$C$10:$BL$11,2,FALSE),IF(OR(N$88-$B89=0,N$88-$B89=10),(HLOOKUP($B89,$C$10:$BL$11,2,FALSE))/2,""))</f>
        <v/>
      </c>
      <c r="O89" s="318" t="str">
        <f t="shared" si="106"/>
        <v/>
      </c>
      <c r="P89" s="318" t="str">
        <f t="shared" si="106"/>
        <v/>
      </c>
      <c r="Q89" s="318" t="str">
        <f t="shared" si="106"/>
        <v/>
      </c>
      <c r="R89" s="318" t="str">
        <f t="shared" si="106"/>
        <v/>
      </c>
      <c r="S89" s="318" t="str">
        <f t="shared" si="106"/>
        <v/>
      </c>
      <c r="T89" s="318" t="str">
        <f t="shared" si="106"/>
        <v/>
      </c>
      <c r="U89" s="318" t="str">
        <f t="shared" si="106"/>
        <v/>
      </c>
      <c r="V89" s="318" t="str">
        <f t="shared" si="106"/>
        <v/>
      </c>
      <c r="W89" s="302" t="str">
        <f t="shared" si="106"/>
        <v/>
      </c>
      <c r="X89" s="302" t="str">
        <f t="shared" si="106"/>
        <v/>
      </c>
      <c r="Y89" s="302" t="str">
        <f t="shared" si="106"/>
        <v/>
      </c>
      <c r="Z89" s="302" t="str">
        <f t="shared" si="106"/>
        <v/>
      </c>
      <c r="AA89" s="302" t="str">
        <f t="shared" si="106"/>
        <v/>
      </c>
      <c r="AB89" s="302" t="str">
        <f t="shared" si="106"/>
        <v/>
      </c>
      <c r="AC89" s="302" t="str">
        <f t="shared" si="106"/>
        <v/>
      </c>
      <c r="AD89" s="302" t="str">
        <f t="shared" si="106"/>
        <v/>
      </c>
      <c r="AE89" s="302" t="str">
        <f t="shared" si="106"/>
        <v/>
      </c>
      <c r="AF89" s="302" t="str">
        <f t="shared" si="106"/>
        <v/>
      </c>
      <c r="AG89" s="302" t="str">
        <f t="shared" si="106"/>
        <v/>
      </c>
      <c r="AH89" s="302" t="str">
        <f t="shared" si="106"/>
        <v/>
      </c>
      <c r="AI89" s="302" t="str">
        <f t="shared" si="106"/>
        <v/>
      </c>
      <c r="AJ89" s="302" t="str">
        <f t="shared" si="106"/>
        <v/>
      </c>
      <c r="AK89" s="302" t="str">
        <f t="shared" si="106"/>
        <v/>
      </c>
      <c r="AL89" s="302" t="str">
        <f t="shared" si="106"/>
        <v/>
      </c>
      <c r="AM89" s="302" t="str">
        <f t="shared" si="106"/>
        <v/>
      </c>
      <c r="AN89" s="302" t="str">
        <f t="shared" si="106"/>
        <v/>
      </c>
      <c r="AO89" s="302" t="str">
        <f t="shared" si="106"/>
        <v/>
      </c>
      <c r="AP89" s="302" t="str">
        <f t="shared" si="106"/>
        <v/>
      </c>
      <c r="AQ89" s="302" t="str">
        <f t="shared" si="106"/>
        <v/>
      </c>
      <c r="AR89" s="302" t="str">
        <f t="shared" si="106"/>
        <v/>
      </c>
      <c r="AS89" s="302" t="str">
        <f t="shared" si="106"/>
        <v/>
      </c>
      <c r="AT89" s="302" t="str">
        <f t="shared" ref="AT89:BL89" si="107">IF(AND(AT$88-$B89&gt;=1,AT$88-$B89&lt;=9),HLOOKUP($B89,$C$10:$BL$11,2,FALSE),IF(OR(AT$88-$B89=0,AT$88-$B89=10),(HLOOKUP($B89,$C$10:$BL$11,2,FALSE))/2,""))</f>
        <v/>
      </c>
      <c r="AU89" s="302" t="str">
        <f t="shared" si="107"/>
        <v/>
      </c>
      <c r="AV89" s="302" t="str">
        <f t="shared" si="107"/>
        <v/>
      </c>
      <c r="AW89" s="302" t="str">
        <f t="shared" si="107"/>
        <v/>
      </c>
      <c r="AX89" s="302" t="str">
        <f t="shared" si="107"/>
        <v/>
      </c>
      <c r="AY89" s="302" t="str">
        <f t="shared" si="107"/>
        <v/>
      </c>
      <c r="AZ89" s="302" t="str">
        <f t="shared" si="107"/>
        <v/>
      </c>
      <c r="BA89" s="302" t="str">
        <f t="shared" si="107"/>
        <v/>
      </c>
      <c r="BB89" s="302" t="str">
        <f t="shared" si="107"/>
        <v/>
      </c>
      <c r="BC89" s="302" t="str">
        <f t="shared" si="107"/>
        <v/>
      </c>
      <c r="BD89" s="302" t="str">
        <f t="shared" si="107"/>
        <v/>
      </c>
      <c r="BE89" s="302" t="str">
        <f t="shared" si="107"/>
        <v/>
      </c>
      <c r="BF89" s="302" t="str">
        <f t="shared" si="107"/>
        <v/>
      </c>
      <c r="BG89" s="302" t="str">
        <f t="shared" si="107"/>
        <v/>
      </c>
      <c r="BH89" s="302" t="str">
        <f t="shared" si="107"/>
        <v/>
      </c>
      <c r="BI89" s="302" t="str">
        <f t="shared" si="107"/>
        <v/>
      </c>
      <c r="BJ89" s="302" t="str">
        <f t="shared" si="107"/>
        <v/>
      </c>
      <c r="BK89" s="302" t="str">
        <f t="shared" si="107"/>
        <v/>
      </c>
      <c r="BL89" s="303" t="str">
        <f t="shared" si="107"/>
        <v/>
      </c>
      <c r="BM89" s="317"/>
    </row>
    <row r="90" spans="1:65" x14ac:dyDescent="0.25">
      <c r="A90" s="69"/>
      <c r="B90" s="297">
        <f t="shared" si="103"/>
        <v>2003</v>
      </c>
      <c r="C90" s="269" t="str">
        <f t="shared" si="104"/>
        <v/>
      </c>
      <c r="D90" s="318">
        <f t="shared" si="105"/>
        <v>1.8579307168026693E-2</v>
      </c>
      <c r="E90" s="318">
        <f t="shared" si="105"/>
        <v>3.7503804990897317E-2</v>
      </c>
      <c r="F90" s="318">
        <f t="shared" si="105"/>
        <v>3.7503804990897317E-2</v>
      </c>
      <c r="G90" s="318">
        <f t="shared" si="105"/>
        <v>3.7503804990897317E-2</v>
      </c>
      <c r="H90" s="318">
        <f t="shared" si="105"/>
        <v>3.7503804990897317E-2</v>
      </c>
      <c r="I90" s="318">
        <f t="shared" si="105"/>
        <v>3.7503804990897317E-2</v>
      </c>
      <c r="J90" s="318">
        <f t="shared" si="105"/>
        <v>3.7503804990897317E-2</v>
      </c>
      <c r="K90" s="318">
        <f t="shared" si="105"/>
        <v>3.7503804990897317E-2</v>
      </c>
      <c r="L90" s="318">
        <f t="shared" si="105"/>
        <v>3.7503804990897317E-2</v>
      </c>
      <c r="M90" s="318">
        <f t="shared" si="105"/>
        <v>3.7503804990897317E-2</v>
      </c>
      <c r="N90" s="318">
        <f t="shared" ref="N90:T99" si="108">IF(AND(N$88-$B90&gt;=1,N$88-$B90&lt;=9),HLOOKUP($B90,$C$10:$BL$11,2,FALSE),IF(OR(N$88-$B90=0,N$88-$B90=10),POWER((HLOOKUP($B90,$C$10:$BL$11,2,FALSE))+1,1/2)-1,""))</f>
        <v>1.8579307168026693E-2</v>
      </c>
      <c r="O90" s="318" t="str">
        <f t="shared" si="108"/>
        <v/>
      </c>
      <c r="P90" s="318" t="str">
        <f t="shared" si="108"/>
        <v/>
      </c>
      <c r="Q90" s="318" t="str">
        <f t="shared" si="108"/>
        <v/>
      </c>
      <c r="R90" s="318" t="str">
        <f t="shared" si="108"/>
        <v/>
      </c>
      <c r="S90" s="318" t="str">
        <f t="shared" si="108"/>
        <v/>
      </c>
      <c r="T90" s="318" t="str">
        <f t="shared" si="108"/>
        <v/>
      </c>
      <c r="U90" s="318" t="str">
        <f t="shared" ref="U90:AD91" si="109">IF(AND(U$88-$B90&gt;=1,U$88-$B90&lt;=9),HLOOKUP($B90,$C$10:$BL$11,2,FALSE),IF(OR(U$88-$B90=0,U$88-$B90=10),(HLOOKUP($B90,$C$10:$BL$11,2,FALSE))/2,""))</f>
        <v/>
      </c>
      <c r="V90" s="318" t="str">
        <f t="shared" si="109"/>
        <v/>
      </c>
      <c r="W90" s="318" t="str">
        <f t="shared" si="109"/>
        <v/>
      </c>
      <c r="X90" s="318" t="str">
        <f t="shared" si="109"/>
        <v/>
      </c>
      <c r="Y90" s="318" t="str">
        <f t="shared" si="109"/>
        <v/>
      </c>
      <c r="Z90" s="318" t="str">
        <f t="shared" si="109"/>
        <v/>
      </c>
      <c r="AA90" s="318" t="str">
        <f t="shared" si="109"/>
        <v/>
      </c>
      <c r="AB90" s="318" t="str">
        <f t="shared" si="109"/>
        <v/>
      </c>
      <c r="AC90" s="318" t="str">
        <f t="shared" si="109"/>
        <v/>
      </c>
      <c r="AD90" s="318" t="str">
        <f t="shared" si="109"/>
        <v/>
      </c>
      <c r="AE90" s="318" t="str">
        <f t="shared" ref="AE90:AN91" si="110">IF(AND(AE$88-$B90&gt;=1,AE$88-$B90&lt;=9),HLOOKUP($B90,$C$10:$BL$11,2,FALSE),IF(OR(AE$88-$B90=0,AE$88-$B90=10),(HLOOKUP($B90,$C$10:$BL$11,2,FALSE))/2,""))</f>
        <v/>
      </c>
      <c r="AF90" s="318" t="str">
        <f t="shared" si="110"/>
        <v/>
      </c>
      <c r="AG90" s="318" t="str">
        <f t="shared" si="110"/>
        <v/>
      </c>
      <c r="AH90" s="318" t="str">
        <f t="shared" si="110"/>
        <v/>
      </c>
      <c r="AI90" s="318" t="str">
        <f t="shared" si="110"/>
        <v/>
      </c>
      <c r="AJ90" s="318" t="str">
        <f t="shared" si="110"/>
        <v/>
      </c>
      <c r="AK90" s="318" t="str">
        <f t="shared" si="110"/>
        <v/>
      </c>
      <c r="AL90" s="318" t="str">
        <f t="shared" si="110"/>
        <v/>
      </c>
      <c r="AM90" s="318" t="str">
        <f t="shared" si="110"/>
        <v/>
      </c>
      <c r="AN90" s="318" t="str">
        <f t="shared" si="110"/>
        <v/>
      </c>
      <c r="AO90" s="318" t="str">
        <f t="shared" ref="AO90:AX91" si="111">IF(AND(AO$88-$B90&gt;=1,AO$88-$B90&lt;=9),HLOOKUP($B90,$C$10:$BL$11,2,FALSE),IF(OR(AO$88-$B90=0,AO$88-$B90=10),(HLOOKUP($B90,$C$10:$BL$11,2,FALSE))/2,""))</f>
        <v/>
      </c>
      <c r="AP90" s="318" t="str">
        <f t="shared" si="111"/>
        <v/>
      </c>
      <c r="AQ90" s="318" t="str">
        <f t="shared" si="111"/>
        <v/>
      </c>
      <c r="AR90" s="318" t="str">
        <f t="shared" si="111"/>
        <v/>
      </c>
      <c r="AS90" s="318" t="str">
        <f t="shared" si="111"/>
        <v/>
      </c>
      <c r="AT90" s="318" t="str">
        <f t="shared" si="111"/>
        <v/>
      </c>
      <c r="AU90" s="318" t="str">
        <f t="shared" si="111"/>
        <v/>
      </c>
      <c r="AV90" s="318" t="str">
        <f t="shared" si="111"/>
        <v/>
      </c>
      <c r="AW90" s="318" t="str">
        <f t="shared" si="111"/>
        <v/>
      </c>
      <c r="AX90" s="318" t="str">
        <f t="shared" si="111"/>
        <v/>
      </c>
      <c r="AY90" s="318" t="str">
        <f t="shared" ref="AY90:BL91" si="112">IF(AND(AY$88-$B90&gt;=1,AY$88-$B90&lt;=9),HLOOKUP($B90,$C$10:$BL$11,2,FALSE),IF(OR(AY$88-$B90=0,AY$88-$B90=10),(HLOOKUP($B90,$C$10:$BL$11,2,FALSE))/2,""))</f>
        <v/>
      </c>
      <c r="AZ90" s="128" t="str">
        <f t="shared" si="112"/>
        <v/>
      </c>
      <c r="BA90" s="128" t="str">
        <f t="shared" si="112"/>
        <v/>
      </c>
      <c r="BB90" s="128" t="str">
        <f t="shared" si="112"/>
        <v/>
      </c>
      <c r="BC90" s="128" t="str">
        <f t="shared" si="112"/>
        <v/>
      </c>
      <c r="BD90" s="128" t="str">
        <f t="shared" si="112"/>
        <v/>
      </c>
      <c r="BE90" s="128" t="str">
        <f t="shared" si="112"/>
        <v/>
      </c>
      <c r="BF90" s="128" t="str">
        <f t="shared" si="112"/>
        <v/>
      </c>
      <c r="BG90" s="128" t="str">
        <f t="shared" si="112"/>
        <v/>
      </c>
      <c r="BH90" s="128" t="str">
        <f t="shared" si="112"/>
        <v/>
      </c>
      <c r="BI90" s="128" t="str">
        <f t="shared" si="112"/>
        <v/>
      </c>
      <c r="BJ90" s="128" t="str">
        <f t="shared" si="112"/>
        <v/>
      </c>
      <c r="BK90" s="128" t="str">
        <f t="shared" si="112"/>
        <v/>
      </c>
      <c r="BL90" s="319" t="str">
        <f t="shared" si="112"/>
        <v/>
      </c>
      <c r="BM90" s="296"/>
    </row>
    <row r="91" spans="1:65" x14ac:dyDescent="0.25">
      <c r="A91" s="69"/>
      <c r="B91" s="297">
        <f t="shared" si="103"/>
        <v>2004</v>
      </c>
      <c r="C91" s="269" t="str">
        <f t="shared" si="104"/>
        <v/>
      </c>
      <c r="D91" s="318" t="str">
        <f t="shared" si="105"/>
        <v/>
      </c>
      <c r="E91" s="318">
        <f t="shared" si="105"/>
        <v>1.8579307168026693E-2</v>
      </c>
      <c r="F91" s="318">
        <f t="shared" si="105"/>
        <v>3.7503804990897317E-2</v>
      </c>
      <c r="G91" s="318">
        <f t="shared" si="105"/>
        <v>3.7503804990897317E-2</v>
      </c>
      <c r="H91" s="318">
        <f t="shared" si="105"/>
        <v>3.7503804990897317E-2</v>
      </c>
      <c r="I91" s="318">
        <f t="shared" si="105"/>
        <v>3.7503804990897317E-2</v>
      </c>
      <c r="J91" s="318">
        <f t="shared" si="105"/>
        <v>3.7503804990897317E-2</v>
      </c>
      <c r="K91" s="318">
        <f t="shared" si="105"/>
        <v>3.7503804990897317E-2</v>
      </c>
      <c r="L91" s="318">
        <f t="shared" si="105"/>
        <v>3.7503804990897317E-2</v>
      </c>
      <c r="M91" s="318">
        <f t="shared" si="105"/>
        <v>3.7503804990897317E-2</v>
      </c>
      <c r="N91" s="318">
        <f t="shared" si="108"/>
        <v>3.7503804990897317E-2</v>
      </c>
      <c r="O91" s="318">
        <f t="shared" si="108"/>
        <v>1.8579307168026693E-2</v>
      </c>
      <c r="P91" s="318" t="str">
        <f t="shared" si="108"/>
        <v/>
      </c>
      <c r="Q91" s="318" t="str">
        <f t="shared" si="108"/>
        <v/>
      </c>
      <c r="R91" s="318" t="str">
        <f t="shared" si="108"/>
        <v/>
      </c>
      <c r="S91" s="318" t="str">
        <f t="shared" si="108"/>
        <v/>
      </c>
      <c r="T91" s="318" t="str">
        <f t="shared" si="108"/>
        <v/>
      </c>
      <c r="U91" s="318" t="str">
        <f t="shared" si="109"/>
        <v/>
      </c>
      <c r="V91" s="318" t="str">
        <f t="shared" si="109"/>
        <v/>
      </c>
      <c r="W91" s="318" t="str">
        <f t="shared" si="109"/>
        <v/>
      </c>
      <c r="X91" s="318" t="str">
        <f t="shared" si="109"/>
        <v/>
      </c>
      <c r="Y91" s="318" t="str">
        <f t="shared" si="109"/>
        <v/>
      </c>
      <c r="Z91" s="318" t="str">
        <f t="shared" si="109"/>
        <v/>
      </c>
      <c r="AA91" s="318" t="str">
        <f t="shared" si="109"/>
        <v/>
      </c>
      <c r="AB91" s="318" t="str">
        <f t="shared" si="109"/>
        <v/>
      </c>
      <c r="AC91" s="318" t="str">
        <f t="shared" si="109"/>
        <v/>
      </c>
      <c r="AD91" s="318" t="str">
        <f t="shared" si="109"/>
        <v/>
      </c>
      <c r="AE91" s="318" t="str">
        <f t="shared" si="110"/>
        <v/>
      </c>
      <c r="AF91" s="318" t="str">
        <f t="shared" si="110"/>
        <v/>
      </c>
      <c r="AG91" s="318" t="str">
        <f t="shared" si="110"/>
        <v/>
      </c>
      <c r="AH91" s="318" t="str">
        <f t="shared" si="110"/>
        <v/>
      </c>
      <c r="AI91" s="318" t="str">
        <f t="shared" si="110"/>
        <v/>
      </c>
      <c r="AJ91" s="318" t="str">
        <f t="shared" si="110"/>
        <v/>
      </c>
      <c r="AK91" s="318" t="str">
        <f t="shared" si="110"/>
        <v/>
      </c>
      <c r="AL91" s="318" t="str">
        <f t="shared" si="110"/>
        <v/>
      </c>
      <c r="AM91" s="318" t="str">
        <f t="shared" si="110"/>
        <v/>
      </c>
      <c r="AN91" s="318" t="str">
        <f t="shared" si="110"/>
        <v/>
      </c>
      <c r="AO91" s="318" t="str">
        <f t="shared" si="111"/>
        <v/>
      </c>
      <c r="AP91" s="318" t="str">
        <f t="shared" si="111"/>
        <v/>
      </c>
      <c r="AQ91" s="318" t="str">
        <f t="shared" si="111"/>
        <v/>
      </c>
      <c r="AR91" s="318" t="str">
        <f t="shared" si="111"/>
        <v/>
      </c>
      <c r="AS91" s="318" t="str">
        <f t="shared" si="111"/>
        <v/>
      </c>
      <c r="AT91" s="318" t="str">
        <f t="shared" si="111"/>
        <v/>
      </c>
      <c r="AU91" s="318" t="str">
        <f t="shared" si="111"/>
        <v/>
      </c>
      <c r="AV91" s="318" t="str">
        <f t="shared" si="111"/>
        <v/>
      </c>
      <c r="AW91" s="318" t="str">
        <f t="shared" si="111"/>
        <v/>
      </c>
      <c r="AX91" s="318" t="str">
        <f t="shared" si="111"/>
        <v/>
      </c>
      <c r="AY91" s="318" t="str">
        <f t="shared" si="112"/>
        <v/>
      </c>
      <c r="AZ91" s="128" t="str">
        <f t="shared" si="112"/>
        <v/>
      </c>
      <c r="BA91" s="128" t="str">
        <f t="shared" si="112"/>
        <v/>
      </c>
      <c r="BB91" s="128" t="str">
        <f t="shared" si="112"/>
        <v/>
      </c>
      <c r="BC91" s="128" t="str">
        <f t="shared" si="112"/>
        <v/>
      </c>
      <c r="BD91" s="128" t="str">
        <f t="shared" si="112"/>
        <v/>
      </c>
      <c r="BE91" s="128" t="str">
        <f t="shared" si="112"/>
        <v/>
      </c>
      <c r="BF91" s="128" t="str">
        <f t="shared" si="112"/>
        <v/>
      </c>
      <c r="BG91" s="128" t="str">
        <f t="shared" si="112"/>
        <v/>
      </c>
      <c r="BH91" s="128" t="str">
        <f t="shared" si="112"/>
        <v/>
      </c>
      <c r="BI91" s="128" t="str">
        <f t="shared" si="112"/>
        <v/>
      </c>
      <c r="BJ91" s="128" t="str">
        <f t="shared" si="112"/>
        <v/>
      </c>
      <c r="BK91" s="128" t="str">
        <f t="shared" si="112"/>
        <v/>
      </c>
      <c r="BL91" s="319" t="str">
        <f t="shared" si="112"/>
        <v/>
      </c>
      <c r="BM91" s="296"/>
    </row>
    <row r="92" spans="1:65" x14ac:dyDescent="0.25">
      <c r="A92" s="69"/>
      <c r="B92" s="297">
        <f t="shared" si="103"/>
        <v>2005</v>
      </c>
      <c r="C92" s="269" t="str">
        <f t="shared" si="104"/>
        <v/>
      </c>
      <c r="D92" s="318" t="str">
        <f t="shared" si="105"/>
        <v/>
      </c>
      <c r="E92" s="318" t="str">
        <f t="shared" si="105"/>
        <v/>
      </c>
      <c r="F92" s="318">
        <f t="shared" si="105"/>
        <v>1.8579307168026693E-2</v>
      </c>
      <c r="G92" s="318">
        <f t="shared" si="105"/>
        <v>3.7503804990897317E-2</v>
      </c>
      <c r="H92" s="318">
        <f t="shared" si="105"/>
        <v>3.7503804990897317E-2</v>
      </c>
      <c r="I92" s="318">
        <f t="shared" si="105"/>
        <v>3.7503804990897317E-2</v>
      </c>
      <c r="J92" s="318">
        <f t="shared" si="105"/>
        <v>3.7503804990897317E-2</v>
      </c>
      <c r="K92" s="318">
        <f t="shared" si="105"/>
        <v>3.7503804990897317E-2</v>
      </c>
      <c r="L92" s="318">
        <f t="shared" si="105"/>
        <v>3.7503804990897317E-2</v>
      </c>
      <c r="M92" s="318">
        <f t="shared" si="105"/>
        <v>3.7503804990897317E-2</v>
      </c>
      <c r="N92" s="318">
        <f t="shared" si="108"/>
        <v>3.7503804990897317E-2</v>
      </c>
      <c r="O92" s="318">
        <f t="shared" si="108"/>
        <v>3.7503804990897317E-2</v>
      </c>
      <c r="P92" s="318">
        <f t="shared" si="108"/>
        <v>1.8579307168026693E-2</v>
      </c>
      <c r="Q92" s="318" t="str">
        <f t="shared" si="108"/>
        <v/>
      </c>
      <c r="R92" s="318" t="str">
        <f t="shared" si="108"/>
        <v/>
      </c>
      <c r="S92" s="318" t="str">
        <f t="shared" si="108"/>
        <v/>
      </c>
      <c r="T92" s="318" t="str">
        <f t="shared" si="108"/>
        <v/>
      </c>
      <c r="U92" s="318" t="str">
        <f t="shared" ref="U92:AD101" si="113">IF(AND(U$88-$B92&gt;=1,U$88-$B92&lt;=9),HLOOKUP($B92,$C$10:$BL$11,2,FALSE),IF(OR(U$88-$B92=0,U$88-$B92=10),POWER((HLOOKUP($B92,$C$10:$BL$11,2,FALSE))+1,1/2)-1,""))</f>
        <v/>
      </c>
      <c r="V92" s="318" t="str">
        <f t="shared" si="113"/>
        <v/>
      </c>
      <c r="W92" s="318" t="str">
        <f t="shared" si="113"/>
        <v/>
      </c>
      <c r="X92" s="318" t="str">
        <f t="shared" si="113"/>
        <v/>
      </c>
      <c r="Y92" s="318" t="str">
        <f t="shared" si="113"/>
        <v/>
      </c>
      <c r="Z92" s="318" t="str">
        <f t="shared" si="113"/>
        <v/>
      </c>
      <c r="AA92" s="318" t="str">
        <f t="shared" si="113"/>
        <v/>
      </c>
      <c r="AB92" s="318" t="str">
        <f t="shared" si="113"/>
        <v/>
      </c>
      <c r="AC92" s="318" t="str">
        <f t="shared" si="113"/>
        <v/>
      </c>
      <c r="AD92" s="318" t="str">
        <f t="shared" si="113"/>
        <v/>
      </c>
      <c r="AE92" s="318" t="str">
        <f t="shared" ref="AE92:AN105" si="114">IF(AND(AE$88-$B92&gt;=1,AE$88-$B92&lt;=9),HLOOKUP($B92,$C$10:$BL$11,2,FALSE),IF(OR(AE$88-$B92=0,AE$88-$B92=10),(HLOOKUP($B92,$C$10:$BL$11,2,FALSE))/2,""))</f>
        <v/>
      </c>
      <c r="AF92" s="318" t="str">
        <f t="shared" si="114"/>
        <v/>
      </c>
      <c r="AG92" s="318" t="str">
        <f t="shared" si="114"/>
        <v/>
      </c>
      <c r="AH92" s="318" t="str">
        <f t="shared" si="114"/>
        <v/>
      </c>
      <c r="AI92" s="318" t="str">
        <f t="shared" si="114"/>
        <v/>
      </c>
      <c r="AJ92" s="318" t="str">
        <f t="shared" si="114"/>
        <v/>
      </c>
      <c r="AK92" s="318" t="str">
        <f t="shared" si="114"/>
        <v/>
      </c>
      <c r="AL92" s="318" t="str">
        <f t="shared" si="114"/>
        <v/>
      </c>
      <c r="AM92" s="318" t="str">
        <f t="shared" si="114"/>
        <v/>
      </c>
      <c r="AN92" s="318" t="str">
        <f t="shared" si="114"/>
        <v/>
      </c>
      <c r="AO92" s="318" t="str">
        <f t="shared" ref="AO92:AX105" si="115">IF(AND(AO$88-$B92&gt;=1,AO$88-$B92&lt;=9),HLOOKUP($B92,$C$10:$BL$11,2,FALSE),IF(OR(AO$88-$B92=0,AO$88-$B92=10),(HLOOKUP($B92,$C$10:$BL$11,2,FALSE))/2,""))</f>
        <v/>
      </c>
      <c r="AP92" s="318" t="str">
        <f t="shared" si="115"/>
        <v/>
      </c>
      <c r="AQ92" s="318" t="str">
        <f t="shared" si="115"/>
        <v/>
      </c>
      <c r="AR92" s="318" t="str">
        <f t="shared" si="115"/>
        <v/>
      </c>
      <c r="AS92" s="318" t="str">
        <f t="shared" si="115"/>
        <v/>
      </c>
      <c r="AT92" s="318" t="str">
        <f t="shared" si="115"/>
        <v/>
      </c>
      <c r="AU92" s="318" t="str">
        <f t="shared" si="115"/>
        <v/>
      </c>
      <c r="AV92" s="318" t="str">
        <f t="shared" si="115"/>
        <v/>
      </c>
      <c r="AW92" s="318" t="str">
        <f t="shared" si="115"/>
        <v/>
      </c>
      <c r="AX92" s="318" t="str">
        <f t="shared" si="115"/>
        <v/>
      </c>
      <c r="AY92" s="318" t="str">
        <f t="shared" ref="AY92:BL105" si="116">IF(AND(AY$88-$B92&gt;=1,AY$88-$B92&lt;=9),HLOOKUP($B92,$C$10:$BL$11,2,FALSE),IF(OR(AY$88-$B92=0,AY$88-$B92=10),(HLOOKUP($B92,$C$10:$BL$11,2,FALSE))/2,""))</f>
        <v/>
      </c>
      <c r="AZ92" s="128" t="str">
        <f t="shared" si="116"/>
        <v/>
      </c>
      <c r="BA92" s="128" t="str">
        <f t="shared" si="116"/>
        <v/>
      </c>
      <c r="BB92" s="128" t="str">
        <f t="shared" si="116"/>
        <v/>
      </c>
      <c r="BC92" s="128" t="str">
        <f t="shared" si="116"/>
        <v/>
      </c>
      <c r="BD92" s="128" t="str">
        <f t="shared" si="116"/>
        <v/>
      </c>
      <c r="BE92" s="128" t="str">
        <f t="shared" si="116"/>
        <v/>
      </c>
      <c r="BF92" s="128" t="str">
        <f t="shared" si="116"/>
        <v/>
      </c>
      <c r="BG92" s="128" t="str">
        <f t="shared" si="116"/>
        <v/>
      </c>
      <c r="BH92" s="128" t="str">
        <f t="shared" si="116"/>
        <v/>
      </c>
      <c r="BI92" s="128" t="str">
        <f t="shared" si="116"/>
        <v/>
      </c>
      <c r="BJ92" s="128" t="str">
        <f t="shared" si="116"/>
        <v/>
      </c>
      <c r="BK92" s="128" t="str">
        <f t="shared" si="116"/>
        <v/>
      </c>
      <c r="BL92" s="319" t="str">
        <f t="shared" si="116"/>
        <v/>
      </c>
      <c r="BM92" s="296"/>
    </row>
    <row r="93" spans="1:65" x14ac:dyDescent="0.25">
      <c r="A93" s="69"/>
      <c r="B93" s="297">
        <f t="shared" si="103"/>
        <v>2006</v>
      </c>
      <c r="C93" s="269" t="str">
        <f t="shared" si="104"/>
        <v/>
      </c>
      <c r="D93" s="318" t="str">
        <f t="shared" si="105"/>
        <v/>
      </c>
      <c r="E93" s="318" t="str">
        <f t="shared" si="105"/>
        <v/>
      </c>
      <c r="F93" s="318" t="str">
        <f t="shared" si="105"/>
        <v/>
      </c>
      <c r="G93" s="318">
        <f t="shared" si="105"/>
        <v>1.8579307168026693E-2</v>
      </c>
      <c r="H93" s="318">
        <f t="shared" si="105"/>
        <v>3.7503804990897317E-2</v>
      </c>
      <c r="I93" s="318">
        <f t="shared" si="105"/>
        <v>3.7503804990897317E-2</v>
      </c>
      <c r="J93" s="318">
        <f t="shared" si="105"/>
        <v>3.7503804990897317E-2</v>
      </c>
      <c r="K93" s="318">
        <f t="shared" si="105"/>
        <v>3.7503804990897317E-2</v>
      </c>
      <c r="L93" s="318">
        <f t="shared" si="105"/>
        <v>3.7503804990897317E-2</v>
      </c>
      <c r="M93" s="318">
        <f t="shared" si="105"/>
        <v>3.7503804990897317E-2</v>
      </c>
      <c r="N93" s="318">
        <f t="shared" si="108"/>
        <v>3.7503804990897317E-2</v>
      </c>
      <c r="O93" s="318">
        <f t="shared" si="108"/>
        <v>3.7503804990897317E-2</v>
      </c>
      <c r="P93" s="318">
        <f t="shared" si="108"/>
        <v>3.7503804990897317E-2</v>
      </c>
      <c r="Q93" s="318">
        <f t="shared" si="108"/>
        <v>1.8579307168026693E-2</v>
      </c>
      <c r="R93" s="318" t="str">
        <f t="shared" si="108"/>
        <v/>
      </c>
      <c r="S93" s="318" t="str">
        <f t="shared" si="108"/>
        <v/>
      </c>
      <c r="T93" s="318" t="str">
        <f t="shared" si="108"/>
        <v/>
      </c>
      <c r="U93" s="318" t="str">
        <f t="shared" si="113"/>
        <v/>
      </c>
      <c r="V93" s="318" t="str">
        <f t="shared" si="113"/>
        <v/>
      </c>
      <c r="W93" s="318" t="str">
        <f t="shared" si="113"/>
        <v/>
      </c>
      <c r="X93" s="318" t="str">
        <f t="shared" si="113"/>
        <v/>
      </c>
      <c r="Y93" s="318" t="str">
        <f t="shared" si="113"/>
        <v/>
      </c>
      <c r="Z93" s="318" t="str">
        <f t="shared" si="113"/>
        <v/>
      </c>
      <c r="AA93" s="318" t="str">
        <f t="shared" si="113"/>
        <v/>
      </c>
      <c r="AB93" s="318" t="str">
        <f t="shared" si="113"/>
        <v/>
      </c>
      <c r="AC93" s="318" t="str">
        <f t="shared" si="113"/>
        <v/>
      </c>
      <c r="AD93" s="318" t="str">
        <f t="shared" si="113"/>
        <v/>
      </c>
      <c r="AE93" s="318" t="str">
        <f t="shared" si="114"/>
        <v/>
      </c>
      <c r="AF93" s="318" t="str">
        <f t="shared" si="114"/>
        <v/>
      </c>
      <c r="AG93" s="318" t="str">
        <f t="shared" si="114"/>
        <v/>
      </c>
      <c r="AH93" s="318" t="str">
        <f t="shared" si="114"/>
        <v/>
      </c>
      <c r="AI93" s="318" t="str">
        <f t="shared" si="114"/>
        <v/>
      </c>
      <c r="AJ93" s="318" t="str">
        <f t="shared" si="114"/>
        <v/>
      </c>
      <c r="AK93" s="318" t="str">
        <f t="shared" si="114"/>
        <v/>
      </c>
      <c r="AL93" s="318" t="str">
        <f t="shared" si="114"/>
        <v/>
      </c>
      <c r="AM93" s="318" t="str">
        <f t="shared" si="114"/>
        <v/>
      </c>
      <c r="AN93" s="318" t="str">
        <f t="shared" si="114"/>
        <v/>
      </c>
      <c r="AO93" s="318" t="str">
        <f t="shared" si="115"/>
        <v/>
      </c>
      <c r="AP93" s="318" t="str">
        <f t="shared" si="115"/>
        <v/>
      </c>
      <c r="AQ93" s="318" t="str">
        <f t="shared" si="115"/>
        <v/>
      </c>
      <c r="AR93" s="318" t="str">
        <f t="shared" si="115"/>
        <v/>
      </c>
      <c r="AS93" s="318" t="str">
        <f t="shared" si="115"/>
        <v/>
      </c>
      <c r="AT93" s="318" t="str">
        <f t="shared" si="115"/>
        <v/>
      </c>
      <c r="AU93" s="318" t="str">
        <f t="shared" si="115"/>
        <v/>
      </c>
      <c r="AV93" s="318" t="str">
        <f t="shared" si="115"/>
        <v/>
      </c>
      <c r="AW93" s="318" t="str">
        <f t="shared" si="115"/>
        <v/>
      </c>
      <c r="AX93" s="318" t="str">
        <f t="shared" si="115"/>
        <v/>
      </c>
      <c r="AY93" s="318" t="str">
        <f t="shared" si="116"/>
        <v/>
      </c>
      <c r="AZ93" s="128" t="str">
        <f t="shared" si="116"/>
        <v/>
      </c>
      <c r="BA93" s="128" t="str">
        <f t="shared" si="116"/>
        <v/>
      </c>
      <c r="BB93" s="128" t="str">
        <f t="shared" si="116"/>
        <v/>
      </c>
      <c r="BC93" s="128" t="str">
        <f t="shared" si="116"/>
        <v/>
      </c>
      <c r="BD93" s="128" t="str">
        <f t="shared" si="116"/>
        <v/>
      </c>
      <c r="BE93" s="128" t="str">
        <f t="shared" si="116"/>
        <v/>
      </c>
      <c r="BF93" s="128" t="str">
        <f t="shared" si="116"/>
        <v/>
      </c>
      <c r="BG93" s="128" t="str">
        <f t="shared" si="116"/>
        <v/>
      </c>
      <c r="BH93" s="128" t="str">
        <f t="shared" si="116"/>
        <v/>
      </c>
      <c r="BI93" s="128" t="str">
        <f t="shared" si="116"/>
        <v/>
      </c>
      <c r="BJ93" s="128" t="str">
        <f t="shared" si="116"/>
        <v/>
      </c>
      <c r="BK93" s="128" t="str">
        <f t="shared" si="116"/>
        <v/>
      </c>
      <c r="BL93" s="319" t="str">
        <f t="shared" si="116"/>
        <v/>
      </c>
      <c r="BM93" s="296"/>
    </row>
    <row r="94" spans="1:65" x14ac:dyDescent="0.25">
      <c r="A94" s="69"/>
      <c r="B94" s="297">
        <f t="shared" si="103"/>
        <v>2007</v>
      </c>
      <c r="C94" s="269" t="str">
        <f t="shared" si="104"/>
        <v/>
      </c>
      <c r="D94" s="318" t="str">
        <f t="shared" si="105"/>
        <v/>
      </c>
      <c r="E94" s="318" t="str">
        <f t="shared" si="105"/>
        <v/>
      </c>
      <c r="F94" s="318" t="str">
        <f t="shared" si="105"/>
        <v/>
      </c>
      <c r="G94" s="318" t="str">
        <f t="shared" si="105"/>
        <v/>
      </c>
      <c r="H94" s="318">
        <f t="shared" si="105"/>
        <v>1.8579307168026693E-2</v>
      </c>
      <c r="I94" s="318">
        <f t="shared" si="105"/>
        <v>3.7503804990897317E-2</v>
      </c>
      <c r="J94" s="318">
        <f t="shared" si="105"/>
        <v>3.7503804990897317E-2</v>
      </c>
      <c r="K94" s="318">
        <f t="shared" si="105"/>
        <v>3.7503804990897317E-2</v>
      </c>
      <c r="L94" s="318">
        <f t="shared" si="105"/>
        <v>3.7503804990897317E-2</v>
      </c>
      <c r="M94" s="318">
        <f t="shared" si="105"/>
        <v>3.7503804990897317E-2</v>
      </c>
      <c r="N94" s="318">
        <f t="shared" si="108"/>
        <v>3.7503804990897317E-2</v>
      </c>
      <c r="O94" s="318">
        <f t="shared" si="108"/>
        <v>3.7503804990897317E-2</v>
      </c>
      <c r="P94" s="318">
        <f t="shared" si="108"/>
        <v>3.7503804990897317E-2</v>
      </c>
      <c r="Q94" s="318">
        <f t="shared" si="108"/>
        <v>3.7503804990897317E-2</v>
      </c>
      <c r="R94" s="318">
        <f t="shared" si="108"/>
        <v>1.8579307168026693E-2</v>
      </c>
      <c r="S94" s="318" t="str">
        <f t="shared" si="108"/>
        <v/>
      </c>
      <c r="T94" s="318" t="str">
        <f t="shared" si="108"/>
        <v/>
      </c>
      <c r="U94" s="318" t="str">
        <f t="shared" si="113"/>
        <v/>
      </c>
      <c r="V94" s="318" t="str">
        <f t="shared" si="113"/>
        <v/>
      </c>
      <c r="W94" s="318" t="str">
        <f t="shared" si="113"/>
        <v/>
      </c>
      <c r="X94" s="318" t="str">
        <f t="shared" si="113"/>
        <v/>
      </c>
      <c r="Y94" s="318" t="str">
        <f t="shared" si="113"/>
        <v/>
      </c>
      <c r="Z94" s="318" t="str">
        <f t="shared" si="113"/>
        <v/>
      </c>
      <c r="AA94" s="318" t="str">
        <f t="shared" si="113"/>
        <v/>
      </c>
      <c r="AB94" s="318" t="str">
        <f t="shared" si="113"/>
        <v/>
      </c>
      <c r="AC94" s="318" t="str">
        <f t="shared" si="113"/>
        <v/>
      </c>
      <c r="AD94" s="318" t="str">
        <f t="shared" si="113"/>
        <v/>
      </c>
      <c r="AE94" s="318" t="str">
        <f t="shared" si="114"/>
        <v/>
      </c>
      <c r="AF94" s="318" t="str">
        <f t="shared" si="114"/>
        <v/>
      </c>
      <c r="AG94" s="318" t="str">
        <f t="shared" si="114"/>
        <v/>
      </c>
      <c r="AH94" s="318" t="str">
        <f t="shared" si="114"/>
        <v/>
      </c>
      <c r="AI94" s="318" t="str">
        <f t="shared" si="114"/>
        <v/>
      </c>
      <c r="AJ94" s="318" t="str">
        <f t="shared" si="114"/>
        <v/>
      </c>
      <c r="AK94" s="318" t="str">
        <f t="shared" si="114"/>
        <v/>
      </c>
      <c r="AL94" s="318" t="str">
        <f t="shared" si="114"/>
        <v/>
      </c>
      <c r="AM94" s="318" t="str">
        <f t="shared" si="114"/>
        <v/>
      </c>
      <c r="AN94" s="318" t="str">
        <f t="shared" si="114"/>
        <v/>
      </c>
      <c r="AO94" s="318" t="str">
        <f t="shared" si="115"/>
        <v/>
      </c>
      <c r="AP94" s="318" t="str">
        <f t="shared" si="115"/>
        <v/>
      </c>
      <c r="AQ94" s="318" t="str">
        <f t="shared" si="115"/>
        <v/>
      </c>
      <c r="AR94" s="318" t="str">
        <f t="shared" si="115"/>
        <v/>
      </c>
      <c r="AS94" s="318" t="str">
        <f t="shared" si="115"/>
        <v/>
      </c>
      <c r="AT94" s="318" t="str">
        <f t="shared" si="115"/>
        <v/>
      </c>
      <c r="AU94" s="318" t="str">
        <f t="shared" si="115"/>
        <v/>
      </c>
      <c r="AV94" s="318" t="str">
        <f t="shared" si="115"/>
        <v/>
      </c>
      <c r="AW94" s="318" t="str">
        <f t="shared" si="115"/>
        <v/>
      </c>
      <c r="AX94" s="318" t="str">
        <f t="shared" si="115"/>
        <v/>
      </c>
      <c r="AY94" s="318" t="str">
        <f t="shared" si="116"/>
        <v/>
      </c>
      <c r="AZ94" s="128" t="str">
        <f t="shared" si="116"/>
        <v/>
      </c>
      <c r="BA94" s="128" t="str">
        <f t="shared" si="116"/>
        <v/>
      </c>
      <c r="BB94" s="128" t="str">
        <f t="shared" si="116"/>
        <v/>
      </c>
      <c r="BC94" s="128" t="str">
        <f t="shared" si="116"/>
        <v/>
      </c>
      <c r="BD94" s="128" t="str">
        <f t="shared" si="116"/>
        <v/>
      </c>
      <c r="BE94" s="128" t="str">
        <f t="shared" si="116"/>
        <v/>
      </c>
      <c r="BF94" s="128" t="str">
        <f t="shared" si="116"/>
        <v/>
      </c>
      <c r="BG94" s="128" t="str">
        <f t="shared" si="116"/>
        <v/>
      </c>
      <c r="BH94" s="128" t="str">
        <f t="shared" si="116"/>
        <v/>
      </c>
      <c r="BI94" s="128" t="str">
        <f t="shared" si="116"/>
        <v/>
      </c>
      <c r="BJ94" s="128" t="str">
        <f t="shared" si="116"/>
        <v/>
      </c>
      <c r="BK94" s="128" t="str">
        <f t="shared" si="116"/>
        <v/>
      </c>
      <c r="BL94" s="319" t="str">
        <f t="shared" si="116"/>
        <v/>
      </c>
      <c r="BM94" s="296"/>
    </row>
    <row r="95" spans="1:65" x14ac:dyDescent="0.25">
      <c r="A95" s="69"/>
      <c r="B95" s="297">
        <f t="shared" si="103"/>
        <v>2008</v>
      </c>
      <c r="C95" s="269" t="str">
        <f t="shared" si="104"/>
        <v/>
      </c>
      <c r="D95" s="318" t="str">
        <f t="shared" si="105"/>
        <v/>
      </c>
      <c r="E95" s="318" t="str">
        <f t="shared" si="105"/>
        <v/>
      </c>
      <c r="F95" s="318" t="str">
        <f t="shared" si="105"/>
        <v/>
      </c>
      <c r="G95" s="318" t="str">
        <f t="shared" si="105"/>
        <v/>
      </c>
      <c r="H95" s="318" t="str">
        <f t="shared" si="105"/>
        <v/>
      </c>
      <c r="I95" s="318">
        <f t="shared" si="105"/>
        <v>1.8579307168026693E-2</v>
      </c>
      <c r="J95" s="318">
        <f t="shared" si="105"/>
        <v>3.7503804990897317E-2</v>
      </c>
      <c r="K95" s="318">
        <f t="shared" si="105"/>
        <v>3.7503804990897317E-2</v>
      </c>
      <c r="L95" s="318">
        <f t="shared" si="105"/>
        <v>3.7503804990897317E-2</v>
      </c>
      <c r="M95" s="318">
        <f t="shared" si="105"/>
        <v>3.7503804990897317E-2</v>
      </c>
      <c r="N95" s="318">
        <f t="shared" si="108"/>
        <v>3.7503804990897317E-2</v>
      </c>
      <c r="O95" s="318">
        <f t="shared" si="108"/>
        <v>3.7503804990897317E-2</v>
      </c>
      <c r="P95" s="318">
        <f t="shared" si="108"/>
        <v>3.7503804990897317E-2</v>
      </c>
      <c r="Q95" s="318">
        <f t="shared" si="108"/>
        <v>3.7503804990897317E-2</v>
      </c>
      <c r="R95" s="318">
        <f t="shared" si="108"/>
        <v>3.7503804990897317E-2</v>
      </c>
      <c r="S95" s="318">
        <f t="shared" si="108"/>
        <v>1.8579307168026693E-2</v>
      </c>
      <c r="T95" s="318" t="str">
        <f t="shared" si="108"/>
        <v/>
      </c>
      <c r="U95" s="318" t="str">
        <f t="shared" si="113"/>
        <v/>
      </c>
      <c r="V95" s="318" t="str">
        <f t="shared" si="113"/>
        <v/>
      </c>
      <c r="W95" s="318" t="str">
        <f t="shared" si="113"/>
        <v/>
      </c>
      <c r="X95" s="318" t="str">
        <f t="shared" si="113"/>
        <v/>
      </c>
      <c r="Y95" s="318" t="str">
        <f t="shared" si="113"/>
        <v/>
      </c>
      <c r="Z95" s="318" t="str">
        <f t="shared" si="113"/>
        <v/>
      </c>
      <c r="AA95" s="318" t="str">
        <f t="shared" si="113"/>
        <v/>
      </c>
      <c r="AB95" s="318" t="str">
        <f t="shared" si="113"/>
        <v/>
      </c>
      <c r="AC95" s="318" t="str">
        <f t="shared" si="113"/>
        <v/>
      </c>
      <c r="AD95" s="318" t="str">
        <f t="shared" si="113"/>
        <v/>
      </c>
      <c r="AE95" s="318" t="str">
        <f t="shared" si="114"/>
        <v/>
      </c>
      <c r="AF95" s="318" t="str">
        <f t="shared" si="114"/>
        <v/>
      </c>
      <c r="AG95" s="318" t="str">
        <f t="shared" si="114"/>
        <v/>
      </c>
      <c r="AH95" s="318" t="str">
        <f t="shared" si="114"/>
        <v/>
      </c>
      <c r="AI95" s="318" t="str">
        <f t="shared" si="114"/>
        <v/>
      </c>
      <c r="AJ95" s="318" t="str">
        <f t="shared" si="114"/>
        <v/>
      </c>
      <c r="AK95" s="318" t="str">
        <f t="shared" si="114"/>
        <v/>
      </c>
      <c r="AL95" s="318" t="str">
        <f t="shared" si="114"/>
        <v/>
      </c>
      <c r="AM95" s="318" t="str">
        <f t="shared" si="114"/>
        <v/>
      </c>
      <c r="AN95" s="318" t="str">
        <f t="shared" si="114"/>
        <v/>
      </c>
      <c r="AO95" s="318" t="str">
        <f t="shared" si="115"/>
        <v/>
      </c>
      <c r="AP95" s="318" t="str">
        <f t="shared" si="115"/>
        <v/>
      </c>
      <c r="AQ95" s="318" t="str">
        <f t="shared" si="115"/>
        <v/>
      </c>
      <c r="AR95" s="318" t="str">
        <f t="shared" si="115"/>
        <v/>
      </c>
      <c r="AS95" s="318" t="str">
        <f t="shared" si="115"/>
        <v/>
      </c>
      <c r="AT95" s="318" t="str">
        <f t="shared" si="115"/>
        <v/>
      </c>
      <c r="AU95" s="318" t="str">
        <f t="shared" si="115"/>
        <v/>
      </c>
      <c r="AV95" s="318" t="str">
        <f t="shared" si="115"/>
        <v/>
      </c>
      <c r="AW95" s="318" t="str">
        <f t="shared" si="115"/>
        <v/>
      </c>
      <c r="AX95" s="318" t="str">
        <f t="shared" si="115"/>
        <v/>
      </c>
      <c r="AY95" s="318" t="str">
        <f t="shared" si="116"/>
        <v/>
      </c>
      <c r="AZ95" s="128" t="str">
        <f t="shared" si="116"/>
        <v/>
      </c>
      <c r="BA95" s="128" t="str">
        <f t="shared" si="116"/>
        <v/>
      </c>
      <c r="BB95" s="128" t="str">
        <f t="shared" si="116"/>
        <v/>
      </c>
      <c r="BC95" s="128" t="str">
        <f t="shared" si="116"/>
        <v/>
      </c>
      <c r="BD95" s="128" t="str">
        <f t="shared" si="116"/>
        <v/>
      </c>
      <c r="BE95" s="128" t="str">
        <f t="shared" si="116"/>
        <v/>
      </c>
      <c r="BF95" s="128" t="str">
        <f t="shared" si="116"/>
        <v/>
      </c>
      <c r="BG95" s="128" t="str">
        <f t="shared" si="116"/>
        <v/>
      </c>
      <c r="BH95" s="128" t="str">
        <f t="shared" si="116"/>
        <v/>
      </c>
      <c r="BI95" s="128" t="str">
        <f t="shared" si="116"/>
        <v/>
      </c>
      <c r="BJ95" s="128" t="str">
        <f t="shared" si="116"/>
        <v/>
      </c>
      <c r="BK95" s="128" t="str">
        <f t="shared" si="116"/>
        <v/>
      </c>
      <c r="BL95" s="319" t="str">
        <f t="shared" si="116"/>
        <v/>
      </c>
      <c r="BM95" s="296"/>
    </row>
    <row r="96" spans="1:65" x14ac:dyDescent="0.25">
      <c r="A96" s="69"/>
      <c r="B96" s="297">
        <f t="shared" si="103"/>
        <v>2009</v>
      </c>
      <c r="C96" s="269" t="str">
        <f t="shared" si="104"/>
        <v/>
      </c>
      <c r="D96" s="318" t="str">
        <f t="shared" si="105"/>
        <v/>
      </c>
      <c r="E96" s="318" t="str">
        <f t="shared" si="105"/>
        <v/>
      </c>
      <c r="F96" s="318" t="str">
        <f t="shared" si="105"/>
        <v/>
      </c>
      <c r="G96" s="318" t="str">
        <f t="shared" si="105"/>
        <v/>
      </c>
      <c r="H96" s="318" t="str">
        <f t="shared" si="105"/>
        <v/>
      </c>
      <c r="I96" s="318" t="str">
        <f t="shared" si="105"/>
        <v/>
      </c>
      <c r="J96" s="318">
        <f t="shared" si="105"/>
        <v>1.8579307168026693E-2</v>
      </c>
      <c r="K96" s="318">
        <f t="shared" si="105"/>
        <v>3.7503804990897317E-2</v>
      </c>
      <c r="L96" s="318">
        <f t="shared" si="105"/>
        <v>3.7503804990897317E-2</v>
      </c>
      <c r="M96" s="318">
        <f t="shared" si="105"/>
        <v>3.7503804990897317E-2</v>
      </c>
      <c r="N96" s="318">
        <f t="shared" si="108"/>
        <v>3.7503804990897317E-2</v>
      </c>
      <c r="O96" s="318">
        <f t="shared" si="108"/>
        <v>3.7503804990897317E-2</v>
      </c>
      <c r="P96" s="318">
        <f t="shared" si="108"/>
        <v>3.7503804990897317E-2</v>
      </c>
      <c r="Q96" s="318">
        <f t="shared" si="108"/>
        <v>3.7503804990897317E-2</v>
      </c>
      <c r="R96" s="318">
        <f t="shared" si="108"/>
        <v>3.7503804990897317E-2</v>
      </c>
      <c r="S96" s="318">
        <f t="shared" si="108"/>
        <v>3.7503804990897317E-2</v>
      </c>
      <c r="T96" s="318">
        <f t="shared" si="108"/>
        <v>1.8579307168026693E-2</v>
      </c>
      <c r="U96" s="318" t="str">
        <f t="shared" si="113"/>
        <v/>
      </c>
      <c r="V96" s="318" t="str">
        <f t="shared" si="113"/>
        <v/>
      </c>
      <c r="W96" s="318" t="str">
        <f t="shared" si="113"/>
        <v/>
      </c>
      <c r="X96" s="318" t="str">
        <f t="shared" si="113"/>
        <v/>
      </c>
      <c r="Y96" s="318" t="str">
        <f t="shared" si="113"/>
        <v/>
      </c>
      <c r="Z96" s="318" t="str">
        <f t="shared" si="113"/>
        <v/>
      </c>
      <c r="AA96" s="318" t="str">
        <f t="shared" si="113"/>
        <v/>
      </c>
      <c r="AB96" s="318" t="str">
        <f t="shared" si="113"/>
        <v/>
      </c>
      <c r="AC96" s="318" t="str">
        <f t="shared" si="113"/>
        <v/>
      </c>
      <c r="AD96" s="318" t="str">
        <f t="shared" si="113"/>
        <v/>
      </c>
      <c r="AE96" s="318" t="str">
        <f t="shared" si="114"/>
        <v/>
      </c>
      <c r="AF96" s="318" t="str">
        <f t="shared" si="114"/>
        <v/>
      </c>
      <c r="AG96" s="318" t="str">
        <f t="shared" si="114"/>
        <v/>
      </c>
      <c r="AH96" s="318" t="str">
        <f t="shared" si="114"/>
        <v/>
      </c>
      <c r="AI96" s="318" t="str">
        <f t="shared" si="114"/>
        <v/>
      </c>
      <c r="AJ96" s="318" t="str">
        <f t="shared" si="114"/>
        <v/>
      </c>
      <c r="AK96" s="318" t="str">
        <f t="shared" si="114"/>
        <v/>
      </c>
      <c r="AL96" s="318" t="str">
        <f t="shared" si="114"/>
        <v/>
      </c>
      <c r="AM96" s="318" t="str">
        <f t="shared" si="114"/>
        <v/>
      </c>
      <c r="AN96" s="318" t="str">
        <f t="shared" si="114"/>
        <v/>
      </c>
      <c r="AO96" s="318" t="str">
        <f t="shared" si="115"/>
        <v/>
      </c>
      <c r="AP96" s="318" t="str">
        <f t="shared" si="115"/>
        <v/>
      </c>
      <c r="AQ96" s="318" t="str">
        <f t="shared" si="115"/>
        <v/>
      </c>
      <c r="AR96" s="318" t="str">
        <f t="shared" si="115"/>
        <v/>
      </c>
      <c r="AS96" s="318" t="str">
        <f t="shared" si="115"/>
        <v/>
      </c>
      <c r="AT96" s="318" t="str">
        <f t="shared" si="115"/>
        <v/>
      </c>
      <c r="AU96" s="318" t="str">
        <f t="shared" si="115"/>
        <v/>
      </c>
      <c r="AV96" s="318" t="str">
        <f t="shared" si="115"/>
        <v/>
      </c>
      <c r="AW96" s="318" t="str">
        <f t="shared" si="115"/>
        <v/>
      </c>
      <c r="AX96" s="318" t="str">
        <f t="shared" si="115"/>
        <v/>
      </c>
      <c r="AY96" s="318" t="str">
        <f t="shared" si="116"/>
        <v/>
      </c>
      <c r="AZ96" s="128" t="str">
        <f t="shared" si="116"/>
        <v/>
      </c>
      <c r="BA96" s="128" t="str">
        <f t="shared" si="116"/>
        <v/>
      </c>
      <c r="BB96" s="128" t="str">
        <f t="shared" si="116"/>
        <v/>
      </c>
      <c r="BC96" s="128" t="str">
        <f t="shared" si="116"/>
        <v/>
      </c>
      <c r="BD96" s="128" t="str">
        <f t="shared" si="116"/>
        <v/>
      </c>
      <c r="BE96" s="128" t="str">
        <f t="shared" si="116"/>
        <v/>
      </c>
      <c r="BF96" s="128" t="str">
        <f t="shared" si="116"/>
        <v/>
      </c>
      <c r="BG96" s="128" t="str">
        <f t="shared" si="116"/>
        <v/>
      </c>
      <c r="BH96" s="128" t="str">
        <f t="shared" si="116"/>
        <v/>
      </c>
      <c r="BI96" s="128" t="str">
        <f t="shared" si="116"/>
        <v/>
      </c>
      <c r="BJ96" s="128" t="str">
        <f t="shared" si="116"/>
        <v/>
      </c>
      <c r="BK96" s="128" t="str">
        <f t="shared" si="116"/>
        <v/>
      </c>
      <c r="BL96" s="319" t="str">
        <f t="shared" si="116"/>
        <v/>
      </c>
      <c r="BM96" s="296"/>
    </row>
    <row r="97" spans="1:65" x14ac:dyDescent="0.25">
      <c r="A97" s="69"/>
      <c r="B97" s="297">
        <f t="shared" si="103"/>
        <v>2010</v>
      </c>
      <c r="C97" s="269" t="str">
        <f t="shared" si="104"/>
        <v/>
      </c>
      <c r="D97" s="318" t="str">
        <f t="shared" si="105"/>
        <v/>
      </c>
      <c r="E97" s="318" t="str">
        <f t="shared" si="105"/>
        <v/>
      </c>
      <c r="F97" s="318" t="str">
        <f t="shared" si="105"/>
        <v/>
      </c>
      <c r="G97" s="318" t="str">
        <f t="shared" si="105"/>
        <v/>
      </c>
      <c r="H97" s="318" t="str">
        <f t="shared" si="105"/>
        <v/>
      </c>
      <c r="I97" s="318" t="str">
        <f t="shared" si="105"/>
        <v/>
      </c>
      <c r="J97" s="318" t="str">
        <f t="shared" si="105"/>
        <v/>
      </c>
      <c r="K97" s="318">
        <f t="shared" si="105"/>
        <v>1.8579307168026693E-2</v>
      </c>
      <c r="L97" s="318">
        <f t="shared" si="105"/>
        <v>3.7503804990897317E-2</v>
      </c>
      <c r="M97" s="318">
        <f t="shared" si="105"/>
        <v>3.7503804990897317E-2</v>
      </c>
      <c r="N97" s="318">
        <f t="shared" si="108"/>
        <v>3.7503804990897317E-2</v>
      </c>
      <c r="O97" s="318">
        <f t="shared" si="108"/>
        <v>3.7503804990897317E-2</v>
      </c>
      <c r="P97" s="318">
        <f t="shared" si="108"/>
        <v>3.7503804990897317E-2</v>
      </c>
      <c r="Q97" s="318">
        <f t="shared" si="108"/>
        <v>3.7503804990897317E-2</v>
      </c>
      <c r="R97" s="318">
        <f t="shared" si="108"/>
        <v>3.7503804990897317E-2</v>
      </c>
      <c r="S97" s="318">
        <f t="shared" si="108"/>
        <v>3.7503804990897317E-2</v>
      </c>
      <c r="T97" s="318">
        <f t="shared" si="108"/>
        <v>3.7503804990897317E-2</v>
      </c>
      <c r="U97" s="318">
        <f t="shared" si="113"/>
        <v>1.8579307168026693E-2</v>
      </c>
      <c r="V97" s="318" t="str">
        <f t="shared" si="113"/>
        <v/>
      </c>
      <c r="W97" s="318" t="str">
        <f t="shared" si="113"/>
        <v/>
      </c>
      <c r="X97" s="318" t="str">
        <f t="shared" si="113"/>
        <v/>
      </c>
      <c r="Y97" s="318" t="str">
        <f t="shared" si="113"/>
        <v/>
      </c>
      <c r="Z97" s="318" t="str">
        <f t="shared" si="113"/>
        <v/>
      </c>
      <c r="AA97" s="318" t="str">
        <f t="shared" si="113"/>
        <v/>
      </c>
      <c r="AB97" s="318" t="str">
        <f t="shared" si="113"/>
        <v/>
      </c>
      <c r="AC97" s="318" t="str">
        <f t="shared" si="113"/>
        <v/>
      </c>
      <c r="AD97" s="318" t="str">
        <f t="shared" si="113"/>
        <v/>
      </c>
      <c r="AE97" s="318" t="str">
        <f t="shared" si="114"/>
        <v/>
      </c>
      <c r="AF97" s="318" t="str">
        <f t="shared" si="114"/>
        <v/>
      </c>
      <c r="AG97" s="318" t="str">
        <f t="shared" si="114"/>
        <v/>
      </c>
      <c r="AH97" s="318" t="str">
        <f t="shared" si="114"/>
        <v/>
      </c>
      <c r="AI97" s="318" t="str">
        <f t="shared" si="114"/>
        <v/>
      </c>
      <c r="AJ97" s="318" t="str">
        <f t="shared" si="114"/>
        <v/>
      </c>
      <c r="AK97" s="318" t="str">
        <f t="shared" si="114"/>
        <v/>
      </c>
      <c r="AL97" s="318" t="str">
        <f t="shared" si="114"/>
        <v/>
      </c>
      <c r="AM97" s="318" t="str">
        <f t="shared" si="114"/>
        <v/>
      </c>
      <c r="AN97" s="318" t="str">
        <f t="shared" si="114"/>
        <v/>
      </c>
      <c r="AO97" s="318" t="str">
        <f t="shared" si="115"/>
        <v/>
      </c>
      <c r="AP97" s="318" t="str">
        <f t="shared" si="115"/>
        <v/>
      </c>
      <c r="AQ97" s="318" t="str">
        <f t="shared" si="115"/>
        <v/>
      </c>
      <c r="AR97" s="318" t="str">
        <f t="shared" si="115"/>
        <v/>
      </c>
      <c r="AS97" s="318" t="str">
        <f t="shared" si="115"/>
        <v/>
      </c>
      <c r="AT97" s="318" t="str">
        <f t="shared" si="115"/>
        <v/>
      </c>
      <c r="AU97" s="318" t="str">
        <f t="shared" si="115"/>
        <v/>
      </c>
      <c r="AV97" s="318" t="str">
        <f t="shared" si="115"/>
        <v/>
      </c>
      <c r="AW97" s="318" t="str">
        <f t="shared" si="115"/>
        <v/>
      </c>
      <c r="AX97" s="318" t="str">
        <f t="shared" si="115"/>
        <v/>
      </c>
      <c r="AY97" s="318" t="str">
        <f t="shared" si="116"/>
        <v/>
      </c>
      <c r="AZ97" s="128" t="str">
        <f t="shared" si="116"/>
        <v/>
      </c>
      <c r="BA97" s="128" t="str">
        <f t="shared" si="116"/>
        <v/>
      </c>
      <c r="BB97" s="128" t="str">
        <f t="shared" si="116"/>
        <v/>
      </c>
      <c r="BC97" s="128" t="str">
        <f t="shared" si="116"/>
        <v/>
      </c>
      <c r="BD97" s="128" t="str">
        <f t="shared" si="116"/>
        <v/>
      </c>
      <c r="BE97" s="128" t="str">
        <f t="shared" si="116"/>
        <v/>
      </c>
      <c r="BF97" s="128" t="str">
        <f t="shared" si="116"/>
        <v/>
      </c>
      <c r="BG97" s="128" t="str">
        <f t="shared" si="116"/>
        <v/>
      </c>
      <c r="BH97" s="128" t="str">
        <f t="shared" si="116"/>
        <v/>
      </c>
      <c r="BI97" s="128" t="str">
        <f t="shared" si="116"/>
        <v/>
      </c>
      <c r="BJ97" s="128" t="str">
        <f t="shared" si="116"/>
        <v/>
      </c>
      <c r="BK97" s="128" t="str">
        <f t="shared" si="116"/>
        <v/>
      </c>
      <c r="BL97" s="319" t="str">
        <f t="shared" si="116"/>
        <v/>
      </c>
      <c r="BM97" s="296"/>
    </row>
    <row r="98" spans="1:65" x14ac:dyDescent="0.25">
      <c r="A98" s="69"/>
      <c r="B98" s="297">
        <f t="shared" si="103"/>
        <v>2011</v>
      </c>
      <c r="C98" s="269" t="str">
        <f t="shared" si="104"/>
        <v/>
      </c>
      <c r="D98" s="318" t="str">
        <f t="shared" si="105"/>
        <v/>
      </c>
      <c r="E98" s="318" t="str">
        <f t="shared" si="105"/>
        <v/>
      </c>
      <c r="F98" s="318" t="str">
        <f t="shared" si="105"/>
        <v/>
      </c>
      <c r="G98" s="318" t="str">
        <f t="shared" si="105"/>
        <v/>
      </c>
      <c r="H98" s="318" t="str">
        <f t="shared" si="105"/>
        <v/>
      </c>
      <c r="I98" s="318" t="str">
        <f t="shared" si="105"/>
        <v/>
      </c>
      <c r="J98" s="318" t="str">
        <f t="shared" si="105"/>
        <v/>
      </c>
      <c r="K98" s="318" t="str">
        <f t="shared" si="105"/>
        <v/>
      </c>
      <c r="L98" s="318">
        <f t="shared" si="105"/>
        <v>1.8579307168026693E-2</v>
      </c>
      <c r="M98" s="318">
        <f t="shared" si="105"/>
        <v>3.7503804990897317E-2</v>
      </c>
      <c r="N98" s="318">
        <f t="shared" si="108"/>
        <v>3.7503804990897317E-2</v>
      </c>
      <c r="O98" s="318">
        <f t="shared" si="108"/>
        <v>3.7503804990897317E-2</v>
      </c>
      <c r="P98" s="318">
        <f t="shared" si="108"/>
        <v>3.7503804990897317E-2</v>
      </c>
      <c r="Q98" s="318">
        <f t="shared" si="108"/>
        <v>3.7503804990897317E-2</v>
      </c>
      <c r="R98" s="318">
        <f t="shared" si="108"/>
        <v>3.7503804990897317E-2</v>
      </c>
      <c r="S98" s="318">
        <f t="shared" si="108"/>
        <v>3.7503804990897317E-2</v>
      </c>
      <c r="T98" s="318">
        <f t="shared" si="108"/>
        <v>3.7503804990897317E-2</v>
      </c>
      <c r="U98" s="318">
        <f t="shared" si="113"/>
        <v>3.7503804990897317E-2</v>
      </c>
      <c r="V98" s="318">
        <f t="shared" si="113"/>
        <v>1.8579307168026693E-2</v>
      </c>
      <c r="W98" s="318" t="str">
        <f t="shared" si="113"/>
        <v/>
      </c>
      <c r="X98" s="318" t="str">
        <f t="shared" si="113"/>
        <v/>
      </c>
      <c r="Y98" s="318" t="str">
        <f t="shared" si="113"/>
        <v/>
      </c>
      <c r="Z98" s="318" t="str">
        <f t="shared" si="113"/>
        <v/>
      </c>
      <c r="AA98" s="318" t="str">
        <f t="shared" si="113"/>
        <v/>
      </c>
      <c r="AB98" s="318" t="str">
        <f t="shared" si="113"/>
        <v/>
      </c>
      <c r="AC98" s="318" t="str">
        <f t="shared" si="113"/>
        <v/>
      </c>
      <c r="AD98" s="318" t="str">
        <f t="shared" si="113"/>
        <v/>
      </c>
      <c r="AE98" s="318" t="str">
        <f t="shared" si="114"/>
        <v/>
      </c>
      <c r="AF98" s="318" t="str">
        <f t="shared" si="114"/>
        <v/>
      </c>
      <c r="AG98" s="318" t="str">
        <f t="shared" si="114"/>
        <v/>
      </c>
      <c r="AH98" s="318" t="str">
        <f t="shared" si="114"/>
        <v/>
      </c>
      <c r="AI98" s="318" t="str">
        <f t="shared" si="114"/>
        <v/>
      </c>
      <c r="AJ98" s="318" t="str">
        <f t="shared" si="114"/>
        <v/>
      </c>
      <c r="AK98" s="318" t="str">
        <f t="shared" si="114"/>
        <v/>
      </c>
      <c r="AL98" s="318" t="str">
        <f t="shared" si="114"/>
        <v/>
      </c>
      <c r="AM98" s="318" t="str">
        <f t="shared" si="114"/>
        <v/>
      </c>
      <c r="AN98" s="318" t="str">
        <f t="shared" si="114"/>
        <v/>
      </c>
      <c r="AO98" s="318" t="str">
        <f t="shared" si="115"/>
        <v/>
      </c>
      <c r="AP98" s="318" t="str">
        <f t="shared" si="115"/>
        <v/>
      </c>
      <c r="AQ98" s="318" t="str">
        <f t="shared" si="115"/>
        <v/>
      </c>
      <c r="AR98" s="318" t="str">
        <f t="shared" si="115"/>
        <v/>
      </c>
      <c r="AS98" s="318" t="str">
        <f t="shared" si="115"/>
        <v/>
      </c>
      <c r="AT98" s="318" t="str">
        <f t="shared" si="115"/>
        <v/>
      </c>
      <c r="AU98" s="318" t="str">
        <f t="shared" si="115"/>
        <v/>
      </c>
      <c r="AV98" s="318" t="str">
        <f t="shared" si="115"/>
        <v/>
      </c>
      <c r="AW98" s="318" t="str">
        <f t="shared" si="115"/>
        <v/>
      </c>
      <c r="AX98" s="318" t="str">
        <f t="shared" si="115"/>
        <v/>
      </c>
      <c r="AY98" s="318" t="str">
        <f t="shared" si="116"/>
        <v/>
      </c>
      <c r="AZ98" s="128" t="str">
        <f t="shared" si="116"/>
        <v/>
      </c>
      <c r="BA98" s="128" t="str">
        <f t="shared" si="116"/>
        <v/>
      </c>
      <c r="BB98" s="128" t="str">
        <f t="shared" si="116"/>
        <v/>
      </c>
      <c r="BC98" s="128" t="str">
        <f t="shared" si="116"/>
        <v/>
      </c>
      <c r="BD98" s="128" t="str">
        <f t="shared" si="116"/>
        <v/>
      </c>
      <c r="BE98" s="128" t="str">
        <f t="shared" si="116"/>
        <v/>
      </c>
      <c r="BF98" s="128" t="str">
        <f t="shared" si="116"/>
        <v/>
      </c>
      <c r="BG98" s="128" t="str">
        <f t="shared" si="116"/>
        <v/>
      </c>
      <c r="BH98" s="128" t="str">
        <f t="shared" si="116"/>
        <v/>
      </c>
      <c r="BI98" s="128" t="str">
        <f t="shared" si="116"/>
        <v/>
      </c>
      <c r="BJ98" s="128" t="str">
        <f t="shared" si="116"/>
        <v/>
      </c>
      <c r="BK98" s="128" t="str">
        <f t="shared" si="116"/>
        <v/>
      </c>
      <c r="BL98" s="319" t="str">
        <f t="shared" si="116"/>
        <v/>
      </c>
      <c r="BM98" s="296"/>
    </row>
    <row r="99" spans="1:65" ht="15.75" thickBot="1" x14ac:dyDescent="0.3">
      <c r="A99" s="69"/>
      <c r="B99" s="276">
        <f>B100-1</f>
        <v>2012</v>
      </c>
      <c r="C99" s="269" t="str">
        <f t="shared" si="104"/>
        <v/>
      </c>
      <c r="D99" s="318" t="str">
        <f t="shared" si="105"/>
        <v/>
      </c>
      <c r="E99" s="318" t="str">
        <f t="shared" si="105"/>
        <v/>
      </c>
      <c r="F99" s="318" t="str">
        <f t="shared" si="105"/>
        <v/>
      </c>
      <c r="G99" s="318" t="str">
        <f t="shared" si="105"/>
        <v/>
      </c>
      <c r="H99" s="318" t="str">
        <f t="shared" si="105"/>
        <v/>
      </c>
      <c r="I99" s="318" t="str">
        <f t="shared" si="105"/>
        <v/>
      </c>
      <c r="J99" s="318" t="str">
        <f t="shared" si="105"/>
        <v/>
      </c>
      <c r="K99" s="318" t="str">
        <f t="shared" si="105"/>
        <v/>
      </c>
      <c r="L99" s="318" t="str">
        <f t="shared" si="105"/>
        <v/>
      </c>
      <c r="M99" s="318">
        <f t="shared" si="105"/>
        <v>1.7078402604881582E-2</v>
      </c>
      <c r="N99" s="318">
        <f t="shared" si="108"/>
        <v>3.4448477045297694E-2</v>
      </c>
      <c r="O99" s="318">
        <f t="shared" si="108"/>
        <v>3.4448477045297694E-2</v>
      </c>
      <c r="P99" s="318">
        <f t="shared" si="108"/>
        <v>3.4448477045297694E-2</v>
      </c>
      <c r="Q99" s="318">
        <f t="shared" si="108"/>
        <v>3.4448477045297694E-2</v>
      </c>
      <c r="R99" s="318">
        <f t="shared" si="108"/>
        <v>3.4448477045297694E-2</v>
      </c>
      <c r="S99" s="318">
        <f t="shared" si="108"/>
        <v>3.4448477045297694E-2</v>
      </c>
      <c r="T99" s="318">
        <f t="shared" si="108"/>
        <v>3.4448477045297694E-2</v>
      </c>
      <c r="U99" s="318">
        <f t="shared" si="113"/>
        <v>3.4448477045297694E-2</v>
      </c>
      <c r="V99" s="318">
        <f t="shared" si="113"/>
        <v>3.4448477045297694E-2</v>
      </c>
      <c r="W99" s="318">
        <f t="shared" si="113"/>
        <v>1.7078402604881582E-2</v>
      </c>
      <c r="X99" s="318" t="str">
        <f t="shared" si="113"/>
        <v/>
      </c>
      <c r="Y99" s="318" t="str">
        <f t="shared" si="113"/>
        <v/>
      </c>
      <c r="Z99" s="318" t="str">
        <f t="shared" si="113"/>
        <v/>
      </c>
      <c r="AA99" s="318" t="str">
        <f t="shared" si="113"/>
        <v/>
      </c>
      <c r="AB99" s="318" t="str">
        <f t="shared" si="113"/>
        <v/>
      </c>
      <c r="AC99" s="318" t="str">
        <f t="shared" si="113"/>
        <v/>
      </c>
      <c r="AD99" s="318" t="str">
        <f t="shared" si="113"/>
        <v/>
      </c>
      <c r="AE99" s="318" t="str">
        <f t="shared" si="114"/>
        <v/>
      </c>
      <c r="AF99" s="318" t="str">
        <f t="shared" si="114"/>
        <v/>
      </c>
      <c r="AG99" s="318" t="str">
        <f t="shared" si="114"/>
        <v/>
      </c>
      <c r="AH99" s="318" t="str">
        <f t="shared" si="114"/>
        <v/>
      </c>
      <c r="AI99" s="318" t="str">
        <f t="shared" si="114"/>
        <v/>
      </c>
      <c r="AJ99" s="318" t="str">
        <f t="shared" si="114"/>
        <v/>
      </c>
      <c r="AK99" s="318" t="str">
        <f t="shared" si="114"/>
        <v/>
      </c>
      <c r="AL99" s="318" t="str">
        <f t="shared" si="114"/>
        <v/>
      </c>
      <c r="AM99" s="318" t="str">
        <f t="shared" si="114"/>
        <v/>
      </c>
      <c r="AN99" s="318" t="str">
        <f t="shared" si="114"/>
        <v/>
      </c>
      <c r="AO99" s="318" t="str">
        <f t="shared" si="115"/>
        <v/>
      </c>
      <c r="AP99" s="318" t="str">
        <f t="shared" si="115"/>
        <v/>
      </c>
      <c r="AQ99" s="318" t="str">
        <f t="shared" si="115"/>
        <v/>
      </c>
      <c r="AR99" s="318" t="str">
        <f t="shared" si="115"/>
        <v/>
      </c>
      <c r="AS99" s="318" t="str">
        <f t="shared" si="115"/>
        <v/>
      </c>
      <c r="AT99" s="318" t="str">
        <f t="shared" si="115"/>
        <v/>
      </c>
      <c r="AU99" s="318" t="str">
        <f t="shared" si="115"/>
        <v/>
      </c>
      <c r="AV99" s="318" t="str">
        <f t="shared" si="115"/>
        <v/>
      </c>
      <c r="AW99" s="318" t="str">
        <f t="shared" si="115"/>
        <v/>
      </c>
      <c r="AX99" s="318" t="str">
        <f t="shared" si="115"/>
        <v/>
      </c>
      <c r="AY99" s="318" t="str">
        <f t="shared" si="116"/>
        <v/>
      </c>
      <c r="AZ99" s="128" t="str">
        <f t="shared" si="116"/>
        <v/>
      </c>
      <c r="BA99" s="128" t="str">
        <f t="shared" si="116"/>
        <v/>
      </c>
      <c r="BB99" s="128" t="str">
        <f t="shared" si="116"/>
        <v/>
      </c>
      <c r="BC99" s="128" t="str">
        <f t="shared" si="116"/>
        <v/>
      </c>
      <c r="BD99" s="128" t="str">
        <f t="shared" si="116"/>
        <v/>
      </c>
      <c r="BE99" s="128" t="str">
        <f t="shared" si="116"/>
        <v/>
      </c>
      <c r="BF99" s="128" t="str">
        <f t="shared" si="116"/>
        <v/>
      </c>
      <c r="BG99" s="128" t="str">
        <f t="shared" si="116"/>
        <v/>
      </c>
      <c r="BH99" s="128" t="str">
        <f t="shared" si="116"/>
        <v/>
      </c>
      <c r="BI99" s="128" t="str">
        <f t="shared" si="116"/>
        <v/>
      </c>
      <c r="BJ99" s="128" t="str">
        <f t="shared" si="116"/>
        <v/>
      </c>
      <c r="BK99" s="128" t="str">
        <f t="shared" si="116"/>
        <v/>
      </c>
      <c r="BL99" s="319" t="str">
        <f t="shared" si="116"/>
        <v/>
      </c>
      <c r="BM99" s="296"/>
    </row>
    <row r="100" spans="1:65" ht="15.75" thickBot="1" x14ac:dyDescent="0.3">
      <c r="A100" s="69"/>
      <c r="B100" s="310">
        <f>$C$3</f>
        <v>2013</v>
      </c>
      <c r="C100" s="320" t="str">
        <f t="shared" si="104"/>
        <v/>
      </c>
      <c r="D100" s="318" t="str">
        <f t="shared" ref="D100:L109" si="117">IF(AND(D$88-$B100&gt;=1,D$88-$B100&lt;=9),HLOOKUP($B100,$C$10:$BL$11,2,FALSE),IF(OR(D$88-$B100=0,D$88-$B100=10),(HLOOKUP($B100,$C$10:$BL$11,2,FALSE))/2,""))</f>
        <v/>
      </c>
      <c r="E100" s="318" t="str">
        <f t="shared" si="117"/>
        <v/>
      </c>
      <c r="F100" s="318" t="str">
        <f t="shared" si="117"/>
        <v/>
      </c>
      <c r="G100" s="318" t="str">
        <f t="shared" si="117"/>
        <v/>
      </c>
      <c r="H100" s="318" t="str">
        <f t="shared" si="117"/>
        <v/>
      </c>
      <c r="I100" s="318" t="str">
        <f t="shared" si="117"/>
        <v/>
      </c>
      <c r="J100" s="318" t="str">
        <f t="shared" si="117"/>
        <v/>
      </c>
      <c r="K100" s="318" t="str">
        <f t="shared" si="117"/>
        <v/>
      </c>
      <c r="L100" s="318" t="str">
        <f t="shared" si="117"/>
        <v/>
      </c>
      <c r="M100" s="318" t="str">
        <f t="shared" ref="M100:M106" si="118">IF(AND(M$88-$B100&gt;=1,M$88-$B100&lt;=9),HLOOKUP($B100,$C$10:$BL$11,2,FALSE),IF(OR(M$88-$B100=0,M$88-$B100=10),POWER((HLOOKUP($B100,$C$10:$BL$11,2,FALSE))+1,1/2)-1,""))</f>
        <v/>
      </c>
      <c r="N100" s="318">
        <f t="shared" ref="N100:T106" si="119">IF(AND(N$88-$B100&gt;=1,N$88-$B100&lt;=9),HLOOKUP($B100,$C$10:$BL$11,2,FALSE),IF(OR(N$88-$B100=0,N$88-$B100=10),POWER((HLOOKUP($B100,$C$10:$BL$11,2,FALSE))+1,1/2)-1,""))</f>
        <v>1.2810066777803941E-2</v>
      </c>
      <c r="O100" s="318">
        <f t="shared" si="119"/>
        <v>2.5784231366459624E-2</v>
      </c>
      <c r="P100" s="318">
        <f t="shared" si="119"/>
        <v>2.5784231366459624E-2</v>
      </c>
      <c r="Q100" s="318">
        <f t="shared" si="119"/>
        <v>2.5784231366459624E-2</v>
      </c>
      <c r="R100" s="318">
        <f t="shared" si="119"/>
        <v>2.5784231366459624E-2</v>
      </c>
      <c r="S100" s="318">
        <f t="shared" si="119"/>
        <v>2.5784231366459624E-2</v>
      </c>
      <c r="T100" s="318">
        <f t="shared" si="119"/>
        <v>2.5784231366459624E-2</v>
      </c>
      <c r="U100" s="318">
        <f t="shared" si="113"/>
        <v>2.5784231366459624E-2</v>
      </c>
      <c r="V100" s="318">
        <f t="shared" si="113"/>
        <v>2.5784231366459624E-2</v>
      </c>
      <c r="W100" s="318">
        <f t="shared" si="113"/>
        <v>2.5784231366459624E-2</v>
      </c>
      <c r="X100" s="318">
        <f t="shared" si="113"/>
        <v>1.2810066777803941E-2</v>
      </c>
      <c r="Y100" s="318" t="str">
        <f t="shared" si="113"/>
        <v/>
      </c>
      <c r="Z100" s="318" t="str">
        <f t="shared" si="113"/>
        <v/>
      </c>
      <c r="AA100" s="318" t="str">
        <f t="shared" si="113"/>
        <v/>
      </c>
      <c r="AB100" s="318" t="str">
        <f t="shared" si="113"/>
        <v/>
      </c>
      <c r="AC100" s="318" t="str">
        <f t="shared" si="113"/>
        <v/>
      </c>
      <c r="AD100" s="318" t="str">
        <f t="shared" si="113"/>
        <v/>
      </c>
      <c r="AE100" s="318" t="str">
        <f t="shared" si="114"/>
        <v/>
      </c>
      <c r="AF100" s="318" t="str">
        <f t="shared" si="114"/>
        <v/>
      </c>
      <c r="AG100" s="318" t="str">
        <f t="shared" si="114"/>
        <v/>
      </c>
      <c r="AH100" s="318" t="str">
        <f t="shared" si="114"/>
        <v/>
      </c>
      <c r="AI100" s="318" t="str">
        <f t="shared" si="114"/>
        <v/>
      </c>
      <c r="AJ100" s="318" t="str">
        <f t="shared" si="114"/>
        <v/>
      </c>
      <c r="AK100" s="318" t="str">
        <f t="shared" si="114"/>
        <v/>
      </c>
      <c r="AL100" s="318" t="str">
        <f t="shared" si="114"/>
        <v/>
      </c>
      <c r="AM100" s="318" t="str">
        <f t="shared" si="114"/>
        <v/>
      </c>
      <c r="AN100" s="318" t="str">
        <f t="shared" si="114"/>
        <v/>
      </c>
      <c r="AO100" s="318" t="str">
        <f t="shared" si="115"/>
        <v/>
      </c>
      <c r="AP100" s="318" t="str">
        <f t="shared" si="115"/>
        <v/>
      </c>
      <c r="AQ100" s="318" t="str">
        <f t="shared" si="115"/>
        <v/>
      </c>
      <c r="AR100" s="318" t="str">
        <f t="shared" si="115"/>
        <v/>
      </c>
      <c r="AS100" s="318" t="str">
        <f t="shared" si="115"/>
        <v/>
      </c>
      <c r="AT100" s="318" t="str">
        <f t="shared" si="115"/>
        <v/>
      </c>
      <c r="AU100" s="318" t="str">
        <f t="shared" si="115"/>
        <v/>
      </c>
      <c r="AV100" s="318" t="str">
        <f t="shared" si="115"/>
        <v/>
      </c>
      <c r="AW100" s="318" t="str">
        <f t="shared" si="115"/>
        <v/>
      </c>
      <c r="AX100" s="318" t="str">
        <f t="shared" si="115"/>
        <v/>
      </c>
      <c r="AY100" s="318" t="str">
        <f t="shared" si="116"/>
        <v/>
      </c>
      <c r="AZ100" s="128" t="str">
        <f t="shared" si="116"/>
        <v/>
      </c>
      <c r="BA100" s="128" t="str">
        <f t="shared" si="116"/>
        <v/>
      </c>
      <c r="BB100" s="128" t="str">
        <f t="shared" si="116"/>
        <v/>
      </c>
      <c r="BC100" s="128" t="str">
        <f t="shared" si="116"/>
        <v/>
      </c>
      <c r="BD100" s="128" t="str">
        <f t="shared" si="116"/>
        <v/>
      </c>
      <c r="BE100" s="128" t="str">
        <f t="shared" si="116"/>
        <v/>
      </c>
      <c r="BF100" s="128" t="str">
        <f t="shared" si="116"/>
        <v/>
      </c>
      <c r="BG100" s="128" t="str">
        <f t="shared" si="116"/>
        <v/>
      </c>
      <c r="BH100" s="128" t="str">
        <f t="shared" si="116"/>
        <v/>
      </c>
      <c r="BI100" s="128" t="str">
        <f t="shared" si="116"/>
        <v/>
      </c>
      <c r="BJ100" s="128" t="str">
        <f t="shared" si="116"/>
        <v/>
      </c>
      <c r="BK100" s="128" t="str">
        <f t="shared" si="116"/>
        <v/>
      </c>
      <c r="BL100" s="319" t="str">
        <f t="shared" si="116"/>
        <v/>
      </c>
      <c r="BM100" s="296"/>
    </row>
    <row r="101" spans="1:65" x14ac:dyDescent="0.25">
      <c r="A101" s="69"/>
      <c r="B101" s="297">
        <f>B100+1</f>
        <v>2014</v>
      </c>
      <c r="C101" s="269" t="str">
        <f t="shared" si="104"/>
        <v/>
      </c>
      <c r="D101" s="318" t="str">
        <f t="shared" si="117"/>
        <v/>
      </c>
      <c r="E101" s="318" t="str">
        <f t="shared" si="117"/>
        <v/>
      </c>
      <c r="F101" s="318" t="str">
        <f t="shared" si="117"/>
        <v/>
      </c>
      <c r="G101" s="318" t="str">
        <f t="shared" si="117"/>
        <v/>
      </c>
      <c r="H101" s="318" t="str">
        <f t="shared" si="117"/>
        <v/>
      </c>
      <c r="I101" s="318" t="str">
        <f t="shared" si="117"/>
        <v/>
      </c>
      <c r="J101" s="318" t="str">
        <f t="shared" si="117"/>
        <v/>
      </c>
      <c r="K101" s="318" t="str">
        <f t="shared" si="117"/>
        <v/>
      </c>
      <c r="L101" s="318" t="str">
        <f t="shared" si="117"/>
        <v/>
      </c>
      <c r="M101" s="318" t="str">
        <f t="shared" si="118"/>
        <v/>
      </c>
      <c r="N101" s="318" t="str">
        <f t="shared" si="119"/>
        <v/>
      </c>
      <c r="O101" s="318">
        <f t="shared" si="119"/>
        <v>1.4060124700669085E-2</v>
      </c>
      <c r="P101" s="318">
        <f t="shared" si="119"/>
        <v>2.8317936507936507E-2</v>
      </c>
      <c r="Q101" s="318">
        <f t="shared" si="119"/>
        <v>2.8317936507936507E-2</v>
      </c>
      <c r="R101" s="318">
        <f t="shared" si="119"/>
        <v>2.8317936507936507E-2</v>
      </c>
      <c r="S101" s="318">
        <f t="shared" si="119"/>
        <v>2.8317936507936507E-2</v>
      </c>
      <c r="T101" s="318">
        <f t="shared" si="119"/>
        <v>2.8317936507936507E-2</v>
      </c>
      <c r="U101" s="318">
        <f t="shared" si="113"/>
        <v>2.8317936507936507E-2</v>
      </c>
      <c r="V101" s="318">
        <f t="shared" si="113"/>
        <v>2.8317936507936507E-2</v>
      </c>
      <c r="W101" s="318">
        <f t="shared" si="113"/>
        <v>2.8317936507936507E-2</v>
      </c>
      <c r="X101" s="318">
        <f t="shared" si="113"/>
        <v>2.8317936507936507E-2</v>
      </c>
      <c r="Y101" s="318">
        <f t="shared" si="113"/>
        <v>1.4060124700669085E-2</v>
      </c>
      <c r="Z101" s="318" t="str">
        <f t="shared" si="113"/>
        <v/>
      </c>
      <c r="AA101" s="318" t="str">
        <f t="shared" si="113"/>
        <v/>
      </c>
      <c r="AB101" s="318" t="str">
        <f t="shared" si="113"/>
        <v/>
      </c>
      <c r="AC101" s="318" t="str">
        <f t="shared" si="113"/>
        <v/>
      </c>
      <c r="AD101" s="318" t="str">
        <f t="shared" si="113"/>
        <v/>
      </c>
      <c r="AE101" s="318" t="str">
        <f t="shared" si="114"/>
        <v/>
      </c>
      <c r="AF101" s="318" t="str">
        <f t="shared" si="114"/>
        <v/>
      </c>
      <c r="AG101" s="318" t="str">
        <f t="shared" si="114"/>
        <v/>
      </c>
      <c r="AH101" s="318" t="str">
        <f t="shared" si="114"/>
        <v/>
      </c>
      <c r="AI101" s="318" t="str">
        <f t="shared" si="114"/>
        <v/>
      </c>
      <c r="AJ101" s="318" t="str">
        <f t="shared" si="114"/>
        <v/>
      </c>
      <c r="AK101" s="318" t="str">
        <f t="shared" si="114"/>
        <v/>
      </c>
      <c r="AL101" s="318" t="str">
        <f t="shared" si="114"/>
        <v/>
      </c>
      <c r="AM101" s="318" t="str">
        <f t="shared" si="114"/>
        <v/>
      </c>
      <c r="AN101" s="318" t="str">
        <f t="shared" si="114"/>
        <v/>
      </c>
      <c r="AO101" s="318" t="str">
        <f t="shared" si="115"/>
        <v/>
      </c>
      <c r="AP101" s="318" t="str">
        <f t="shared" si="115"/>
        <v/>
      </c>
      <c r="AQ101" s="318" t="str">
        <f t="shared" si="115"/>
        <v/>
      </c>
      <c r="AR101" s="318" t="str">
        <f t="shared" si="115"/>
        <v/>
      </c>
      <c r="AS101" s="318" t="str">
        <f t="shared" si="115"/>
        <v/>
      </c>
      <c r="AT101" s="318" t="str">
        <f t="shared" si="115"/>
        <v/>
      </c>
      <c r="AU101" s="318" t="str">
        <f t="shared" si="115"/>
        <v/>
      </c>
      <c r="AV101" s="318" t="str">
        <f t="shared" si="115"/>
        <v/>
      </c>
      <c r="AW101" s="318" t="str">
        <f t="shared" si="115"/>
        <v/>
      </c>
      <c r="AX101" s="318" t="str">
        <f t="shared" si="115"/>
        <v/>
      </c>
      <c r="AY101" s="318" t="str">
        <f t="shared" si="116"/>
        <v/>
      </c>
      <c r="AZ101" s="128" t="str">
        <f t="shared" si="116"/>
        <v/>
      </c>
      <c r="BA101" s="128" t="str">
        <f t="shared" si="116"/>
        <v/>
      </c>
      <c r="BB101" s="128" t="str">
        <f t="shared" si="116"/>
        <v/>
      </c>
      <c r="BC101" s="128" t="str">
        <f t="shared" si="116"/>
        <v/>
      </c>
      <c r="BD101" s="128" t="str">
        <f t="shared" si="116"/>
        <v/>
      </c>
      <c r="BE101" s="128" t="str">
        <f t="shared" si="116"/>
        <v/>
      </c>
      <c r="BF101" s="128" t="str">
        <f t="shared" si="116"/>
        <v/>
      </c>
      <c r="BG101" s="128" t="str">
        <f t="shared" si="116"/>
        <v/>
      </c>
      <c r="BH101" s="128" t="str">
        <f t="shared" si="116"/>
        <v/>
      </c>
      <c r="BI101" s="128" t="str">
        <f t="shared" si="116"/>
        <v/>
      </c>
      <c r="BJ101" s="128" t="str">
        <f t="shared" si="116"/>
        <v/>
      </c>
      <c r="BK101" s="128" t="str">
        <f t="shared" si="116"/>
        <v/>
      </c>
      <c r="BL101" s="319" t="str">
        <f t="shared" si="116"/>
        <v/>
      </c>
      <c r="BM101" s="296"/>
    </row>
    <row r="102" spans="1:65" x14ac:dyDescent="0.25">
      <c r="A102" s="69"/>
      <c r="B102" s="297">
        <f t="shared" ref="B102:B150" si="120">B101+1</f>
        <v>2015</v>
      </c>
      <c r="C102" s="269" t="str">
        <f t="shared" si="104"/>
        <v/>
      </c>
      <c r="D102" s="318" t="str">
        <f t="shared" si="117"/>
        <v/>
      </c>
      <c r="E102" s="318" t="str">
        <f t="shared" si="117"/>
        <v/>
      </c>
      <c r="F102" s="318" t="str">
        <f t="shared" si="117"/>
        <v/>
      </c>
      <c r="G102" s="318" t="str">
        <f t="shared" si="117"/>
        <v/>
      </c>
      <c r="H102" s="318" t="str">
        <f t="shared" si="117"/>
        <v/>
      </c>
      <c r="I102" s="318" t="str">
        <f t="shared" si="117"/>
        <v/>
      </c>
      <c r="J102" s="318" t="str">
        <f t="shared" si="117"/>
        <v/>
      </c>
      <c r="K102" s="318" t="str">
        <f t="shared" si="117"/>
        <v/>
      </c>
      <c r="L102" s="318" t="str">
        <f t="shared" si="117"/>
        <v/>
      </c>
      <c r="M102" s="318" t="str">
        <f t="shared" si="118"/>
        <v/>
      </c>
      <c r="N102" s="318" t="str">
        <f t="shared" si="119"/>
        <v/>
      </c>
      <c r="O102" s="318" t="str">
        <f t="shared" si="119"/>
        <v/>
      </c>
      <c r="P102" s="318">
        <f t="shared" si="119"/>
        <v>1.7173770876309113E-2</v>
      </c>
      <c r="Q102" s="318">
        <f t="shared" si="119"/>
        <v>3.464248015873015E-2</v>
      </c>
      <c r="R102" s="318">
        <f t="shared" si="119"/>
        <v>3.464248015873015E-2</v>
      </c>
      <c r="S102" s="318">
        <f t="shared" si="119"/>
        <v>3.464248015873015E-2</v>
      </c>
      <c r="T102" s="318">
        <f t="shared" si="119"/>
        <v>3.464248015873015E-2</v>
      </c>
      <c r="U102" s="318">
        <f t="shared" ref="U102:AD111" si="121">IF(AND(U$88-$B102&gt;=1,U$88-$B102&lt;=9),HLOOKUP($B102,$C$10:$BL$11,2,FALSE),IF(OR(U$88-$B102=0,U$88-$B102=10),POWER((HLOOKUP($B102,$C$10:$BL$11,2,FALSE))+1,1/2)-1,""))</f>
        <v>3.464248015873015E-2</v>
      </c>
      <c r="V102" s="318">
        <f t="shared" si="121"/>
        <v>3.464248015873015E-2</v>
      </c>
      <c r="W102" s="318">
        <f t="shared" si="121"/>
        <v>3.464248015873015E-2</v>
      </c>
      <c r="X102" s="318">
        <f t="shared" si="121"/>
        <v>3.464248015873015E-2</v>
      </c>
      <c r="Y102" s="318">
        <f t="shared" si="121"/>
        <v>3.464248015873015E-2</v>
      </c>
      <c r="Z102" s="318">
        <f t="shared" si="121"/>
        <v>1.7173770876309113E-2</v>
      </c>
      <c r="AA102" s="318" t="str">
        <f t="shared" si="121"/>
        <v/>
      </c>
      <c r="AB102" s="318" t="str">
        <f t="shared" si="121"/>
        <v/>
      </c>
      <c r="AC102" s="318" t="str">
        <f t="shared" si="121"/>
        <v/>
      </c>
      <c r="AD102" s="318" t="str">
        <f t="shared" si="121"/>
        <v/>
      </c>
      <c r="AE102" s="318" t="str">
        <f t="shared" si="114"/>
        <v/>
      </c>
      <c r="AF102" s="318" t="str">
        <f t="shared" si="114"/>
        <v/>
      </c>
      <c r="AG102" s="318" t="str">
        <f t="shared" si="114"/>
        <v/>
      </c>
      <c r="AH102" s="318" t="str">
        <f t="shared" si="114"/>
        <v/>
      </c>
      <c r="AI102" s="318" t="str">
        <f t="shared" si="114"/>
        <v/>
      </c>
      <c r="AJ102" s="318" t="str">
        <f t="shared" si="114"/>
        <v/>
      </c>
      <c r="AK102" s="318" t="str">
        <f t="shared" si="114"/>
        <v/>
      </c>
      <c r="AL102" s="318" t="str">
        <f t="shared" si="114"/>
        <v/>
      </c>
      <c r="AM102" s="318" t="str">
        <f t="shared" si="114"/>
        <v/>
      </c>
      <c r="AN102" s="318" t="str">
        <f t="shared" si="114"/>
        <v/>
      </c>
      <c r="AO102" s="318" t="str">
        <f t="shared" si="115"/>
        <v/>
      </c>
      <c r="AP102" s="318" t="str">
        <f t="shared" si="115"/>
        <v/>
      </c>
      <c r="AQ102" s="318" t="str">
        <f t="shared" si="115"/>
        <v/>
      </c>
      <c r="AR102" s="318" t="str">
        <f t="shared" si="115"/>
        <v/>
      </c>
      <c r="AS102" s="318" t="str">
        <f t="shared" si="115"/>
        <v/>
      </c>
      <c r="AT102" s="318" t="str">
        <f t="shared" si="115"/>
        <v/>
      </c>
      <c r="AU102" s="318" t="str">
        <f t="shared" si="115"/>
        <v/>
      </c>
      <c r="AV102" s="318" t="str">
        <f t="shared" si="115"/>
        <v/>
      </c>
      <c r="AW102" s="318" t="str">
        <f t="shared" si="115"/>
        <v/>
      </c>
      <c r="AX102" s="318" t="str">
        <f t="shared" si="115"/>
        <v/>
      </c>
      <c r="AY102" s="318" t="str">
        <f t="shared" si="116"/>
        <v/>
      </c>
      <c r="AZ102" s="128" t="str">
        <f t="shared" si="116"/>
        <v/>
      </c>
      <c r="BA102" s="128" t="str">
        <f t="shared" si="116"/>
        <v/>
      </c>
      <c r="BB102" s="128" t="str">
        <f t="shared" si="116"/>
        <v/>
      </c>
      <c r="BC102" s="128" t="str">
        <f t="shared" si="116"/>
        <v/>
      </c>
      <c r="BD102" s="128" t="str">
        <f t="shared" si="116"/>
        <v/>
      </c>
      <c r="BE102" s="128" t="str">
        <f t="shared" si="116"/>
        <v/>
      </c>
      <c r="BF102" s="128" t="str">
        <f t="shared" si="116"/>
        <v/>
      </c>
      <c r="BG102" s="128" t="str">
        <f t="shared" si="116"/>
        <v/>
      </c>
      <c r="BH102" s="128" t="str">
        <f t="shared" si="116"/>
        <v/>
      </c>
      <c r="BI102" s="128" t="str">
        <f t="shared" si="116"/>
        <v/>
      </c>
      <c r="BJ102" s="128" t="str">
        <f t="shared" si="116"/>
        <v/>
      </c>
      <c r="BK102" s="128" t="str">
        <f t="shared" si="116"/>
        <v/>
      </c>
      <c r="BL102" s="319" t="str">
        <f t="shared" si="116"/>
        <v/>
      </c>
      <c r="BM102" s="296"/>
    </row>
    <row r="103" spans="1:65" x14ac:dyDescent="0.25">
      <c r="A103" s="69"/>
      <c r="B103" s="297">
        <f t="shared" si="120"/>
        <v>2016</v>
      </c>
      <c r="C103" s="269" t="str">
        <f t="shared" si="104"/>
        <v/>
      </c>
      <c r="D103" s="318" t="str">
        <f t="shared" si="117"/>
        <v/>
      </c>
      <c r="E103" s="318" t="str">
        <f t="shared" si="117"/>
        <v/>
      </c>
      <c r="F103" s="318" t="str">
        <f t="shared" si="117"/>
        <v/>
      </c>
      <c r="G103" s="318" t="str">
        <f t="shared" si="117"/>
        <v/>
      </c>
      <c r="H103" s="318" t="str">
        <f t="shared" si="117"/>
        <v/>
      </c>
      <c r="I103" s="318" t="str">
        <f t="shared" si="117"/>
        <v/>
      </c>
      <c r="J103" s="318" t="str">
        <f t="shared" si="117"/>
        <v/>
      </c>
      <c r="K103" s="318" t="str">
        <f t="shared" si="117"/>
        <v/>
      </c>
      <c r="L103" s="318" t="str">
        <f t="shared" si="117"/>
        <v/>
      </c>
      <c r="M103" s="318" t="str">
        <f t="shared" si="118"/>
        <v/>
      </c>
      <c r="N103" s="318" t="str">
        <f t="shared" si="119"/>
        <v/>
      </c>
      <c r="O103" s="318" t="str">
        <f t="shared" si="119"/>
        <v/>
      </c>
      <c r="P103" s="318" t="str">
        <f t="shared" si="119"/>
        <v/>
      </c>
      <c r="Q103" s="318">
        <f t="shared" si="119"/>
        <v>1.9921760148981615E-2</v>
      </c>
      <c r="R103" s="318">
        <f t="shared" si="119"/>
        <v>4.0240396825396797E-2</v>
      </c>
      <c r="S103" s="318">
        <f t="shared" si="119"/>
        <v>4.0240396825396797E-2</v>
      </c>
      <c r="T103" s="318">
        <f t="shared" si="119"/>
        <v>4.0240396825396797E-2</v>
      </c>
      <c r="U103" s="318">
        <f t="shared" si="121"/>
        <v>4.0240396825396797E-2</v>
      </c>
      <c r="V103" s="318">
        <f t="shared" si="121"/>
        <v>4.0240396825396797E-2</v>
      </c>
      <c r="W103" s="318">
        <f t="shared" si="121"/>
        <v>4.0240396825396797E-2</v>
      </c>
      <c r="X103" s="318">
        <f t="shared" si="121"/>
        <v>4.0240396825396797E-2</v>
      </c>
      <c r="Y103" s="318">
        <f t="shared" si="121"/>
        <v>4.0240396825396797E-2</v>
      </c>
      <c r="Z103" s="318">
        <f t="shared" si="121"/>
        <v>4.0240396825396797E-2</v>
      </c>
      <c r="AA103" s="318">
        <f t="shared" si="121"/>
        <v>1.9921760148981615E-2</v>
      </c>
      <c r="AB103" s="318" t="str">
        <f t="shared" si="121"/>
        <v/>
      </c>
      <c r="AC103" s="318" t="str">
        <f t="shared" si="121"/>
        <v/>
      </c>
      <c r="AD103" s="318" t="str">
        <f t="shared" si="121"/>
        <v/>
      </c>
      <c r="AE103" s="318" t="str">
        <f t="shared" si="114"/>
        <v/>
      </c>
      <c r="AF103" s="318" t="str">
        <f t="shared" si="114"/>
        <v/>
      </c>
      <c r="AG103" s="318" t="str">
        <f t="shared" si="114"/>
        <v/>
      </c>
      <c r="AH103" s="318" t="str">
        <f t="shared" si="114"/>
        <v/>
      </c>
      <c r="AI103" s="318" t="str">
        <f t="shared" si="114"/>
        <v/>
      </c>
      <c r="AJ103" s="318" t="str">
        <f t="shared" si="114"/>
        <v/>
      </c>
      <c r="AK103" s="318" t="str">
        <f t="shared" si="114"/>
        <v/>
      </c>
      <c r="AL103" s="318" t="str">
        <f t="shared" si="114"/>
        <v/>
      </c>
      <c r="AM103" s="318" t="str">
        <f t="shared" si="114"/>
        <v/>
      </c>
      <c r="AN103" s="318" t="str">
        <f t="shared" si="114"/>
        <v/>
      </c>
      <c r="AO103" s="318" t="str">
        <f t="shared" si="115"/>
        <v/>
      </c>
      <c r="AP103" s="318" t="str">
        <f t="shared" si="115"/>
        <v/>
      </c>
      <c r="AQ103" s="318" t="str">
        <f t="shared" si="115"/>
        <v/>
      </c>
      <c r="AR103" s="318" t="str">
        <f t="shared" si="115"/>
        <v/>
      </c>
      <c r="AS103" s="318" t="str">
        <f t="shared" si="115"/>
        <v/>
      </c>
      <c r="AT103" s="318" t="str">
        <f t="shared" si="115"/>
        <v/>
      </c>
      <c r="AU103" s="318" t="str">
        <f t="shared" si="115"/>
        <v/>
      </c>
      <c r="AV103" s="318" t="str">
        <f t="shared" si="115"/>
        <v/>
      </c>
      <c r="AW103" s="318" t="str">
        <f t="shared" si="115"/>
        <v/>
      </c>
      <c r="AX103" s="318" t="str">
        <f t="shared" si="115"/>
        <v/>
      </c>
      <c r="AY103" s="318" t="str">
        <f t="shared" si="116"/>
        <v/>
      </c>
      <c r="AZ103" s="128" t="str">
        <f t="shared" si="116"/>
        <v/>
      </c>
      <c r="BA103" s="128" t="str">
        <f t="shared" si="116"/>
        <v/>
      </c>
      <c r="BB103" s="128" t="str">
        <f t="shared" si="116"/>
        <v/>
      </c>
      <c r="BC103" s="128" t="str">
        <f t="shared" si="116"/>
        <v/>
      </c>
      <c r="BD103" s="128" t="str">
        <f t="shared" si="116"/>
        <v/>
      </c>
      <c r="BE103" s="128" t="str">
        <f t="shared" si="116"/>
        <v/>
      </c>
      <c r="BF103" s="128" t="str">
        <f t="shared" si="116"/>
        <v/>
      </c>
      <c r="BG103" s="128" t="str">
        <f t="shared" si="116"/>
        <v/>
      </c>
      <c r="BH103" s="128" t="str">
        <f t="shared" si="116"/>
        <v/>
      </c>
      <c r="BI103" s="128" t="str">
        <f t="shared" si="116"/>
        <v/>
      </c>
      <c r="BJ103" s="128" t="str">
        <f t="shared" si="116"/>
        <v/>
      </c>
      <c r="BK103" s="128" t="str">
        <f t="shared" si="116"/>
        <v/>
      </c>
      <c r="BL103" s="319" t="str">
        <f t="shared" si="116"/>
        <v/>
      </c>
      <c r="BM103" s="296"/>
    </row>
    <row r="104" spans="1:65" x14ac:dyDescent="0.25">
      <c r="A104" s="69"/>
      <c r="B104" s="297">
        <f t="shared" si="120"/>
        <v>2017</v>
      </c>
      <c r="C104" s="269" t="str">
        <f t="shared" si="104"/>
        <v/>
      </c>
      <c r="D104" s="318" t="str">
        <f t="shared" si="117"/>
        <v/>
      </c>
      <c r="E104" s="318" t="str">
        <f t="shared" si="117"/>
        <v/>
      </c>
      <c r="F104" s="318" t="str">
        <f t="shared" si="117"/>
        <v/>
      </c>
      <c r="G104" s="318" t="str">
        <f t="shared" si="117"/>
        <v/>
      </c>
      <c r="H104" s="318" t="str">
        <f t="shared" si="117"/>
        <v/>
      </c>
      <c r="I104" s="318" t="str">
        <f t="shared" si="117"/>
        <v/>
      </c>
      <c r="J104" s="318" t="str">
        <f t="shared" si="117"/>
        <v/>
      </c>
      <c r="K104" s="318" t="str">
        <f t="shared" si="117"/>
        <v/>
      </c>
      <c r="L104" s="318" t="str">
        <f t="shared" si="117"/>
        <v/>
      </c>
      <c r="M104" s="318" t="str">
        <f t="shared" si="118"/>
        <v/>
      </c>
      <c r="N104" s="318" t="str">
        <f t="shared" si="119"/>
        <v/>
      </c>
      <c r="O104" s="318" t="str">
        <f t="shared" si="119"/>
        <v/>
      </c>
      <c r="P104" s="318" t="str">
        <f t="shared" si="119"/>
        <v/>
      </c>
      <c r="Q104" s="318" t="str">
        <f t="shared" si="119"/>
        <v/>
      </c>
      <c r="R104" s="318">
        <f t="shared" si="119"/>
        <v>2.1754404684444451E-2</v>
      </c>
      <c r="S104" s="318">
        <f t="shared" si="119"/>
        <v>4.3982063492063503E-2</v>
      </c>
      <c r="T104" s="318">
        <f t="shared" si="119"/>
        <v>4.3982063492063503E-2</v>
      </c>
      <c r="U104" s="318">
        <f t="shared" si="121"/>
        <v>4.3982063492063503E-2</v>
      </c>
      <c r="V104" s="318">
        <f t="shared" si="121"/>
        <v>4.3982063492063503E-2</v>
      </c>
      <c r="W104" s="318">
        <f t="shared" si="121"/>
        <v>4.3982063492063503E-2</v>
      </c>
      <c r="X104" s="318">
        <f t="shared" si="121"/>
        <v>4.3982063492063503E-2</v>
      </c>
      <c r="Y104" s="318">
        <f t="shared" si="121"/>
        <v>4.3982063492063503E-2</v>
      </c>
      <c r="Z104" s="318">
        <f t="shared" si="121"/>
        <v>4.3982063492063503E-2</v>
      </c>
      <c r="AA104" s="318">
        <f t="shared" si="121"/>
        <v>4.3982063492063503E-2</v>
      </c>
      <c r="AB104" s="318">
        <f t="shared" si="121"/>
        <v>2.1754404684444451E-2</v>
      </c>
      <c r="AC104" s="318" t="str">
        <f t="shared" si="121"/>
        <v/>
      </c>
      <c r="AD104" s="318" t="str">
        <f t="shared" si="121"/>
        <v/>
      </c>
      <c r="AE104" s="318" t="str">
        <f t="shared" si="114"/>
        <v/>
      </c>
      <c r="AF104" s="318" t="str">
        <f t="shared" si="114"/>
        <v/>
      </c>
      <c r="AG104" s="318" t="str">
        <f t="shared" si="114"/>
        <v/>
      </c>
      <c r="AH104" s="318" t="str">
        <f t="shared" si="114"/>
        <v/>
      </c>
      <c r="AI104" s="318" t="str">
        <f t="shared" si="114"/>
        <v/>
      </c>
      <c r="AJ104" s="318" t="str">
        <f t="shared" si="114"/>
        <v/>
      </c>
      <c r="AK104" s="318" t="str">
        <f t="shared" si="114"/>
        <v/>
      </c>
      <c r="AL104" s="318" t="str">
        <f t="shared" si="114"/>
        <v/>
      </c>
      <c r="AM104" s="318" t="str">
        <f t="shared" si="114"/>
        <v/>
      </c>
      <c r="AN104" s="318" t="str">
        <f t="shared" si="114"/>
        <v/>
      </c>
      <c r="AO104" s="318" t="str">
        <f t="shared" si="115"/>
        <v/>
      </c>
      <c r="AP104" s="318" t="str">
        <f t="shared" si="115"/>
        <v/>
      </c>
      <c r="AQ104" s="318" t="str">
        <f t="shared" si="115"/>
        <v/>
      </c>
      <c r="AR104" s="318" t="str">
        <f t="shared" si="115"/>
        <v/>
      </c>
      <c r="AS104" s="318" t="str">
        <f t="shared" si="115"/>
        <v/>
      </c>
      <c r="AT104" s="318" t="str">
        <f t="shared" si="115"/>
        <v/>
      </c>
      <c r="AU104" s="318" t="str">
        <f t="shared" si="115"/>
        <v/>
      </c>
      <c r="AV104" s="318" t="str">
        <f t="shared" si="115"/>
        <v/>
      </c>
      <c r="AW104" s="318" t="str">
        <f t="shared" si="115"/>
        <v/>
      </c>
      <c r="AX104" s="318" t="str">
        <f t="shared" si="115"/>
        <v/>
      </c>
      <c r="AY104" s="318" t="str">
        <f t="shared" si="116"/>
        <v/>
      </c>
      <c r="AZ104" s="128" t="str">
        <f t="shared" si="116"/>
        <v/>
      </c>
      <c r="BA104" s="128" t="str">
        <f t="shared" si="116"/>
        <v/>
      </c>
      <c r="BB104" s="128" t="str">
        <f t="shared" si="116"/>
        <v/>
      </c>
      <c r="BC104" s="128" t="str">
        <f t="shared" si="116"/>
        <v/>
      </c>
      <c r="BD104" s="128" t="str">
        <f t="shared" si="116"/>
        <v/>
      </c>
      <c r="BE104" s="128" t="str">
        <f t="shared" si="116"/>
        <v/>
      </c>
      <c r="BF104" s="128" t="str">
        <f t="shared" si="116"/>
        <v/>
      </c>
      <c r="BG104" s="128" t="str">
        <f t="shared" si="116"/>
        <v/>
      </c>
      <c r="BH104" s="128" t="str">
        <f t="shared" si="116"/>
        <v/>
      </c>
      <c r="BI104" s="128" t="str">
        <f t="shared" si="116"/>
        <v/>
      </c>
      <c r="BJ104" s="128" t="str">
        <f t="shared" si="116"/>
        <v/>
      </c>
      <c r="BK104" s="128" t="str">
        <f t="shared" si="116"/>
        <v/>
      </c>
      <c r="BL104" s="319" t="str">
        <f t="shared" si="116"/>
        <v/>
      </c>
      <c r="BM104" s="296"/>
    </row>
    <row r="105" spans="1:65" x14ac:dyDescent="0.25">
      <c r="A105" s="69"/>
      <c r="B105" s="297">
        <f t="shared" si="120"/>
        <v>2018</v>
      </c>
      <c r="C105" s="269" t="str">
        <f t="shared" si="104"/>
        <v/>
      </c>
      <c r="D105" s="318" t="str">
        <f t="shared" si="117"/>
        <v/>
      </c>
      <c r="E105" s="318" t="str">
        <f t="shared" si="117"/>
        <v/>
      </c>
      <c r="F105" s="318" t="str">
        <f t="shared" si="117"/>
        <v/>
      </c>
      <c r="G105" s="318" t="str">
        <f t="shared" si="117"/>
        <v/>
      </c>
      <c r="H105" s="318" t="str">
        <f t="shared" si="117"/>
        <v/>
      </c>
      <c r="I105" s="318" t="str">
        <f t="shared" si="117"/>
        <v/>
      </c>
      <c r="J105" s="318" t="str">
        <f t="shared" si="117"/>
        <v/>
      </c>
      <c r="K105" s="318" t="str">
        <f t="shared" si="117"/>
        <v/>
      </c>
      <c r="L105" s="318" t="str">
        <f t="shared" si="117"/>
        <v/>
      </c>
      <c r="M105" s="318" t="str">
        <f t="shared" si="118"/>
        <v/>
      </c>
      <c r="N105" s="318" t="str">
        <f t="shared" si="119"/>
        <v/>
      </c>
      <c r="O105" s="318" t="str">
        <f t="shared" si="119"/>
        <v/>
      </c>
      <c r="P105" s="318" t="str">
        <f t="shared" si="119"/>
        <v/>
      </c>
      <c r="Q105" s="318" t="str">
        <f t="shared" si="119"/>
        <v/>
      </c>
      <c r="R105" s="318" t="str">
        <f t="shared" si="119"/>
        <v/>
      </c>
      <c r="S105" s="318">
        <f t="shared" si="119"/>
        <v>2.4987804805501002E-2</v>
      </c>
      <c r="T105" s="318">
        <f t="shared" si="119"/>
        <v>5.0599999999999999E-2</v>
      </c>
      <c r="U105" s="318">
        <f t="shared" si="121"/>
        <v>5.0599999999999999E-2</v>
      </c>
      <c r="V105" s="318">
        <f t="shared" si="121"/>
        <v>5.0599999999999999E-2</v>
      </c>
      <c r="W105" s="318">
        <f t="shared" si="121"/>
        <v>5.0599999999999999E-2</v>
      </c>
      <c r="X105" s="318">
        <f t="shared" si="121"/>
        <v>5.0599999999999999E-2</v>
      </c>
      <c r="Y105" s="318">
        <f t="shared" si="121"/>
        <v>5.0599999999999999E-2</v>
      </c>
      <c r="Z105" s="318">
        <f t="shared" si="121"/>
        <v>5.0599999999999999E-2</v>
      </c>
      <c r="AA105" s="318">
        <f t="shared" si="121"/>
        <v>5.0599999999999999E-2</v>
      </c>
      <c r="AB105" s="318">
        <f t="shared" si="121"/>
        <v>5.0599999999999999E-2</v>
      </c>
      <c r="AC105" s="318">
        <f t="shared" si="121"/>
        <v>2.4987804805501002E-2</v>
      </c>
      <c r="AD105" s="318" t="str">
        <f t="shared" si="121"/>
        <v/>
      </c>
      <c r="AE105" s="318" t="str">
        <f t="shared" si="114"/>
        <v/>
      </c>
      <c r="AF105" s="318" t="str">
        <f t="shared" si="114"/>
        <v/>
      </c>
      <c r="AG105" s="318" t="str">
        <f t="shared" si="114"/>
        <v/>
      </c>
      <c r="AH105" s="318" t="str">
        <f t="shared" si="114"/>
        <v/>
      </c>
      <c r="AI105" s="318" t="str">
        <f t="shared" si="114"/>
        <v/>
      </c>
      <c r="AJ105" s="318" t="str">
        <f t="shared" si="114"/>
        <v/>
      </c>
      <c r="AK105" s="318" t="str">
        <f t="shared" si="114"/>
        <v/>
      </c>
      <c r="AL105" s="318" t="str">
        <f t="shared" si="114"/>
        <v/>
      </c>
      <c r="AM105" s="318" t="str">
        <f t="shared" si="114"/>
        <v/>
      </c>
      <c r="AN105" s="318" t="str">
        <f t="shared" si="114"/>
        <v/>
      </c>
      <c r="AO105" s="318" t="str">
        <f t="shared" si="115"/>
        <v/>
      </c>
      <c r="AP105" s="318" t="str">
        <f t="shared" si="115"/>
        <v/>
      </c>
      <c r="AQ105" s="318" t="str">
        <f t="shared" si="115"/>
        <v/>
      </c>
      <c r="AR105" s="318" t="str">
        <f t="shared" si="115"/>
        <v/>
      </c>
      <c r="AS105" s="318" t="str">
        <f t="shared" si="115"/>
        <v/>
      </c>
      <c r="AT105" s="318" t="str">
        <f t="shared" si="115"/>
        <v/>
      </c>
      <c r="AU105" s="318" t="str">
        <f t="shared" si="115"/>
        <v/>
      </c>
      <c r="AV105" s="318" t="str">
        <f t="shared" si="115"/>
        <v/>
      </c>
      <c r="AW105" s="318" t="str">
        <f t="shared" si="115"/>
        <v/>
      </c>
      <c r="AX105" s="318" t="str">
        <f t="shared" si="115"/>
        <v/>
      </c>
      <c r="AY105" s="318" t="str">
        <f t="shared" si="116"/>
        <v/>
      </c>
      <c r="AZ105" s="128" t="str">
        <f t="shared" si="116"/>
        <v/>
      </c>
      <c r="BA105" s="128" t="str">
        <f t="shared" si="116"/>
        <v/>
      </c>
      <c r="BB105" s="128" t="str">
        <f t="shared" si="116"/>
        <v/>
      </c>
      <c r="BC105" s="128" t="str">
        <f t="shared" si="116"/>
        <v/>
      </c>
      <c r="BD105" s="128" t="str">
        <f t="shared" si="116"/>
        <v/>
      </c>
      <c r="BE105" s="128" t="str">
        <f t="shared" si="116"/>
        <v/>
      </c>
      <c r="BF105" s="128" t="str">
        <f t="shared" si="116"/>
        <v/>
      </c>
      <c r="BG105" s="128" t="str">
        <f t="shared" si="116"/>
        <v/>
      </c>
      <c r="BH105" s="128" t="str">
        <f t="shared" si="116"/>
        <v/>
      </c>
      <c r="BI105" s="128" t="str">
        <f t="shared" si="116"/>
        <v/>
      </c>
      <c r="BJ105" s="128" t="str">
        <f t="shared" si="116"/>
        <v/>
      </c>
      <c r="BK105" s="128" t="str">
        <f t="shared" si="116"/>
        <v/>
      </c>
      <c r="BL105" s="319" t="str">
        <f t="shared" si="116"/>
        <v/>
      </c>
      <c r="BM105" s="296"/>
    </row>
    <row r="106" spans="1:65" x14ac:dyDescent="0.25">
      <c r="A106" s="69"/>
      <c r="B106" s="297">
        <f t="shared" si="120"/>
        <v>2019</v>
      </c>
      <c r="C106" s="269" t="str">
        <f t="shared" si="104"/>
        <v/>
      </c>
      <c r="D106" s="318" t="str">
        <f t="shared" si="117"/>
        <v/>
      </c>
      <c r="E106" s="318" t="str">
        <f t="shared" si="117"/>
        <v/>
      </c>
      <c r="F106" s="318" t="str">
        <f t="shared" si="117"/>
        <v/>
      </c>
      <c r="G106" s="318" t="str">
        <f t="shared" si="117"/>
        <v/>
      </c>
      <c r="H106" s="318" t="str">
        <f t="shared" si="117"/>
        <v/>
      </c>
      <c r="I106" s="318" t="str">
        <f t="shared" si="117"/>
        <v/>
      </c>
      <c r="J106" s="318" t="str">
        <f t="shared" si="117"/>
        <v/>
      </c>
      <c r="K106" s="318" t="str">
        <f t="shared" si="117"/>
        <v/>
      </c>
      <c r="L106" s="318" t="str">
        <f t="shared" si="117"/>
        <v/>
      </c>
      <c r="M106" s="318" t="str">
        <f t="shared" si="118"/>
        <v/>
      </c>
      <c r="N106" s="318" t="str">
        <f t="shared" si="119"/>
        <v/>
      </c>
      <c r="O106" s="318" t="str">
        <f t="shared" si="119"/>
        <v/>
      </c>
      <c r="P106" s="318" t="str">
        <f t="shared" si="119"/>
        <v/>
      </c>
      <c r="Q106" s="318" t="str">
        <f t="shared" si="119"/>
        <v/>
      </c>
      <c r="R106" s="318" t="str">
        <f t="shared" si="119"/>
        <v/>
      </c>
      <c r="S106" s="318" t="str">
        <f t="shared" si="119"/>
        <v/>
      </c>
      <c r="T106" s="318">
        <f t="shared" si="119"/>
        <v>2.4987804805501002E-2</v>
      </c>
      <c r="U106" s="318">
        <f t="shared" si="121"/>
        <v>5.0599999999999999E-2</v>
      </c>
      <c r="V106" s="318">
        <f t="shared" si="121"/>
        <v>5.0599999999999999E-2</v>
      </c>
      <c r="W106" s="318">
        <f t="shared" si="121"/>
        <v>5.0599999999999999E-2</v>
      </c>
      <c r="X106" s="318">
        <f t="shared" si="121"/>
        <v>5.0599999999999999E-2</v>
      </c>
      <c r="Y106" s="318">
        <f t="shared" si="121"/>
        <v>5.0599999999999999E-2</v>
      </c>
      <c r="Z106" s="318">
        <f t="shared" si="121"/>
        <v>5.0599999999999999E-2</v>
      </c>
      <c r="AA106" s="318">
        <f t="shared" si="121"/>
        <v>5.0599999999999999E-2</v>
      </c>
      <c r="AB106" s="318">
        <f t="shared" si="121"/>
        <v>5.0599999999999999E-2</v>
      </c>
      <c r="AC106" s="318">
        <f t="shared" si="121"/>
        <v>5.0599999999999999E-2</v>
      </c>
      <c r="AD106" s="318">
        <f t="shared" si="121"/>
        <v>2.4987804805501002E-2</v>
      </c>
      <c r="AE106" s="318" t="str">
        <f t="shared" ref="AE106:AN115" si="122">IF(AND(AE$88-$B106&gt;=1,AE$88-$B106&lt;=9),HLOOKUP($B106,$C$10:$BL$11,2,FALSE),IF(OR(AE$88-$B106=0,AE$88-$B106=10),POWER((HLOOKUP($B106,$C$10:$BL$11,2,FALSE))+1,1/2)-1,""))</f>
        <v/>
      </c>
      <c r="AF106" s="318" t="str">
        <f t="shared" si="122"/>
        <v/>
      </c>
      <c r="AG106" s="318" t="str">
        <f t="shared" si="122"/>
        <v/>
      </c>
      <c r="AH106" s="318" t="str">
        <f t="shared" si="122"/>
        <v/>
      </c>
      <c r="AI106" s="318" t="str">
        <f t="shared" si="122"/>
        <v/>
      </c>
      <c r="AJ106" s="318" t="str">
        <f t="shared" si="122"/>
        <v/>
      </c>
      <c r="AK106" s="318" t="str">
        <f t="shared" si="122"/>
        <v/>
      </c>
      <c r="AL106" s="318" t="str">
        <f t="shared" si="122"/>
        <v/>
      </c>
      <c r="AM106" s="318" t="str">
        <f t="shared" si="122"/>
        <v/>
      </c>
      <c r="AN106" s="318" t="str">
        <f t="shared" si="122"/>
        <v/>
      </c>
      <c r="AO106" s="318" t="str">
        <f t="shared" ref="AO106:AX115" si="123">IF(AND(AO$88-$B106&gt;=1,AO$88-$B106&lt;=9),HLOOKUP($B106,$C$10:$BL$11,2,FALSE),IF(OR(AO$88-$B106=0,AO$88-$B106=10),POWER((HLOOKUP($B106,$C$10:$BL$11,2,FALSE))+1,1/2)-1,""))</f>
        <v/>
      </c>
      <c r="AP106" s="318" t="str">
        <f t="shared" si="123"/>
        <v/>
      </c>
      <c r="AQ106" s="318" t="str">
        <f t="shared" si="123"/>
        <v/>
      </c>
      <c r="AR106" s="318" t="str">
        <f t="shared" si="123"/>
        <v/>
      </c>
      <c r="AS106" s="318" t="str">
        <f t="shared" si="123"/>
        <v/>
      </c>
      <c r="AT106" s="318" t="str">
        <f t="shared" si="123"/>
        <v/>
      </c>
      <c r="AU106" s="318" t="str">
        <f t="shared" si="123"/>
        <v/>
      </c>
      <c r="AV106" s="318" t="str">
        <f t="shared" si="123"/>
        <v/>
      </c>
      <c r="AW106" s="318" t="str">
        <f t="shared" si="123"/>
        <v/>
      </c>
      <c r="AX106" s="318" t="str">
        <f t="shared" si="123"/>
        <v/>
      </c>
      <c r="AY106" s="318" t="str">
        <f t="shared" ref="AY106:BL115" si="124">IF(AND(AY$88-$B106&gt;=1,AY$88-$B106&lt;=9),HLOOKUP($B106,$C$10:$BL$11,2,FALSE),IF(OR(AY$88-$B106=0,AY$88-$B106=10),POWER((HLOOKUP($B106,$C$10:$BL$11,2,FALSE))+1,1/2)-1,""))</f>
        <v/>
      </c>
      <c r="AZ106" s="128" t="str">
        <f t="shared" si="124"/>
        <v/>
      </c>
      <c r="BA106" s="128" t="str">
        <f t="shared" si="124"/>
        <v/>
      </c>
      <c r="BB106" s="128" t="str">
        <f t="shared" si="124"/>
        <v/>
      </c>
      <c r="BC106" s="128" t="str">
        <f t="shared" si="124"/>
        <v/>
      </c>
      <c r="BD106" s="128" t="str">
        <f t="shared" si="124"/>
        <v/>
      </c>
      <c r="BE106" s="128" t="str">
        <f t="shared" si="124"/>
        <v/>
      </c>
      <c r="BF106" s="128" t="str">
        <f t="shared" si="124"/>
        <v/>
      </c>
      <c r="BG106" s="128" t="str">
        <f t="shared" si="124"/>
        <v/>
      </c>
      <c r="BH106" s="128" t="str">
        <f t="shared" si="124"/>
        <v/>
      </c>
      <c r="BI106" s="128" t="str">
        <f t="shared" si="124"/>
        <v/>
      </c>
      <c r="BJ106" s="128" t="str">
        <f t="shared" si="124"/>
        <v/>
      </c>
      <c r="BK106" s="128" t="str">
        <f t="shared" si="124"/>
        <v/>
      </c>
      <c r="BL106" s="319" t="str">
        <f t="shared" si="124"/>
        <v/>
      </c>
      <c r="BM106" s="296"/>
    </row>
    <row r="107" spans="1:65" x14ac:dyDescent="0.25">
      <c r="A107" s="69"/>
      <c r="B107" s="297">
        <f t="shared" si="120"/>
        <v>2020</v>
      </c>
      <c r="C107" s="269" t="str">
        <f t="shared" si="104"/>
        <v/>
      </c>
      <c r="D107" s="318" t="str">
        <f t="shared" si="117"/>
        <v/>
      </c>
      <c r="E107" s="318" t="str">
        <f t="shared" si="117"/>
        <v/>
      </c>
      <c r="F107" s="318" t="str">
        <f t="shared" si="117"/>
        <v/>
      </c>
      <c r="G107" s="318" t="str">
        <f t="shared" si="117"/>
        <v/>
      </c>
      <c r="H107" s="318" t="str">
        <f t="shared" si="117"/>
        <v/>
      </c>
      <c r="I107" s="318" t="str">
        <f t="shared" si="117"/>
        <v/>
      </c>
      <c r="J107" s="318" t="str">
        <f t="shared" si="117"/>
        <v/>
      </c>
      <c r="K107" s="318" t="str">
        <f t="shared" si="117"/>
        <v/>
      </c>
      <c r="L107" s="318" t="str">
        <f t="shared" si="117"/>
        <v/>
      </c>
      <c r="M107" s="318" t="str">
        <f t="shared" ref="M107:S116" si="125">IF(AND(M$88-$B107&gt;=1,M$88-$B107&lt;=9),HLOOKUP($B107,$C$10:$BL$11,2,FALSE),IF(OR(M$88-$B107=0,M$88-$B107=10),(HLOOKUP($B107,$C$10:$BL$11,2,FALSE))/2,""))</f>
        <v/>
      </c>
      <c r="N107" s="318" t="str">
        <f t="shared" si="125"/>
        <v/>
      </c>
      <c r="O107" s="318" t="str">
        <f t="shared" si="125"/>
        <v/>
      </c>
      <c r="P107" s="318" t="str">
        <f t="shared" si="125"/>
        <v/>
      </c>
      <c r="Q107" s="318" t="str">
        <f t="shared" si="125"/>
        <v/>
      </c>
      <c r="R107" s="318" t="str">
        <f t="shared" si="125"/>
        <v/>
      </c>
      <c r="S107" s="318" t="str">
        <f t="shared" si="125"/>
        <v/>
      </c>
      <c r="T107" s="318" t="str">
        <f t="shared" ref="T107:T150" si="126">IF(AND(T$88-$B107&gt;=1,T$88-$B107&lt;=9),HLOOKUP($B107,$C$10:$BL$11,2,FALSE),IF(OR(T$88-$B107=0,T$88-$B107=10),POWER((HLOOKUP($B107,$C$10:$BL$11,2,FALSE))+1,1/2)-1,""))</f>
        <v/>
      </c>
      <c r="U107" s="318">
        <f t="shared" si="121"/>
        <v>2.4987804805501002E-2</v>
      </c>
      <c r="V107" s="318">
        <f t="shared" si="121"/>
        <v>5.0599999999999999E-2</v>
      </c>
      <c r="W107" s="318">
        <f t="shared" si="121"/>
        <v>5.0599999999999999E-2</v>
      </c>
      <c r="X107" s="318">
        <f t="shared" si="121"/>
        <v>5.0599999999999999E-2</v>
      </c>
      <c r="Y107" s="318">
        <f t="shared" si="121"/>
        <v>5.0599999999999999E-2</v>
      </c>
      <c r="Z107" s="318">
        <f t="shared" si="121"/>
        <v>5.0599999999999999E-2</v>
      </c>
      <c r="AA107" s="318">
        <f t="shared" si="121"/>
        <v>5.0599999999999999E-2</v>
      </c>
      <c r="AB107" s="318">
        <f t="shared" si="121"/>
        <v>5.0599999999999999E-2</v>
      </c>
      <c r="AC107" s="318">
        <f t="shared" si="121"/>
        <v>5.0599999999999999E-2</v>
      </c>
      <c r="AD107" s="318">
        <f t="shared" si="121"/>
        <v>5.0599999999999999E-2</v>
      </c>
      <c r="AE107" s="318">
        <f t="shared" si="122"/>
        <v>2.4987804805501002E-2</v>
      </c>
      <c r="AF107" s="318" t="str">
        <f t="shared" si="122"/>
        <v/>
      </c>
      <c r="AG107" s="318" t="str">
        <f t="shared" si="122"/>
        <v/>
      </c>
      <c r="AH107" s="318" t="str">
        <f t="shared" si="122"/>
        <v/>
      </c>
      <c r="AI107" s="318" t="str">
        <f t="shared" si="122"/>
        <v/>
      </c>
      <c r="AJ107" s="318" t="str">
        <f t="shared" si="122"/>
        <v/>
      </c>
      <c r="AK107" s="318" t="str">
        <f t="shared" si="122"/>
        <v/>
      </c>
      <c r="AL107" s="318" t="str">
        <f t="shared" si="122"/>
        <v/>
      </c>
      <c r="AM107" s="318" t="str">
        <f t="shared" si="122"/>
        <v/>
      </c>
      <c r="AN107" s="318" t="str">
        <f t="shared" si="122"/>
        <v/>
      </c>
      <c r="AO107" s="318" t="str">
        <f t="shared" si="123"/>
        <v/>
      </c>
      <c r="AP107" s="318" t="str">
        <f t="shared" si="123"/>
        <v/>
      </c>
      <c r="AQ107" s="318" t="str">
        <f t="shared" si="123"/>
        <v/>
      </c>
      <c r="AR107" s="318" t="str">
        <f t="shared" si="123"/>
        <v/>
      </c>
      <c r="AS107" s="318" t="str">
        <f t="shared" si="123"/>
        <v/>
      </c>
      <c r="AT107" s="318" t="str">
        <f t="shared" si="123"/>
        <v/>
      </c>
      <c r="AU107" s="318" t="str">
        <f t="shared" si="123"/>
        <v/>
      </c>
      <c r="AV107" s="318" t="str">
        <f t="shared" si="123"/>
        <v/>
      </c>
      <c r="AW107" s="318" t="str">
        <f t="shared" si="123"/>
        <v/>
      </c>
      <c r="AX107" s="318" t="str">
        <f t="shared" si="123"/>
        <v/>
      </c>
      <c r="AY107" s="318" t="str">
        <f t="shared" si="124"/>
        <v/>
      </c>
      <c r="AZ107" s="128" t="str">
        <f t="shared" si="124"/>
        <v/>
      </c>
      <c r="BA107" s="128" t="str">
        <f t="shared" si="124"/>
        <v/>
      </c>
      <c r="BB107" s="128" t="str">
        <f t="shared" si="124"/>
        <v/>
      </c>
      <c r="BC107" s="128" t="str">
        <f t="shared" si="124"/>
        <v/>
      </c>
      <c r="BD107" s="128" t="str">
        <f t="shared" si="124"/>
        <v/>
      </c>
      <c r="BE107" s="128" t="str">
        <f t="shared" si="124"/>
        <v/>
      </c>
      <c r="BF107" s="128" t="str">
        <f t="shared" si="124"/>
        <v/>
      </c>
      <c r="BG107" s="128" t="str">
        <f t="shared" si="124"/>
        <v/>
      </c>
      <c r="BH107" s="128" t="str">
        <f t="shared" si="124"/>
        <v/>
      </c>
      <c r="BI107" s="128" t="str">
        <f t="shared" si="124"/>
        <v/>
      </c>
      <c r="BJ107" s="128" t="str">
        <f t="shared" si="124"/>
        <v/>
      </c>
      <c r="BK107" s="128" t="str">
        <f t="shared" si="124"/>
        <v/>
      </c>
      <c r="BL107" s="319" t="str">
        <f t="shared" si="124"/>
        <v/>
      </c>
      <c r="BM107" s="296"/>
    </row>
    <row r="108" spans="1:65" x14ac:dyDescent="0.25">
      <c r="A108" s="69"/>
      <c r="B108" s="297">
        <f t="shared" si="120"/>
        <v>2021</v>
      </c>
      <c r="C108" s="269" t="str">
        <f t="shared" si="104"/>
        <v/>
      </c>
      <c r="D108" s="318" t="str">
        <f t="shared" si="117"/>
        <v/>
      </c>
      <c r="E108" s="318" t="str">
        <f t="shared" si="117"/>
        <v/>
      </c>
      <c r="F108" s="318" t="str">
        <f t="shared" si="117"/>
        <v/>
      </c>
      <c r="G108" s="318" t="str">
        <f t="shared" si="117"/>
        <v/>
      </c>
      <c r="H108" s="318" t="str">
        <f t="shared" si="117"/>
        <v/>
      </c>
      <c r="I108" s="318" t="str">
        <f t="shared" si="117"/>
        <v/>
      </c>
      <c r="J108" s="318" t="str">
        <f t="shared" si="117"/>
        <v/>
      </c>
      <c r="K108" s="318" t="str">
        <f t="shared" si="117"/>
        <v/>
      </c>
      <c r="L108" s="318" t="str">
        <f t="shared" si="117"/>
        <v/>
      </c>
      <c r="M108" s="318" t="str">
        <f t="shared" si="125"/>
        <v/>
      </c>
      <c r="N108" s="318" t="str">
        <f t="shared" si="125"/>
        <v/>
      </c>
      <c r="O108" s="318" t="str">
        <f t="shared" si="125"/>
        <v/>
      </c>
      <c r="P108" s="318" t="str">
        <f t="shared" si="125"/>
        <v/>
      </c>
      <c r="Q108" s="318" t="str">
        <f t="shared" si="125"/>
        <v/>
      </c>
      <c r="R108" s="318" t="str">
        <f t="shared" si="125"/>
        <v/>
      </c>
      <c r="S108" s="318" t="str">
        <f t="shared" si="125"/>
        <v/>
      </c>
      <c r="T108" s="318" t="str">
        <f t="shared" si="126"/>
        <v/>
      </c>
      <c r="U108" s="318" t="str">
        <f t="shared" si="121"/>
        <v/>
      </c>
      <c r="V108" s="318">
        <f t="shared" si="121"/>
        <v>2.4987804805501002E-2</v>
      </c>
      <c r="W108" s="318">
        <f t="shared" si="121"/>
        <v>5.0599999999999999E-2</v>
      </c>
      <c r="X108" s="318">
        <f t="shared" si="121"/>
        <v>5.0599999999999999E-2</v>
      </c>
      <c r="Y108" s="318">
        <f t="shared" si="121"/>
        <v>5.0599999999999999E-2</v>
      </c>
      <c r="Z108" s="318">
        <f t="shared" si="121"/>
        <v>5.0599999999999999E-2</v>
      </c>
      <c r="AA108" s="318">
        <f t="shared" si="121"/>
        <v>5.0599999999999999E-2</v>
      </c>
      <c r="AB108" s="318">
        <f t="shared" si="121"/>
        <v>5.0599999999999999E-2</v>
      </c>
      <c r="AC108" s="318">
        <f t="shared" si="121"/>
        <v>5.0599999999999999E-2</v>
      </c>
      <c r="AD108" s="318">
        <f t="shared" si="121"/>
        <v>5.0599999999999999E-2</v>
      </c>
      <c r="AE108" s="318">
        <f t="shared" si="122"/>
        <v>5.0599999999999999E-2</v>
      </c>
      <c r="AF108" s="318">
        <f t="shared" si="122"/>
        <v>2.4987804805501002E-2</v>
      </c>
      <c r="AG108" s="318" t="str">
        <f t="shared" si="122"/>
        <v/>
      </c>
      <c r="AH108" s="318" t="str">
        <f t="shared" si="122"/>
        <v/>
      </c>
      <c r="AI108" s="318" t="str">
        <f t="shared" si="122"/>
        <v/>
      </c>
      <c r="AJ108" s="318" t="str">
        <f t="shared" si="122"/>
        <v/>
      </c>
      <c r="AK108" s="318" t="str">
        <f t="shared" si="122"/>
        <v/>
      </c>
      <c r="AL108" s="318" t="str">
        <f t="shared" si="122"/>
        <v/>
      </c>
      <c r="AM108" s="318" t="str">
        <f t="shared" si="122"/>
        <v/>
      </c>
      <c r="AN108" s="318" t="str">
        <f t="shared" si="122"/>
        <v/>
      </c>
      <c r="AO108" s="318" t="str">
        <f t="shared" si="123"/>
        <v/>
      </c>
      <c r="AP108" s="318" t="str">
        <f t="shared" si="123"/>
        <v/>
      </c>
      <c r="AQ108" s="318" t="str">
        <f t="shared" si="123"/>
        <v/>
      </c>
      <c r="AR108" s="318" t="str">
        <f t="shared" si="123"/>
        <v/>
      </c>
      <c r="AS108" s="318" t="str">
        <f t="shared" si="123"/>
        <v/>
      </c>
      <c r="AT108" s="318" t="str">
        <f t="shared" si="123"/>
        <v/>
      </c>
      <c r="AU108" s="318" t="str">
        <f t="shared" si="123"/>
        <v/>
      </c>
      <c r="AV108" s="318" t="str">
        <f t="shared" si="123"/>
        <v/>
      </c>
      <c r="AW108" s="318" t="str">
        <f t="shared" si="123"/>
        <v/>
      </c>
      <c r="AX108" s="318" t="str">
        <f t="shared" si="123"/>
        <v/>
      </c>
      <c r="AY108" s="318" t="str">
        <f t="shared" si="124"/>
        <v/>
      </c>
      <c r="AZ108" s="128" t="str">
        <f t="shared" si="124"/>
        <v/>
      </c>
      <c r="BA108" s="128" t="str">
        <f t="shared" si="124"/>
        <v/>
      </c>
      <c r="BB108" s="128" t="str">
        <f t="shared" si="124"/>
        <v/>
      </c>
      <c r="BC108" s="128" t="str">
        <f t="shared" si="124"/>
        <v/>
      </c>
      <c r="BD108" s="128" t="str">
        <f t="shared" si="124"/>
        <v/>
      </c>
      <c r="BE108" s="128" t="str">
        <f t="shared" si="124"/>
        <v/>
      </c>
      <c r="BF108" s="128" t="str">
        <f t="shared" si="124"/>
        <v/>
      </c>
      <c r="BG108" s="128" t="str">
        <f t="shared" si="124"/>
        <v/>
      </c>
      <c r="BH108" s="128" t="str">
        <f t="shared" si="124"/>
        <v/>
      </c>
      <c r="BI108" s="128" t="str">
        <f t="shared" si="124"/>
        <v/>
      </c>
      <c r="BJ108" s="128" t="str">
        <f t="shared" si="124"/>
        <v/>
      </c>
      <c r="BK108" s="128" t="str">
        <f t="shared" si="124"/>
        <v/>
      </c>
      <c r="BL108" s="319" t="str">
        <f t="shared" si="124"/>
        <v/>
      </c>
      <c r="BM108" s="296"/>
    </row>
    <row r="109" spans="1:65" x14ac:dyDescent="0.25">
      <c r="A109" s="69"/>
      <c r="B109" s="297">
        <f t="shared" si="120"/>
        <v>2022</v>
      </c>
      <c r="C109" s="269" t="str">
        <f t="shared" si="104"/>
        <v/>
      </c>
      <c r="D109" s="318" t="str">
        <f t="shared" si="117"/>
        <v/>
      </c>
      <c r="E109" s="318" t="str">
        <f t="shared" si="117"/>
        <v/>
      </c>
      <c r="F109" s="318" t="str">
        <f t="shared" si="117"/>
        <v/>
      </c>
      <c r="G109" s="318" t="str">
        <f t="shared" si="117"/>
        <v/>
      </c>
      <c r="H109" s="318" t="str">
        <f t="shared" si="117"/>
        <v/>
      </c>
      <c r="I109" s="318" t="str">
        <f t="shared" si="117"/>
        <v/>
      </c>
      <c r="J109" s="318" t="str">
        <f t="shared" si="117"/>
        <v/>
      </c>
      <c r="K109" s="318" t="str">
        <f t="shared" si="117"/>
        <v/>
      </c>
      <c r="L109" s="318" t="str">
        <f t="shared" si="117"/>
        <v/>
      </c>
      <c r="M109" s="318" t="str">
        <f t="shared" si="125"/>
        <v/>
      </c>
      <c r="N109" s="318" t="str">
        <f t="shared" si="125"/>
        <v/>
      </c>
      <c r="O109" s="318" t="str">
        <f t="shared" si="125"/>
        <v/>
      </c>
      <c r="P109" s="318" t="str">
        <f t="shared" si="125"/>
        <v/>
      </c>
      <c r="Q109" s="318" t="str">
        <f t="shared" si="125"/>
        <v/>
      </c>
      <c r="R109" s="318" t="str">
        <f t="shared" si="125"/>
        <v/>
      </c>
      <c r="S109" s="318" t="str">
        <f t="shared" si="125"/>
        <v/>
      </c>
      <c r="T109" s="318" t="str">
        <f t="shared" si="126"/>
        <v/>
      </c>
      <c r="U109" s="318" t="str">
        <f t="shared" si="121"/>
        <v/>
      </c>
      <c r="V109" s="318" t="str">
        <f t="shared" si="121"/>
        <v/>
      </c>
      <c r="W109" s="318">
        <f t="shared" si="121"/>
        <v>2.4987804805501002E-2</v>
      </c>
      <c r="X109" s="318">
        <f t="shared" si="121"/>
        <v>5.0599999999999999E-2</v>
      </c>
      <c r="Y109" s="318">
        <f t="shared" si="121"/>
        <v>5.0599999999999999E-2</v>
      </c>
      <c r="Z109" s="318">
        <f t="shared" si="121"/>
        <v>5.0599999999999999E-2</v>
      </c>
      <c r="AA109" s="318">
        <f t="shared" si="121"/>
        <v>5.0599999999999999E-2</v>
      </c>
      <c r="AB109" s="318">
        <f t="shared" si="121"/>
        <v>5.0599999999999999E-2</v>
      </c>
      <c r="AC109" s="318">
        <f t="shared" si="121"/>
        <v>5.0599999999999999E-2</v>
      </c>
      <c r="AD109" s="318">
        <f t="shared" si="121"/>
        <v>5.0599999999999999E-2</v>
      </c>
      <c r="AE109" s="318">
        <f t="shared" si="122"/>
        <v>5.0599999999999999E-2</v>
      </c>
      <c r="AF109" s="318">
        <f t="shared" si="122"/>
        <v>5.0599999999999999E-2</v>
      </c>
      <c r="AG109" s="318">
        <f t="shared" si="122"/>
        <v>2.4987804805501002E-2</v>
      </c>
      <c r="AH109" s="318" t="str">
        <f t="shared" si="122"/>
        <v/>
      </c>
      <c r="AI109" s="318" t="str">
        <f t="shared" si="122"/>
        <v/>
      </c>
      <c r="AJ109" s="318" t="str">
        <f t="shared" si="122"/>
        <v/>
      </c>
      <c r="AK109" s="318" t="str">
        <f t="shared" si="122"/>
        <v/>
      </c>
      <c r="AL109" s="318" t="str">
        <f t="shared" si="122"/>
        <v/>
      </c>
      <c r="AM109" s="318" t="str">
        <f t="shared" si="122"/>
        <v/>
      </c>
      <c r="AN109" s="318" t="str">
        <f t="shared" si="122"/>
        <v/>
      </c>
      <c r="AO109" s="318" t="str">
        <f t="shared" si="123"/>
        <v/>
      </c>
      <c r="AP109" s="318" t="str">
        <f t="shared" si="123"/>
        <v/>
      </c>
      <c r="AQ109" s="318" t="str">
        <f t="shared" si="123"/>
        <v/>
      </c>
      <c r="AR109" s="318" t="str">
        <f t="shared" si="123"/>
        <v/>
      </c>
      <c r="AS109" s="318" t="str">
        <f t="shared" si="123"/>
        <v/>
      </c>
      <c r="AT109" s="318" t="str">
        <f t="shared" si="123"/>
        <v/>
      </c>
      <c r="AU109" s="318" t="str">
        <f t="shared" si="123"/>
        <v/>
      </c>
      <c r="AV109" s="318" t="str">
        <f t="shared" si="123"/>
        <v/>
      </c>
      <c r="AW109" s="318" t="str">
        <f t="shared" si="123"/>
        <v/>
      </c>
      <c r="AX109" s="318" t="str">
        <f t="shared" si="123"/>
        <v/>
      </c>
      <c r="AY109" s="318" t="str">
        <f t="shared" si="124"/>
        <v/>
      </c>
      <c r="AZ109" s="128" t="str">
        <f t="shared" si="124"/>
        <v/>
      </c>
      <c r="BA109" s="128" t="str">
        <f t="shared" si="124"/>
        <v/>
      </c>
      <c r="BB109" s="128" t="str">
        <f t="shared" si="124"/>
        <v/>
      </c>
      <c r="BC109" s="128" t="str">
        <f t="shared" si="124"/>
        <v/>
      </c>
      <c r="BD109" s="128" t="str">
        <f t="shared" si="124"/>
        <v/>
      </c>
      <c r="BE109" s="128" t="str">
        <f t="shared" si="124"/>
        <v/>
      </c>
      <c r="BF109" s="128" t="str">
        <f t="shared" si="124"/>
        <v/>
      </c>
      <c r="BG109" s="128" t="str">
        <f t="shared" si="124"/>
        <v/>
      </c>
      <c r="BH109" s="128" t="str">
        <f t="shared" si="124"/>
        <v/>
      </c>
      <c r="BI109" s="128" t="str">
        <f t="shared" si="124"/>
        <v/>
      </c>
      <c r="BJ109" s="128" t="str">
        <f t="shared" si="124"/>
        <v/>
      </c>
      <c r="BK109" s="128" t="str">
        <f t="shared" si="124"/>
        <v/>
      </c>
      <c r="BL109" s="319" t="str">
        <f t="shared" si="124"/>
        <v/>
      </c>
      <c r="BM109" s="296"/>
    </row>
    <row r="110" spans="1:65" x14ac:dyDescent="0.25">
      <c r="A110" s="69"/>
      <c r="B110" s="297">
        <f t="shared" si="120"/>
        <v>2023</v>
      </c>
      <c r="C110" s="269" t="str">
        <f t="shared" si="104"/>
        <v/>
      </c>
      <c r="D110" s="318" t="str">
        <f t="shared" ref="D110:L119" si="127">IF(AND(D$88-$B110&gt;=1,D$88-$B110&lt;=9),HLOOKUP($B110,$C$10:$BL$11,2,FALSE),IF(OR(D$88-$B110=0,D$88-$B110=10),(HLOOKUP($B110,$C$10:$BL$11,2,FALSE))/2,""))</f>
        <v/>
      </c>
      <c r="E110" s="318" t="str">
        <f t="shared" si="127"/>
        <v/>
      </c>
      <c r="F110" s="318" t="str">
        <f t="shared" si="127"/>
        <v/>
      </c>
      <c r="G110" s="318" t="str">
        <f t="shared" si="127"/>
        <v/>
      </c>
      <c r="H110" s="318" t="str">
        <f t="shared" si="127"/>
        <v/>
      </c>
      <c r="I110" s="318" t="str">
        <f t="shared" si="127"/>
        <v/>
      </c>
      <c r="J110" s="318" t="str">
        <f t="shared" si="127"/>
        <v/>
      </c>
      <c r="K110" s="318" t="str">
        <f t="shared" si="127"/>
        <v/>
      </c>
      <c r="L110" s="318" t="str">
        <f t="shared" si="127"/>
        <v/>
      </c>
      <c r="M110" s="318" t="str">
        <f t="shared" si="125"/>
        <v/>
      </c>
      <c r="N110" s="318" t="str">
        <f t="shared" si="125"/>
        <v/>
      </c>
      <c r="O110" s="318" t="str">
        <f t="shared" si="125"/>
        <v/>
      </c>
      <c r="P110" s="318" t="str">
        <f t="shared" si="125"/>
        <v/>
      </c>
      <c r="Q110" s="318" t="str">
        <f t="shared" si="125"/>
        <v/>
      </c>
      <c r="R110" s="318" t="str">
        <f t="shared" si="125"/>
        <v/>
      </c>
      <c r="S110" s="318" t="str">
        <f t="shared" si="125"/>
        <v/>
      </c>
      <c r="T110" s="318" t="str">
        <f t="shared" si="126"/>
        <v/>
      </c>
      <c r="U110" s="318" t="str">
        <f t="shared" si="121"/>
        <v/>
      </c>
      <c r="V110" s="318" t="str">
        <f t="shared" si="121"/>
        <v/>
      </c>
      <c r="W110" s="318" t="str">
        <f t="shared" si="121"/>
        <v/>
      </c>
      <c r="X110" s="318">
        <f t="shared" si="121"/>
        <v>2.4987804805501002E-2</v>
      </c>
      <c r="Y110" s="318">
        <f t="shared" si="121"/>
        <v>5.0599999999999999E-2</v>
      </c>
      <c r="Z110" s="318">
        <f t="shared" si="121"/>
        <v>5.0599999999999999E-2</v>
      </c>
      <c r="AA110" s="318">
        <f t="shared" si="121"/>
        <v>5.0599999999999999E-2</v>
      </c>
      <c r="AB110" s="318">
        <f t="shared" si="121"/>
        <v>5.0599999999999999E-2</v>
      </c>
      <c r="AC110" s="318">
        <f t="shared" si="121"/>
        <v>5.0599999999999999E-2</v>
      </c>
      <c r="AD110" s="318">
        <f t="shared" si="121"/>
        <v>5.0599999999999999E-2</v>
      </c>
      <c r="AE110" s="318">
        <f t="shared" si="122"/>
        <v>5.0599999999999999E-2</v>
      </c>
      <c r="AF110" s="318">
        <f t="shared" si="122"/>
        <v>5.0599999999999999E-2</v>
      </c>
      <c r="AG110" s="318">
        <f t="shared" si="122"/>
        <v>5.0599999999999999E-2</v>
      </c>
      <c r="AH110" s="318">
        <f t="shared" si="122"/>
        <v>2.4987804805501002E-2</v>
      </c>
      <c r="AI110" s="318" t="str">
        <f t="shared" si="122"/>
        <v/>
      </c>
      <c r="AJ110" s="318" t="str">
        <f t="shared" si="122"/>
        <v/>
      </c>
      <c r="AK110" s="318" t="str">
        <f t="shared" si="122"/>
        <v/>
      </c>
      <c r="AL110" s="318" t="str">
        <f t="shared" si="122"/>
        <v/>
      </c>
      <c r="AM110" s="318" t="str">
        <f t="shared" si="122"/>
        <v/>
      </c>
      <c r="AN110" s="318" t="str">
        <f t="shared" si="122"/>
        <v/>
      </c>
      <c r="AO110" s="318" t="str">
        <f t="shared" si="123"/>
        <v/>
      </c>
      <c r="AP110" s="318" t="str">
        <f t="shared" si="123"/>
        <v/>
      </c>
      <c r="AQ110" s="318" t="str">
        <f t="shared" si="123"/>
        <v/>
      </c>
      <c r="AR110" s="318" t="str">
        <f t="shared" si="123"/>
        <v/>
      </c>
      <c r="AS110" s="318" t="str">
        <f t="shared" si="123"/>
        <v/>
      </c>
      <c r="AT110" s="318" t="str">
        <f t="shared" si="123"/>
        <v/>
      </c>
      <c r="AU110" s="318" t="str">
        <f t="shared" si="123"/>
        <v/>
      </c>
      <c r="AV110" s="318" t="str">
        <f t="shared" si="123"/>
        <v/>
      </c>
      <c r="AW110" s="318" t="str">
        <f t="shared" si="123"/>
        <v/>
      </c>
      <c r="AX110" s="318" t="str">
        <f t="shared" si="123"/>
        <v/>
      </c>
      <c r="AY110" s="318" t="str">
        <f t="shared" si="124"/>
        <v/>
      </c>
      <c r="AZ110" s="128" t="str">
        <f t="shared" si="124"/>
        <v/>
      </c>
      <c r="BA110" s="128" t="str">
        <f t="shared" si="124"/>
        <v/>
      </c>
      <c r="BB110" s="128" t="str">
        <f t="shared" si="124"/>
        <v/>
      </c>
      <c r="BC110" s="128" t="str">
        <f t="shared" si="124"/>
        <v/>
      </c>
      <c r="BD110" s="128" t="str">
        <f t="shared" si="124"/>
        <v/>
      </c>
      <c r="BE110" s="128" t="str">
        <f t="shared" si="124"/>
        <v/>
      </c>
      <c r="BF110" s="128" t="str">
        <f t="shared" si="124"/>
        <v/>
      </c>
      <c r="BG110" s="128" t="str">
        <f t="shared" si="124"/>
        <v/>
      </c>
      <c r="BH110" s="128" t="str">
        <f t="shared" si="124"/>
        <v/>
      </c>
      <c r="BI110" s="128" t="str">
        <f t="shared" si="124"/>
        <v/>
      </c>
      <c r="BJ110" s="128" t="str">
        <f t="shared" si="124"/>
        <v/>
      </c>
      <c r="BK110" s="128" t="str">
        <f t="shared" si="124"/>
        <v/>
      </c>
      <c r="BL110" s="319" t="str">
        <f t="shared" si="124"/>
        <v/>
      </c>
      <c r="BM110" s="296"/>
    </row>
    <row r="111" spans="1:65" x14ac:dyDescent="0.25">
      <c r="A111" s="69"/>
      <c r="B111" s="297">
        <f t="shared" si="120"/>
        <v>2024</v>
      </c>
      <c r="C111" s="269" t="str">
        <f t="shared" si="104"/>
        <v/>
      </c>
      <c r="D111" s="318" t="str">
        <f t="shared" si="127"/>
        <v/>
      </c>
      <c r="E111" s="318" t="str">
        <f t="shared" si="127"/>
        <v/>
      </c>
      <c r="F111" s="318" t="str">
        <f t="shared" si="127"/>
        <v/>
      </c>
      <c r="G111" s="318" t="str">
        <f t="shared" si="127"/>
        <v/>
      </c>
      <c r="H111" s="318" t="str">
        <f t="shared" si="127"/>
        <v/>
      </c>
      <c r="I111" s="318" t="str">
        <f t="shared" si="127"/>
        <v/>
      </c>
      <c r="J111" s="318" t="str">
        <f t="shared" si="127"/>
        <v/>
      </c>
      <c r="K111" s="318" t="str">
        <f t="shared" si="127"/>
        <v/>
      </c>
      <c r="L111" s="318" t="str">
        <f t="shared" si="127"/>
        <v/>
      </c>
      <c r="M111" s="318" t="str">
        <f t="shared" si="125"/>
        <v/>
      </c>
      <c r="N111" s="318" t="str">
        <f t="shared" si="125"/>
        <v/>
      </c>
      <c r="O111" s="318" t="str">
        <f t="shared" si="125"/>
        <v/>
      </c>
      <c r="P111" s="318" t="str">
        <f t="shared" si="125"/>
        <v/>
      </c>
      <c r="Q111" s="318" t="str">
        <f t="shared" si="125"/>
        <v/>
      </c>
      <c r="R111" s="318" t="str">
        <f t="shared" si="125"/>
        <v/>
      </c>
      <c r="S111" s="318" t="str">
        <f t="shared" si="125"/>
        <v/>
      </c>
      <c r="T111" s="318" t="str">
        <f t="shared" si="126"/>
        <v/>
      </c>
      <c r="U111" s="318" t="str">
        <f t="shared" si="121"/>
        <v/>
      </c>
      <c r="V111" s="318" t="str">
        <f t="shared" si="121"/>
        <v/>
      </c>
      <c r="W111" s="318" t="str">
        <f t="shared" si="121"/>
        <v/>
      </c>
      <c r="X111" s="318" t="str">
        <f t="shared" si="121"/>
        <v/>
      </c>
      <c r="Y111" s="318">
        <f t="shared" si="121"/>
        <v>2.4987804805501002E-2</v>
      </c>
      <c r="Z111" s="318">
        <f t="shared" si="121"/>
        <v>5.0599999999999999E-2</v>
      </c>
      <c r="AA111" s="318">
        <f t="shared" si="121"/>
        <v>5.0599999999999999E-2</v>
      </c>
      <c r="AB111" s="318">
        <f t="shared" si="121"/>
        <v>5.0599999999999999E-2</v>
      </c>
      <c r="AC111" s="318">
        <f t="shared" si="121"/>
        <v>5.0599999999999999E-2</v>
      </c>
      <c r="AD111" s="318">
        <f t="shared" si="121"/>
        <v>5.0599999999999999E-2</v>
      </c>
      <c r="AE111" s="318">
        <f t="shared" si="122"/>
        <v>5.0599999999999999E-2</v>
      </c>
      <c r="AF111" s="318">
        <f t="shared" si="122"/>
        <v>5.0599999999999999E-2</v>
      </c>
      <c r="AG111" s="318">
        <f t="shared" si="122"/>
        <v>5.0599999999999999E-2</v>
      </c>
      <c r="AH111" s="318">
        <f t="shared" si="122"/>
        <v>5.0599999999999999E-2</v>
      </c>
      <c r="AI111" s="318">
        <f t="shared" si="122"/>
        <v>2.4987804805501002E-2</v>
      </c>
      <c r="AJ111" s="318" t="str">
        <f t="shared" si="122"/>
        <v/>
      </c>
      <c r="AK111" s="318" t="str">
        <f t="shared" si="122"/>
        <v/>
      </c>
      <c r="AL111" s="318" t="str">
        <f t="shared" si="122"/>
        <v/>
      </c>
      <c r="AM111" s="318" t="str">
        <f t="shared" si="122"/>
        <v/>
      </c>
      <c r="AN111" s="318" t="str">
        <f t="shared" si="122"/>
        <v/>
      </c>
      <c r="AO111" s="318" t="str">
        <f t="shared" si="123"/>
        <v/>
      </c>
      <c r="AP111" s="318" t="str">
        <f t="shared" si="123"/>
        <v/>
      </c>
      <c r="AQ111" s="318" t="str">
        <f t="shared" si="123"/>
        <v/>
      </c>
      <c r="AR111" s="318" t="str">
        <f t="shared" si="123"/>
        <v/>
      </c>
      <c r="AS111" s="318" t="str">
        <f t="shared" si="123"/>
        <v/>
      </c>
      <c r="AT111" s="318" t="str">
        <f t="shared" si="123"/>
        <v/>
      </c>
      <c r="AU111" s="318" t="str">
        <f t="shared" si="123"/>
        <v/>
      </c>
      <c r="AV111" s="318" t="str">
        <f t="shared" si="123"/>
        <v/>
      </c>
      <c r="AW111" s="318" t="str">
        <f t="shared" si="123"/>
        <v/>
      </c>
      <c r="AX111" s="318" t="str">
        <f t="shared" si="123"/>
        <v/>
      </c>
      <c r="AY111" s="318" t="str">
        <f t="shared" si="124"/>
        <v/>
      </c>
      <c r="AZ111" s="128" t="str">
        <f t="shared" si="124"/>
        <v/>
      </c>
      <c r="BA111" s="128" t="str">
        <f t="shared" si="124"/>
        <v/>
      </c>
      <c r="BB111" s="128" t="str">
        <f t="shared" si="124"/>
        <v/>
      </c>
      <c r="BC111" s="128" t="str">
        <f t="shared" si="124"/>
        <v/>
      </c>
      <c r="BD111" s="128" t="str">
        <f t="shared" si="124"/>
        <v/>
      </c>
      <c r="BE111" s="128" t="str">
        <f t="shared" si="124"/>
        <v/>
      </c>
      <c r="BF111" s="128" t="str">
        <f t="shared" si="124"/>
        <v/>
      </c>
      <c r="BG111" s="128" t="str">
        <f t="shared" si="124"/>
        <v/>
      </c>
      <c r="BH111" s="128" t="str">
        <f t="shared" si="124"/>
        <v/>
      </c>
      <c r="BI111" s="128" t="str">
        <f t="shared" si="124"/>
        <v/>
      </c>
      <c r="BJ111" s="128" t="str">
        <f t="shared" si="124"/>
        <v/>
      </c>
      <c r="BK111" s="128" t="str">
        <f t="shared" si="124"/>
        <v/>
      </c>
      <c r="BL111" s="319" t="str">
        <f t="shared" si="124"/>
        <v/>
      </c>
      <c r="BM111" s="296"/>
    </row>
    <row r="112" spans="1:65" x14ac:dyDescent="0.25">
      <c r="A112" s="69"/>
      <c r="B112" s="297">
        <f t="shared" si="120"/>
        <v>2025</v>
      </c>
      <c r="C112" s="269" t="str">
        <f t="shared" si="104"/>
        <v/>
      </c>
      <c r="D112" s="318" t="str">
        <f t="shared" si="127"/>
        <v/>
      </c>
      <c r="E112" s="318" t="str">
        <f t="shared" si="127"/>
        <v/>
      </c>
      <c r="F112" s="318" t="str">
        <f t="shared" si="127"/>
        <v/>
      </c>
      <c r="G112" s="318" t="str">
        <f t="shared" si="127"/>
        <v/>
      </c>
      <c r="H112" s="318" t="str">
        <f t="shared" si="127"/>
        <v/>
      </c>
      <c r="I112" s="318" t="str">
        <f t="shared" si="127"/>
        <v/>
      </c>
      <c r="J112" s="318" t="str">
        <f t="shared" si="127"/>
        <v/>
      </c>
      <c r="K112" s="318" t="str">
        <f t="shared" si="127"/>
        <v/>
      </c>
      <c r="L112" s="318" t="str">
        <f t="shared" si="127"/>
        <v/>
      </c>
      <c r="M112" s="318" t="str">
        <f t="shared" si="125"/>
        <v/>
      </c>
      <c r="N112" s="318" t="str">
        <f t="shared" si="125"/>
        <v/>
      </c>
      <c r="O112" s="318" t="str">
        <f t="shared" si="125"/>
        <v/>
      </c>
      <c r="P112" s="318" t="str">
        <f t="shared" si="125"/>
        <v/>
      </c>
      <c r="Q112" s="318" t="str">
        <f t="shared" si="125"/>
        <v/>
      </c>
      <c r="R112" s="318" t="str">
        <f t="shared" si="125"/>
        <v/>
      </c>
      <c r="S112" s="318" t="str">
        <f t="shared" si="125"/>
        <v/>
      </c>
      <c r="T112" s="318" t="str">
        <f t="shared" si="126"/>
        <v/>
      </c>
      <c r="U112" s="318" t="str">
        <f t="shared" ref="U112:AD121" si="128">IF(AND(U$88-$B112&gt;=1,U$88-$B112&lt;=9),HLOOKUP($B112,$C$10:$BL$11,2,FALSE),IF(OR(U$88-$B112=0,U$88-$B112=10),POWER((HLOOKUP($B112,$C$10:$BL$11,2,FALSE))+1,1/2)-1,""))</f>
        <v/>
      </c>
      <c r="V112" s="318" t="str">
        <f t="shared" si="128"/>
        <v/>
      </c>
      <c r="W112" s="318" t="str">
        <f t="shared" si="128"/>
        <v/>
      </c>
      <c r="X112" s="318" t="str">
        <f t="shared" si="128"/>
        <v/>
      </c>
      <c r="Y112" s="318" t="str">
        <f t="shared" si="128"/>
        <v/>
      </c>
      <c r="Z112" s="318">
        <f t="shared" si="128"/>
        <v>2.4987804805501002E-2</v>
      </c>
      <c r="AA112" s="318">
        <f t="shared" si="128"/>
        <v>5.0599999999999999E-2</v>
      </c>
      <c r="AB112" s="318">
        <f t="shared" si="128"/>
        <v>5.0599999999999999E-2</v>
      </c>
      <c r="AC112" s="318">
        <f t="shared" si="128"/>
        <v>5.0599999999999999E-2</v>
      </c>
      <c r="AD112" s="318">
        <f t="shared" si="128"/>
        <v>5.0599999999999999E-2</v>
      </c>
      <c r="AE112" s="318">
        <f t="shared" si="122"/>
        <v>5.0599999999999999E-2</v>
      </c>
      <c r="AF112" s="318">
        <f t="shared" si="122"/>
        <v>5.0599999999999999E-2</v>
      </c>
      <c r="AG112" s="318">
        <f t="shared" si="122"/>
        <v>5.0599999999999999E-2</v>
      </c>
      <c r="AH112" s="318">
        <f t="shared" si="122"/>
        <v>5.0599999999999999E-2</v>
      </c>
      <c r="AI112" s="318">
        <f t="shared" si="122"/>
        <v>5.0599999999999999E-2</v>
      </c>
      <c r="AJ112" s="318">
        <f t="shared" si="122"/>
        <v>2.4987804805501002E-2</v>
      </c>
      <c r="AK112" s="318" t="str">
        <f t="shared" si="122"/>
        <v/>
      </c>
      <c r="AL112" s="318" t="str">
        <f t="shared" si="122"/>
        <v/>
      </c>
      <c r="AM112" s="318" t="str">
        <f t="shared" si="122"/>
        <v/>
      </c>
      <c r="AN112" s="318" t="str">
        <f t="shared" si="122"/>
        <v/>
      </c>
      <c r="AO112" s="318" t="str">
        <f t="shared" si="123"/>
        <v/>
      </c>
      <c r="AP112" s="318" t="str">
        <f t="shared" si="123"/>
        <v/>
      </c>
      <c r="AQ112" s="318" t="str">
        <f t="shared" si="123"/>
        <v/>
      </c>
      <c r="AR112" s="318" t="str">
        <f t="shared" si="123"/>
        <v/>
      </c>
      <c r="AS112" s="318" t="str">
        <f t="shared" si="123"/>
        <v/>
      </c>
      <c r="AT112" s="318" t="str">
        <f t="shared" si="123"/>
        <v/>
      </c>
      <c r="AU112" s="318" t="str">
        <f t="shared" si="123"/>
        <v/>
      </c>
      <c r="AV112" s="318" t="str">
        <f t="shared" si="123"/>
        <v/>
      </c>
      <c r="AW112" s="318" t="str">
        <f t="shared" si="123"/>
        <v/>
      </c>
      <c r="AX112" s="318" t="str">
        <f t="shared" si="123"/>
        <v/>
      </c>
      <c r="AY112" s="318" t="str">
        <f t="shared" si="124"/>
        <v/>
      </c>
      <c r="AZ112" s="128" t="str">
        <f t="shared" si="124"/>
        <v/>
      </c>
      <c r="BA112" s="128" t="str">
        <f t="shared" si="124"/>
        <v/>
      </c>
      <c r="BB112" s="128" t="str">
        <f t="shared" si="124"/>
        <v/>
      </c>
      <c r="BC112" s="128" t="str">
        <f t="shared" si="124"/>
        <v/>
      </c>
      <c r="BD112" s="128" t="str">
        <f t="shared" si="124"/>
        <v/>
      </c>
      <c r="BE112" s="128" t="str">
        <f t="shared" si="124"/>
        <v/>
      </c>
      <c r="BF112" s="128" t="str">
        <f t="shared" si="124"/>
        <v/>
      </c>
      <c r="BG112" s="128" t="str">
        <f t="shared" si="124"/>
        <v/>
      </c>
      <c r="BH112" s="128" t="str">
        <f t="shared" si="124"/>
        <v/>
      </c>
      <c r="BI112" s="128" t="str">
        <f t="shared" si="124"/>
        <v/>
      </c>
      <c r="BJ112" s="128" t="str">
        <f t="shared" si="124"/>
        <v/>
      </c>
      <c r="BK112" s="128" t="str">
        <f t="shared" si="124"/>
        <v/>
      </c>
      <c r="BL112" s="319" t="str">
        <f t="shared" si="124"/>
        <v/>
      </c>
      <c r="BM112" s="296"/>
    </row>
    <row r="113" spans="1:65" x14ac:dyDescent="0.25">
      <c r="A113" s="69"/>
      <c r="B113" s="297">
        <f t="shared" si="120"/>
        <v>2026</v>
      </c>
      <c r="C113" s="269" t="str">
        <f t="shared" si="104"/>
        <v/>
      </c>
      <c r="D113" s="318" t="str">
        <f t="shared" si="127"/>
        <v/>
      </c>
      <c r="E113" s="318" t="str">
        <f t="shared" si="127"/>
        <v/>
      </c>
      <c r="F113" s="318" t="str">
        <f t="shared" si="127"/>
        <v/>
      </c>
      <c r="G113" s="318" t="str">
        <f t="shared" si="127"/>
        <v/>
      </c>
      <c r="H113" s="318" t="str">
        <f t="shared" si="127"/>
        <v/>
      </c>
      <c r="I113" s="318" t="str">
        <f t="shared" si="127"/>
        <v/>
      </c>
      <c r="J113" s="318" t="str">
        <f t="shared" si="127"/>
        <v/>
      </c>
      <c r="K113" s="318" t="str">
        <f t="shared" si="127"/>
        <v/>
      </c>
      <c r="L113" s="318" t="str">
        <f t="shared" si="127"/>
        <v/>
      </c>
      <c r="M113" s="318" t="str">
        <f t="shared" si="125"/>
        <v/>
      </c>
      <c r="N113" s="318" t="str">
        <f t="shared" si="125"/>
        <v/>
      </c>
      <c r="O113" s="318" t="str">
        <f t="shared" si="125"/>
        <v/>
      </c>
      <c r="P113" s="318" t="str">
        <f t="shared" si="125"/>
        <v/>
      </c>
      <c r="Q113" s="318" t="str">
        <f t="shared" si="125"/>
        <v/>
      </c>
      <c r="R113" s="318" t="str">
        <f t="shared" si="125"/>
        <v/>
      </c>
      <c r="S113" s="318" t="str">
        <f t="shared" si="125"/>
        <v/>
      </c>
      <c r="T113" s="318" t="str">
        <f t="shared" si="126"/>
        <v/>
      </c>
      <c r="U113" s="318" t="str">
        <f t="shared" si="128"/>
        <v/>
      </c>
      <c r="V113" s="318" t="str">
        <f t="shared" si="128"/>
        <v/>
      </c>
      <c r="W113" s="318" t="str">
        <f t="shared" si="128"/>
        <v/>
      </c>
      <c r="X113" s="318" t="str">
        <f t="shared" si="128"/>
        <v/>
      </c>
      <c r="Y113" s="318" t="str">
        <f t="shared" si="128"/>
        <v/>
      </c>
      <c r="Z113" s="318" t="str">
        <f t="shared" si="128"/>
        <v/>
      </c>
      <c r="AA113" s="318">
        <f t="shared" si="128"/>
        <v>2.4987804805501002E-2</v>
      </c>
      <c r="AB113" s="318">
        <f t="shared" si="128"/>
        <v>5.0599999999999999E-2</v>
      </c>
      <c r="AC113" s="318">
        <f t="shared" si="128"/>
        <v>5.0599999999999999E-2</v>
      </c>
      <c r="AD113" s="318">
        <f t="shared" si="128"/>
        <v>5.0599999999999999E-2</v>
      </c>
      <c r="AE113" s="318">
        <f t="shared" si="122"/>
        <v>5.0599999999999999E-2</v>
      </c>
      <c r="AF113" s="318">
        <f t="shared" si="122"/>
        <v>5.0599999999999999E-2</v>
      </c>
      <c r="AG113" s="318">
        <f t="shared" si="122"/>
        <v>5.0599999999999999E-2</v>
      </c>
      <c r="AH113" s="318">
        <f t="shared" si="122"/>
        <v>5.0599999999999999E-2</v>
      </c>
      <c r="AI113" s="318">
        <f t="shared" si="122"/>
        <v>5.0599999999999999E-2</v>
      </c>
      <c r="AJ113" s="318">
        <f t="shared" si="122"/>
        <v>5.0599999999999999E-2</v>
      </c>
      <c r="AK113" s="318">
        <f t="shared" si="122"/>
        <v>2.4987804805501002E-2</v>
      </c>
      <c r="AL113" s="318" t="str">
        <f t="shared" si="122"/>
        <v/>
      </c>
      <c r="AM113" s="318" t="str">
        <f t="shared" si="122"/>
        <v/>
      </c>
      <c r="AN113" s="318" t="str">
        <f t="shared" si="122"/>
        <v/>
      </c>
      <c r="AO113" s="318" t="str">
        <f t="shared" si="123"/>
        <v/>
      </c>
      <c r="AP113" s="318" t="str">
        <f t="shared" si="123"/>
        <v/>
      </c>
      <c r="AQ113" s="318" t="str">
        <f t="shared" si="123"/>
        <v/>
      </c>
      <c r="AR113" s="318" t="str">
        <f t="shared" si="123"/>
        <v/>
      </c>
      <c r="AS113" s="318" t="str">
        <f t="shared" si="123"/>
        <v/>
      </c>
      <c r="AT113" s="318" t="str">
        <f t="shared" si="123"/>
        <v/>
      </c>
      <c r="AU113" s="318" t="str">
        <f t="shared" si="123"/>
        <v/>
      </c>
      <c r="AV113" s="318" t="str">
        <f t="shared" si="123"/>
        <v/>
      </c>
      <c r="AW113" s="318" t="str">
        <f t="shared" si="123"/>
        <v/>
      </c>
      <c r="AX113" s="318" t="str">
        <f t="shared" si="123"/>
        <v/>
      </c>
      <c r="AY113" s="318" t="str">
        <f t="shared" si="124"/>
        <v/>
      </c>
      <c r="AZ113" s="128" t="str">
        <f t="shared" si="124"/>
        <v/>
      </c>
      <c r="BA113" s="128" t="str">
        <f t="shared" si="124"/>
        <v/>
      </c>
      <c r="BB113" s="128" t="str">
        <f t="shared" si="124"/>
        <v/>
      </c>
      <c r="BC113" s="128" t="str">
        <f t="shared" si="124"/>
        <v/>
      </c>
      <c r="BD113" s="128" t="str">
        <f t="shared" si="124"/>
        <v/>
      </c>
      <c r="BE113" s="128" t="str">
        <f t="shared" si="124"/>
        <v/>
      </c>
      <c r="BF113" s="128" t="str">
        <f t="shared" si="124"/>
        <v/>
      </c>
      <c r="BG113" s="128" t="str">
        <f t="shared" si="124"/>
        <v/>
      </c>
      <c r="BH113" s="128" t="str">
        <f t="shared" si="124"/>
        <v/>
      </c>
      <c r="BI113" s="128" t="str">
        <f t="shared" si="124"/>
        <v/>
      </c>
      <c r="BJ113" s="128" t="str">
        <f t="shared" si="124"/>
        <v/>
      </c>
      <c r="BK113" s="128" t="str">
        <f t="shared" si="124"/>
        <v/>
      </c>
      <c r="BL113" s="319" t="str">
        <f t="shared" si="124"/>
        <v/>
      </c>
      <c r="BM113" s="296"/>
    </row>
    <row r="114" spans="1:65" x14ac:dyDescent="0.25">
      <c r="A114" s="69"/>
      <c r="B114" s="297">
        <f t="shared" si="120"/>
        <v>2027</v>
      </c>
      <c r="C114" s="269" t="str">
        <f t="shared" si="104"/>
        <v/>
      </c>
      <c r="D114" s="318" t="str">
        <f t="shared" si="127"/>
        <v/>
      </c>
      <c r="E114" s="318" t="str">
        <f t="shared" si="127"/>
        <v/>
      </c>
      <c r="F114" s="318" t="str">
        <f t="shared" si="127"/>
        <v/>
      </c>
      <c r="G114" s="318" t="str">
        <f t="shared" si="127"/>
        <v/>
      </c>
      <c r="H114" s="318" t="str">
        <f t="shared" si="127"/>
        <v/>
      </c>
      <c r="I114" s="318" t="str">
        <f t="shared" si="127"/>
        <v/>
      </c>
      <c r="J114" s="318" t="str">
        <f t="shared" si="127"/>
        <v/>
      </c>
      <c r="K114" s="318" t="str">
        <f t="shared" si="127"/>
        <v/>
      </c>
      <c r="L114" s="318" t="str">
        <f t="shared" si="127"/>
        <v/>
      </c>
      <c r="M114" s="318" t="str">
        <f t="shared" si="125"/>
        <v/>
      </c>
      <c r="N114" s="318" t="str">
        <f t="shared" si="125"/>
        <v/>
      </c>
      <c r="O114" s="318" t="str">
        <f t="shared" si="125"/>
        <v/>
      </c>
      <c r="P114" s="318" t="str">
        <f t="shared" si="125"/>
        <v/>
      </c>
      <c r="Q114" s="318" t="str">
        <f t="shared" si="125"/>
        <v/>
      </c>
      <c r="R114" s="318" t="str">
        <f t="shared" si="125"/>
        <v/>
      </c>
      <c r="S114" s="318" t="str">
        <f t="shared" si="125"/>
        <v/>
      </c>
      <c r="T114" s="318" t="str">
        <f t="shared" si="126"/>
        <v/>
      </c>
      <c r="U114" s="318" t="str">
        <f t="shared" si="128"/>
        <v/>
      </c>
      <c r="V114" s="318" t="str">
        <f t="shared" si="128"/>
        <v/>
      </c>
      <c r="W114" s="318" t="str">
        <f t="shared" si="128"/>
        <v/>
      </c>
      <c r="X114" s="318" t="str">
        <f t="shared" si="128"/>
        <v/>
      </c>
      <c r="Y114" s="318" t="str">
        <f t="shared" si="128"/>
        <v/>
      </c>
      <c r="Z114" s="318" t="str">
        <f t="shared" si="128"/>
        <v/>
      </c>
      <c r="AA114" s="318" t="str">
        <f t="shared" si="128"/>
        <v/>
      </c>
      <c r="AB114" s="318">
        <f t="shared" si="128"/>
        <v>2.4987804805501002E-2</v>
      </c>
      <c r="AC114" s="318">
        <f t="shared" si="128"/>
        <v>5.0599999999999999E-2</v>
      </c>
      <c r="AD114" s="318">
        <f t="shared" si="128"/>
        <v>5.0599999999999999E-2</v>
      </c>
      <c r="AE114" s="318">
        <f t="shared" si="122"/>
        <v>5.0599999999999999E-2</v>
      </c>
      <c r="AF114" s="318">
        <f t="shared" si="122"/>
        <v>5.0599999999999999E-2</v>
      </c>
      <c r="AG114" s="318">
        <f t="shared" si="122"/>
        <v>5.0599999999999999E-2</v>
      </c>
      <c r="AH114" s="318">
        <f t="shared" si="122"/>
        <v>5.0599999999999999E-2</v>
      </c>
      <c r="AI114" s="318">
        <f t="shared" si="122"/>
        <v>5.0599999999999999E-2</v>
      </c>
      <c r="AJ114" s="318">
        <f t="shared" si="122"/>
        <v>5.0599999999999999E-2</v>
      </c>
      <c r="AK114" s="318">
        <f t="shared" si="122"/>
        <v>5.0599999999999999E-2</v>
      </c>
      <c r="AL114" s="318">
        <f t="shared" si="122"/>
        <v>2.4987804805501002E-2</v>
      </c>
      <c r="AM114" s="318" t="str">
        <f t="shared" si="122"/>
        <v/>
      </c>
      <c r="AN114" s="318" t="str">
        <f t="shared" si="122"/>
        <v/>
      </c>
      <c r="AO114" s="318" t="str">
        <f t="shared" si="123"/>
        <v/>
      </c>
      <c r="AP114" s="318" t="str">
        <f t="shared" si="123"/>
        <v/>
      </c>
      <c r="AQ114" s="318" t="str">
        <f t="shared" si="123"/>
        <v/>
      </c>
      <c r="AR114" s="318" t="str">
        <f t="shared" si="123"/>
        <v/>
      </c>
      <c r="AS114" s="318" t="str">
        <f t="shared" si="123"/>
        <v/>
      </c>
      <c r="AT114" s="318" t="str">
        <f t="shared" si="123"/>
        <v/>
      </c>
      <c r="AU114" s="318" t="str">
        <f t="shared" si="123"/>
        <v/>
      </c>
      <c r="AV114" s="318" t="str">
        <f t="shared" si="123"/>
        <v/>
      </c>
      <c r="AW114" s="318" t="str">
        <f t="shared" si="123"/>
        <v/>
      </c>
      <c r="AX114" s="318" t="str">
        <f t="shared" si="123"/>
        <v/>
      </c>
      <c r="AY114" s="318" t="str">
        <f t="shared" si="124"/>
        <v/>
      </c>
      <c r="AZ114" s="128" t="str">
        <f t="shared" si="124"/>
        <v/>
      </c>
      <c r="BA114" s="128" t="str">
        <f t="shared" si="124"/>
        <v/>
      </c>
      <c r="BB114" s="128" t="str">
        <f t="shared" si="124"/>
        <v/>
      </c>
      <c r="BC114" s="128" t="str">
        <f t="shared" si="124"/>
        <v/>
      </c>
      <c r="BD114" s="128" t="str">
        <f t="shared" si="124"/>
        <v/>
      </c>
      <c r="BE114" s="128" t="str">
        <f t="shared" si="124"/>
        <v/>
      </c>
      <c r="BF114" s="128" t="str">
        <f t="shared" si="124"/>
        <v/>
      </c>
      <c r="BG114" s="128" t="str">
        <f t="shared" si="124"/>
        <v/>
      </c>
      <c r="BH114" s="128" t="str">
        <f t="shared" si="124"/>
        <v/>
      </c>
      <c r="BI114" s="128" t="str">
        <f t="shared" si="124"/>
        <v/>
      </c>
      <c r="BJ114" s="128" t="str">
        <f t="shared" si="124"/>
        <v/>
      </c>
      <c r="BK114" s="128" t="str">
        <f t="shared" si="124"/>
        <v/>
      </c>
      <c r="BL114" s="319" t="str">
        <f t="shared" si="124"/>
        <v/>
      </c>
      <c r="BM114" s="296"/>
    </row>
    <row r="115" spans="1:65" x14ac:dyDescent="0.25">
      <c r="A115" s="69"/>
      <c r="B115" s="297">
        <f t="shared" si="120"/>
        <v>2028</v>
      </c>
      <c r="C115" s="269" t="str">
        <f t="shared" si="104"/>
        <v/>
      </c>
      <c r="D115" s="318" t="str">
        <f t="shared" si="127"/>
        <v/>
      </c>
      <c r="E115" s="318" t="str">
        <f t="shared" si="127"/>
        <v/>
      </c>
      <c r="F115" s="318" t="str">
        <f t="shared" si="127"/>
        <v/>
      </c>
      <c r="G115" s="318" t="str">
        <f t="shared" si="127"/>
        <v/>
      </c>
      <c r="H115" s="318" t="str">
        <f t="shared" si="127"/>
        <v/>
      </c>
      <c r="I115" s="318" t="str">
        <f t="shared" si="127"/>
        <v/>
      </c>
      <c r="J115" s="318" t="str">
        <f t="shared" si="127"/>
        <v/>
      </c>
      <c r="K115" s="318" t="str">
        <f t="shared" si="127"/>
        <v/>
      </c>
      <c r="L115" s="318" t="str">
        <f t="shared" si="127"/>
        <v/>
      </c>
      <c r="M115" s="318" t="str">
        <f t="shared" si="125"/>
        <v/>
      </c>
      <c r="N115" s="318" t="str">
        <f t="shared" si="125"/>
        <v/>
      </c>
      <c r="O115" s="318" t="str">
        <f t="shared" si="125"/>
        <v/>
      </c>
      <c r="P115" s="318" t="str">
        <f t="shared" si="125"/>
        <v/>
      </c>
      <c r="Q115" s="318" t="str">
        <f t="shared" si="125"/>
        <v/>
      </c>
      <c r="R115" s="318" t="str">
        <f t="shared" si="125"/>
        <v/>
      </c>
      <c r="S115" s="318" t="str">
        <f t="shared" si="125"/>
        <v/>
      </c>
      <c r="T115" s="318" t="str">
        <f t="shared" si="126"/>
        <v/>
      </c>
      <c r="U115" s="318" t="str">
        <f t="shared" si="128"/>
        <v/>
      </c>
      <c r="V115" s="318" t="str">
        <f t="shared" si="128"/>
        <v/>
      </c>
      <c r="W115" s="318" t="str">
        <f t="shared" si="128"/>
        <v/>
      </c>
      <c r="X115" s="318" t="str">
        <f t="shared" si="128"/>
        <v/>
      </c>
      <c r="Y115" s="318" t="str">
        <f t="shared" si="128"/>
        <v/>
      </c>
      <c r="Z115" s="318" t="str">
        <f t="shared" si="128"/>
        <v/>
      </c>
      <c r="AA115" s="318" t="str">
        <f t="shared" si="128"/>
        <v/>
      </c>
      <c r="AB115" s="318" t="str">
        <f t="shared" si="128"/>
        <v/>
      </c>
      <c r="AC115" s="318">
        <f t="shared" si="128"/>
        <v>2.4987804805501002E-2</v>
      </c>
      <c r="AD115" s="318">
        <f t="shared" si="128"/>
        <v>5.0599999999999999E-2</v>
      </c>
      <c r="AE115" s="318">
        <f t="shared" si="122"/>
        <v>5.0599999999999999E-2</v>
      </c>
      <c r="AF115" s="318">
        <f t="shared" si="122"/>
        <v>5.0599999999999999E-2</v>
      </c>
      <c r="AG115" s="318">
        <f t="shared" si="122"/>
        <v>5.0599999999999999E-2</v>
      </c>
      <c r="AH115" s="318">
        <f t="shared" si="122"/>
        <v>5.0599999999999999E-2</v>
      </c>
      <c r="AI115" s="318">
        <f t="shared" si="122"/>
        <v>5.0599999999999999E-2</v>
      </c>
      <c r="AJ115" s="318">
        <f t="shared" si="122"/>
        <v>5.0599999999999999E-2</v>
      </c>
      <c r="AK115" s="318">
        <f t="shared" si="122"/>
        <v>5.0599999999999999E-2</v>
      </c>
      <c r="AL115" s="318">
        <f t="shared" si="122"/>
        <v>5.0599999999999999E-2</v>
      </c>
      <c r="AM115" s="318">
        <f t="shared" si="122"/>
        <v>2.4987804805501002E-2</v>
      </c>
      <c r="AN115" s="318" t="str">
        <f t="shared" si="122"/>
        <v/>
      </c>
      <c r="AO115" s="318" t="str">
        <f t="shared" si="123"/>
        <v/>
      </c>
      <c r="AP115" s="318" t="str">
        <f t="shared" si="123"/>
        <v/>
      </c>
      <c r="AQ115" s="318" t="str">
        <f t="shared" si="123"/>
        <v/>
      </c>
      <c r="AR115" s="318" t="str">
        <f t="shared" si="123"/>
        <v/>
      </c>
      <c r="AS115" s="318" t="str">
        <f t="shared" si="123"/>
        <v/>
      </c>
      <c r="AT115" s="318" t="str">
        <f t="shared" si="123"/>
        <v/>
      </c>
      <c r="AU115" s="318" t="str">
        <f t="shared" si="123"/>
        <v/>
      </c>
      <c r="AV115" s="318" t="str">
        <f t="shared" si="123"/>
        <v/>
      </c>
      <c r="AW115" s="318" t="str">
        <f t="shared" si="123"/>
        <v/>
      </c>
      <c r="AX115" s="318" t="str">
        <f t="shared" si="123"/>
        <v/>
      </c>
      <c r="AY115" s="318" t="str">
        <f t="shared" si="124"/>
        <v/>
      </c>
      <c r="AZ115" s="128" t="str">
        <f t="shared" si="124"/>
        <v/>
      </c>
      <c r="BA115" s="128" t="str">
        <f t="shared" si="124"/>
        <v/>
      </c>
      <c r="BB115" s="128" t="str">
        <f t="shared" si="124"/>
        <v/>
      </c>
      <c r="BC115" s="128" t="str">
        <f t="shared" si="124"/>
        <v/>
      </c>
      <c r="BD115" s="128" t="str">
        <f t="shared" si="124"/>
        <v/>
      </c>
      <c r="BE115" s="128" t="str">
        <f t="shared" si="124"/>
        <v/>
      </c>
      <c r="BF115" s="128" t="str">
        <f t="shared" si="124"/>
        <v/>
      </c>
      <c r="BG115" s="128" t="str">
        <f t="shared" si="124"/>
        <v/>
      </c>
      <c r="BH115" s="128" t="str">
        <f t="shared" si="124"/>
        <v/>
      </c>
      <c r="BI115" s="128" t="str">
        <f t="shared" si="124"/>
        <v/>
      </c>
      <c r="BJ115" s="128" t="str">
        <f t="shared" si="124"/>
        <v/>
      </c>
      <c r="BK115" s="128" t="str">
        <f t="shared" si="124"/>
        <v/>
      </c>
      <c r="BL115" s="319" t="str">
        <f t="shared" si="124"/>
        <v/>
      </c>
      <c r="BM115" s="296"/>
    </row>
    <row r="116" spans="1:65" x14ac:dyDescent="0.25">
      <c r="A116" s="69"/>
      <c r="B116" s="297">
        <f t="shared" si="120"/>
        <v>2029</v>
      </c>
      <c r="C116" s="269" t="str">
        <f t="shared" si="104"/>
        <v/>
      </c>
      <c r="D116" s="318" t="str">
        <f t="shared" si="127"/>
        <v/>
      </c>
      <c r="E116" s="318" t="str">
        <f t="shared" si="127"/>
        <v/>
      </c>
      <c r="F116" s="318" t="str">
        <f t="shared" si="127"/>
        <v/>
      </c>
      <c r="G116" s="318" t="str">
        <f t="shared" si="127"/>
        <v/>
      </c>
      <c r="H116" s="318" t="str">
        <f t="shared" si="127"/>
        <v/>
      </c>
      <c r="I116" s="318" t="str">
        <f t="shared" si="127"/>
        <v/>
      </c>
      <c r="J116" s="318" t="str">
        <f t="shared" si="127"/>
        <v/>
      </c>
      <c r="K116" s="318" t="str">
        <f t="shared" si="127"/>
        <v/>
      </c>
      <c r="L116" s="318" t="str">
        <f t="shared" si="127"/>
        <v/>
      </c>
      <c r="M116" s="318" t="str">
        <f t="shared" si="125"/>
        <v/>
      </c>
      <c r="N116" s="318" t="str">
        <f t="shared" si="125"/>
        <v/>
      </c>
      <c r="O116" s="318" t="str">
        <f t="shared" si="125"/>
        <v/>
      </c>
      <c r="P116" s="318" t="str">
        <f t="shared" si="125"/>
        <v/>
      </c>
      <c r="Q116" s="318" t="str">
        <f t="shared" si="125"/>
        <v/>
      </c>
      <c r="R116" s="318" t="str">
        <f t="shared" si="125"/>
        <v/>
      </c>
      <c r="S116" s="318" t="str">
        <f t="shared" si="125"/>
        <v/>
      </c>
      <c r="T116" s="318" t="str">
        <f t="shared" si="126"/>
        <v/>
      </c>
      <c r="U116" s="318" t="str">
        <f t="shared" si="128"/>
        <v/>
      </c>
      <c r="V116" s="318" t="str">
        <f t="shared" si="128"/>
        <v/>
      </c>
      <c r="W116" s="318" t="str">
        <f t="shared" si="128"/>
        <v/>
      </c>
      <c r="X116" s="318" t="str">
        <f t="shared" si="128"/>
        <v/>
      </c>
      <c r="Y116" s="318" t="str">
        <f t="shared" si="128"/>
        <v/>
      </c>
      <c r="Z116" s="318" t="str">
        <f t="shared" si="128"/>
        <v/>
      </c>
      <c r="AA116" s="318" t="str">
        <f t="shared" si="128"/>
        <v/>
      </c>
      <c r="AB116" s="318" t="str">
        <f t="shared" si="128"/>
        <v/>
      </c>
      <c r="AC116" s="318" t="str">
        <f t="shared" si="128"/>
        <v/>
      </c>
      <c r="AD116" s="318">
        <f t="shared" si="128"/>
        <v>2.4987804805501002E-2</v>
      </c>
      <c r="AE116" s="318">
        <f t="shared" ref="AE116:AN125" si="129">IF(AND(AE$88-$B116&gt;=1,AE$88-$B116&lt;=9),HLOOKUP($B116,$C$10:$BL$11,2,FALSE),IF(OR(AE$88-$B116=0,AE$88-$B116=10),POWER((HLOOKUP($B116,$C$10:$BL$11,2,FALSE))+1,1/2)-1,""))</f>
        <v>5.0599999999999999E-2</v>
      </c>
      <c r="AF116" s="318">
        <f t="shared" si="129"/>
        <v>5.0599999999999999E-2</v>
      </c>
      <c r="AG116" s="318">
        <f t="shared" si="129"/>
        <v>5.0599999999999999E-2</v>
      </c>
      <c r="AH116" s="318">
        <f t="shared" si="129"/>
        <v>5.0599999999999999E-2</v>
      </c>
      <c r="AI116" s="318">
        <f t="shared" si="129"/>
        <v>5.0599999999999999E-2</v>
      </c>
      <c r="AJ116" s="318">
        <f t="shared" si="129"/>
        <v>5.0599999999999999E-2</v>
      </c>
      <c r="AK116" s="318">
        <f t="shared" si="129"/>
        <v>5.0599999999999999E-2</v>
      </c>
      <c r="AL116" s="318">
        <f t="shared" si="129"/>
        <v>5.0599999999999999E-2</v>
      </c>
      <c r="AM116" s="318">
        <f t="shared" si="129"/>
        <v>5.0599999999999999E-2</v>
      </c>
      <c r="AN116" s="318">
        <f t="shared" si="129"/>
        <v>2.4987804805501002E-2</v>
      </c>
      <c r="AO116" s="318" t="str">
        <f t="shared" ref="AO116:AX125" si="130">IF(AND(AO$88-$B116&gt;=1,AO$88-$B116&lt;=9),HLOOKUP($B116,$C$10:$BL$11,2,FALSE),IF(OR(AO$88-$B116=0,AO$88-$B116=10),POWER((HLOOKUP($B116,$C$10:$BL$11,2,FALSE))+1,1/2)-1,""))</f>
        <v/>
      </c>
      <c r="AP116" s="318" t="str">
        <f t="shared" si="130"/>
        <v/>
      </c>
      <c r="AQ116" s="318" t="str">
        <f t="shared" si="130"/>
        <v/>
      </c>
      <c r="AR116" s="318" t="str">
        <f t="shared" si="130"/>
        <v/>
      </c>
      <c r="AS116" s="318" t="str">
        <f t="shared" si="130"/>
        <v/>
      </c>
      <c r="AT116" s="318" t="str">
        <f t="shared" si="130"/>
        <v/>
      </c>
      <c r="AU116" s="318" t="str">
        <f t="shared" si="130"/>
        <v/>
      </c>
      <c r="AV116" s="318" t="str">
        <f t="shared" si="130"/>
        <v/>
      </c>
      <c r="AW116" s="318" t="str">
        <f t="shared" si="130"/>
        <v/>
      </c>
      <c r="AX116" s="318" t="str">
        <f t="shared" si="130"/>
        <v/>
      </c>
      <c r="AY116" s="318" t="str">
        <f t="shared" ref="AY116:BL125" si="131">IF(AND(AY$88-$B116&gt;=1,AY$88-$B116&lt;=9),HLOOKUP($B116,$C$10:$BL$11,2,FALSE),IF(OR(AY$88-$B116=0,AY$88-$B116=10),POWER((HLOOKUP($B116,$C$10:$BL$11,2,FALSE))+1,1/2)-1,""))</f>
        <v/>
      </c>
      <c r="AZ116" s="128" t="str">
        <f t="shared" si="131"/>
        <v/>
      </c>
      <c r="BA116" s="128" t="str">
        <f t="shared" si="131"/>
        <v/>
      </c>
      <c r="BB116" s="128" t="str">
        <f t="shared" si="131"/>
        <v/>
      </c>
      <c r="BC116" s="128" t="str">
        <f t="shared" si="131"/>
        <v/>
      </c>
      <c r="BD116" s="128" t="str">
        <f t="shared" si="131"/>
        <v/>
      </c>
      <c r="BE116" s="128" t="str">
        <f t="shared" si="131"/>
        <v/>
      </c>
      <c r="BF116" s="128" t="str">
        <f t="shared" si="131"/>
        <v/>
      </c>
      <c r="BG116" s="128" t="str">
        <f t="shared" si="131"/>
        <v/>
      </c>
      <c r="BH116" s="128" t="str">
        <f t="shared" si="131"/>
        <v/>
      </c>
      <c r="BI116" s="128" t="str">
        <f t="shared" si="131"/>
        <v/>
      </c>
      <c r="BJ116" s="128" t="str">
        <f t="shared" si="131"/>
        <v/>
      </c>
      <c r="BK116" s="128" t="str">
        <f t="shared" si="131"/>
        <v/>
      </c>
      <c r="BL116" s="319" t="str">
        <f t="shared" si="131"/>
        <v/>
      </c>
      <c r="BM116" s="296"/>
    </row>
    <row r="117" spans="1:65" x14ac:dyDescent="0.25">
      <c r="A117" s="69"/>
      <c r="B117" s="297">
        <f t="shared" si="120"/>
        <v>2030</v>
      </c>
      <c r="C117" s="269" t="str">
        <f t="shared" si="104"/>
        <v/>
      </c>
      <c r="D117" s="318" t="str">
        <f t="shared" si="127"/>
        <v/>
      </c>
      <c r="E117" s="318" t="str">
        <f t="shared" si="127"/>
        <v/>
      </c>
      <c r="F117" s="318" t="str">
        <f t="shared" si="127"/>
        <v/>
      </c>
      <c r="G117" s="318" t="str">
        <f t="shared" si="127"/>
        <v/>
      </c>
      <c r="H117" s="318" t="str">
        <f t="shared" si="127"/>
        <v/>
      </c>
      <c r="I117" s="318" t="str">
        <f t="shared" si="127"/>
        <v/>
      </c>
      <c r="J117" s="318" t="str">
        <f t="shared" si="127"/>
        <v/>
      </c>
      <c r="K117" s="318" t="str">
        <f t="shared" si="127"/>
        <v/>
      </c>
      <c r="L117" s="318" t="str">
        <f t="shared" si="127"/>
        <v/>
      </c>
      <c r="M117" s="318" t="str">
        <f t="shared" ref="M117:S126" si="132">IF(AND(M$88-$B117&gt;=1,M$88-$B117&lt;=9),HLOOKUP($B117,$C$10:$BL$11,2,FALSE),IF(OR(M$88-$B117=0,M$88-$B117=10),(HLOOKUP($B117,$C$10:$BL$11,2,FALSE))/2,""))</f>
        <v/>
      </c>
      <c r="N117" s="318" t="str">
        <f t="shared" si="132"/>
        <v/>
      </c>
      <c r="O117" s="318" t="str">
        <f t="shared" si="132"/>
        <v/>
      </c>
      <c r="P117" s="318" t="str">
        <f t="shared" si="132"/>
        <v/>
      </c>
      <c r="Q117" s="318" t="str">
        <f t="shared" si="132"/>
        <v/>
      </c>
      <c r="R117" s="318" t="str">
        <f t="shared" si="132"/>
        <v/>
      </c>
      <c r="S117" s="318" t="str">
        <f t="shared" si="132"/>
        <v/>
      </c>
      <c r="T117" s="318" t="str">
        <f t="shared" si="126"/>
        <v/>
      </c>
      <c r="U117" s="318" t="str">
        <f t="shared" si="128"/>
        <v/>
      </c>
      <c r="V117" s="318" t="str">
        <f t="shared" si="128"/>
        <v/>
      </c>
      <c r="W117" s="318" t="str">
        <f t="shared" si="128"/>
        <v/>
      </c>
      <c r="X117" s="318" t="str">
        <f t="shared" si="128"/>
        <v/>
      </c>
      <c r="Y117" s="318" t="str">
        <f t="shared" si="128"/>
        <v/>
      </c>
      <c r="Z117" s="318" t="str">
        <f t="shared" si="128"/>
        <v/>
      </c>
      <c r="AA117" s="318" t="str">
        <f t="shared" si="128"/>
        <v/>
      </c>
      <c r="AB117" s="318" t="str">
        <f t="shared" si="128"/>
        <v/>
      </c>
      <c r="AC117" s="318" t="str">
        <f t="shared" si="128"/>
        <v/>
      </c>
      <c r="AD117" s="318" t="str">
        <f t="shared" si="128"/>
        <v/>
      </c>
      <c r="AE117" s="318">
        <f t="shared" si="129"/>
        <v>2.4987804805501002E-2</v>
      </c>
      <c r="AF117" s="318">
        <f t="shared" si="129"/>
        <v>5.0599999999999999E-2</v>
      </c>
      <c r="AG117" s="318">
        <f t="shared" si="129"/>
        <v>5.0599999999999999E-2</v>
      </c>
      <c r="AH117" s="318">
        <f t="shared" si="129"/>
        <v>5.0599999999999999E-2</v>
      </c>
      <c r="AI117" s="318">
        <f t="shared" si="129"/>
        <v>5.0599999999999999E-2</v>
      </c>
      <c r="AJ117" s="318">
        <f t="shared" si="129"/>
        <v>5.0599999999999999E-2</v>
      </c>
      <c r="AK117" s="318">
        <f t="shared" si="129"/>
        <v>5.0599999999999999E-2</v>
      </c>
      <c r="AL117" s="318">
        <f t="shared" si="129"/>
        <v>5.0599999999999999E-2</v>
      </c>
      <c r="AM117" s="318">
        <f t="shared" si="129"/>
        <v>5.0599999999999999E-2</v>
      </c>
      <c r="AN117" s="318">
        <f t="shared" si="129"/>
        <v>5.0599999999999999E-2</v>
      </c>
      <c r="AO117" s="318">
        <f t="shared" si="130"/>
        <v>2.4987804805501002E-2</v>
      </c>
      <c r="AP117" s="318" t="str">
        <f t="shared" si="130"/>
        <v/>
      </c>
      <c r="AQ117" s="318" t="str">
        <f t="shared" si="130"/>
        <v/>
      </c>
      <c r="AR117" s="318" t="str">
        <f t="shared" si="130"/>
        <v/>
      </c>
      <c r="AS117" s="318" t="str">
        <f t="shared" si="130"/>
        <v/>
      </c>
      <c r="AT117" s="318" t="str">
        <f t="shared" si="130"/>
        <v/>
      </c>
      <c r="AU117" s="318" t="str">
        <f t="shared" si="130"/>
        <v/>
      </c>
      <c r="AV117" s="318" t="str">
        <f t="shared" si="130"/>
        <v/>
      </c>
      <c r="AW117" s="318" t="str">
        <f t="shared" si="130"/>
        <v/>
      </c>
      <c r="AX117" s="318" t="str">
        <f t="shared" si="130"/>
        <v/>
      </c>
      <c r="AY117" s="318" t="str">
        <f t="shared" si="131"/>
        <v/>
      </c>
      <c r="AZ117" s="128" t="str">
        <f t="shared" si="131"/>
        <v/>
      </c>
      <c r="BA117" s="128" t="str">
        <f t="shared" si="131"/>
        <v/>
      </c>
      <c r="BB117" s="128" t="str">
        <f t="shared" si="131"/>
        <v/>
      </c>
      <c r="BC117" s="128" t="str">
        <f t="shared" si="131"/>
        <v/>
      </c>
      <c r="BD117" s="128" t="str">
        <f t="shared" si="131"/>
        <v/>
      </c>
      <c r="BE117" s="128" t="str">
        <f t="shared" si="131"/>
        <v/>
      </c>
      <c r="BF117" s="128" t="str">
        <f t="shared" si="131"/>
        <v/>
      </c>
      <c r="BG117" s="128" t="str">
        <f t="shared" si="131"/>
        <v/>
      </c>
      <c r="BH117" s="128" t="str">
        <f t="shared" si="131"/>
        <v/>
      </c>
      <c r="BI117" s="128" t="str">
        <f t="shared" si="131"/>
        <v/>
      </c>
      <c r="BJ117" s="128" t="str">
        <f t="shared" si="131"/>
        <v/>
      </c>
      <c r="BK117" s="128" t="str">
        <f t="shared" si="131"/>
        <v/>
      </c>
      <c r="BL117" s="319" t="str">
        <f t="shared" si="131"/>
        <v/>
      </c>
      <c r="BM117" s="296"/>
    </row>
    <row r="118" spans="1:65" x14ac:dyDescent="0.25">
      <c r="A118" s="69"/>
      <c r="B118" s="297">
        <f t="shared" si="120"/>
        <v>2031</v>
      </c>
      <c r="C118" s="269" t="str">
        <f t="shared" si="104"/>
        <v/>
      </c>
      <c r="D118" s="318" t="str">
        <f t="shared" si="127"/>
        <v/>
      </c>
      <c r="E118" s="318" t="str">
        <f t="shared" si="127"/>
        <v/>
      </c>
      <c r="F118" s="318" t="str">
        <f t="shared" si="127"/>
        <v/>
      </c>
      <c r="G118" s="318" t="str">
        <f t="shared" si="127"/>
        <v/>
      </c>
      <c r="H118" s="318" t="str">
        <f t="shared" si="127"/>
        <v/>
      </c>
      <c r="I118" s="318" t="str">
        <f t="shared" si="127"/>
        <v/>
      </c>
      <c r="J118" s="318" t="str">
        <f t="shared" si="127"/>
        <v/>
      </c>
      <c r="K118" s="318" t="str">
        <f t="shared" si="127"/>
        <v/>
      </c>
      <c r="L118" s="318" t="str">
        <f t="shared" si="127"/>
        <v/>
      </c>
      <c r="M118" s="318" t="str">
        <f t="shared" si="132"/>
        <v/>
      </c>
      <c r="N118" s="318" t="str">
        <f t="shared" si="132"/>
        <v/>
      </c>
      <c r="O118" s="318" t="str">
        <f t="shared" si="132"/>
        <v/>
      </c>
      <c r="P118" s="318" t="str">
        <f t="shared" si="132"/>
        <v/>
      </c>
      <c r="Q118" s="318" t="str">
        <f t="shared" si="132"/>
        <v/>
      </c>
      <c r="R118" s="318" t="str">
        <f t="shared" si="132"/>
        <v/>
      </c>
      <c r="S118" s="318" t="str">
        <f t="shared" si="132"/>
        <v/>
      </c>
      <c r="T118" s="318" t="str">
        <f t="shared" si="126"/>
        <v/>
      </c>
      <c r="U118" s="318" t="str">
        <f t="shared" si="128"/>
        <v/>
      </c>
      <c r="V118" s="318" t="str">
        <f t="shared" si="128"/>
        <v/>
      </c>
      <c r="W118" s="318" t="str">
        <f t="shared" si="128"/>
        <v/>
      </c>
      <c r="X118" s="318" t="str">
        <f t="shared" si="128"/>
        <v/>
      </c>
      <c r="Y118" s="318" t="str">
        <f t="shared" si="128"/>
        <v/>
      </c>
      <c r="Z118" s="318" t="str">
        <f t="shared" si="128"/>
        <v/>
      </c>
      <c r="AA118" s="318" t="str">
        <f t="shared" si="128"/>
        <v/>
      </c>
      <c r="AB118" s="318" t="str">
        <f t="shared" si="128"/>
        <v/>
      </c>
      <c r="AC118" s="318" t="str">
        <f t="shared" si="128"/>
        <v/>
      </c>
      <c r="AD118" s="318" t="str">
        <f t="shared" si="128"/>
        <v/>
      </c>
      <c r="AE118" s="318" t="str">
        <f t="shared" si="129"/>
        <v/>
      </c>
      <c r="AF118" s="318">
        <f t="shared" si="129"/>
        <v>2.4987804805501002E-2</v>
      </c>
      <c r="AG118" s="318">
        <f t="shared" si="129"/>
        <v>5.0599999999999999E-2</v>
      </c>
      <c r="AH118" s="318">
        <f t="shared" si="129"/>
        <v>5.0599999999999999E-2</v>
      </c>
      <c r="AI118" s="318">
        <f t="shared" si="129"/>
        <v>5.0599999999999999E-2</v>
      </c>
      <c r="AJ118" s="318">
        <f t="shared" si="129"/>
        <v>5.0599999999999999E-2</v>
      </c>
      <c r="AK118" s="318">
        <f t="shared" si="129"/>
        <v>5.0599999999999999E-2</v>
      </c>
      <c r="AL118" s="318">
        <f t="shared" si="129"/>
        <v>5.0599999999999999E-2</v>
      </c>
      <c r="AM118" s="318">
        <f t="shared" si="129"/>
        <v>5.0599999999999999E-2</v>
      </c>
      <c r="AN118" s="318">
        <f t="shared" si="129"/>
        <v>5.0599999999999999E-2</v>
      </c>
      <c r="AO118" s="318">
        <f t="shared" si="130"/>
        <v>5.0599999999999999E-2</v>
      </c>
      <c r="AP118" s="318">
        <f t="shared" si="130"/>
        <v>2.4987804805501002E-2</v>
      </c>
      <c r="AQ118" s="318" t="str">
        <f t="shared" si="130"/>
        <v/>
      </c>
      <c r="AR118" s="318" t="str">
        <f t="shared" si="130"/>
        <v/>
      </c>
      <c r="AS118" s="318" t="str">
        <f t="shared" si="130"/>
        <v/>
      </c>
      <c r="AT118" s="318" t="str">
        <f t="shared" si="130"/>
        <v/>
      </c>
      <c r="AU118" s="318" t="str">
        <f t="shared" si="130"/>
        <v/>
      </c>
      <c r="AV118" s="318" t="str">
        <f t="shared" si="130"/>
        <v/>
      </c>
      <c r="AW118" s="318" t="str">
        <f t="shared" si="130"/>
        <v/>
      </c>
      <c r="AX118" s="318" t="str">
        <f t="shared" si="130"/>
        <v/>
      </c>
      <c r="AY118" s="318" t="str">
        <f t="shared" si="131"/>
        <v/>
      </c>
      <c r="AZ118" s="128" t="str">
        <f t="shared" si="131"/>
        <v/>
      </c>
      <c r="BA118" s="128" t="str">
        <f t="shared" si="131"/>
        <v/>
      </c>
      <c r="BB118" s="128" t="str">
        <f t="shared" si="131"/>
        <v/>
      </c>
      <c r="BC118" s="128" t="str">
        <f t="shared" si="131"/>
        <v/>
      </c>
      <c r="BD118" s="128" t="str">
        <f t="shared" si="131"/>
        <v/>
      </c>
      <c r="BE118" s="128" t="str">
        <f t="shared" si="131"/>
        <v/>
      </c>
      <c r="BF118" s="128" t="str">
        <f t="shared" si="131"/>
        <v/>
      </c>
      <c r="BG118" s="128" t="str">
        <f t="shared" si="131"/>
        <v/>
      </c>
      <c r="BH118" s="128" t="str">
        <f t="shared" si="131"/>
        <v/>
      </c>
      <c r="BI118" s="128" t="str">
        <f t="shared" si="131"/>
        <v/>
      </c>
      <c r="BJ118" s="128" t="str">
        <f t="shared" si="131"/>
        <v/>
      </c>
      <c r="BK118" s="128" t="str">
        <f t="shared" si="131"/>
        <v/>
      </c>
      <c r="BL118" s="319" t="str">
        <f t="shared" si="131"/>
        <v/>
      </c>
      <c r="BM118" s="296"/>
    </row>
    <row r="119" spans="1:65" x14ac:dyDescent="0.25">
      <c r="A119" s="69"/>
      <c r="B119" s="297">
        <f t="shared" si="120"/>
        <v>2032</v>
      </c>
      <c r="C119" s="269" t="str">
        <f t="shared" si="104"/>
        <v/>
      </c>
      <c r="D119" s="318" t="str">
        <f t="shared" si="127"/>
        <v/>
      </c>
      <c r="E119" s="318" t="str">
        <f t="shared" si="127"/>
        <v/>
      </c>
      <c r="F119" s="318" t="str">
        <f t="shared" si="127"/>
        <v/>
      </c>
      <c r="G119" s="318" t="str">
        <f t="shared" si="127"/>
        <v/>
      </c>
      <c r="H119" s="318" t="str">
        <f t="shared" si="127"/>
        <v/>
      </c>
      <c r="I119" s="318" t="str">
        <f t="shared" si="127"/>
        <v/>
      </c>
      <c r="J119" s="318" t="str">
        <f t="shared" si="127"/>
        <v/>
      </c>
      <c r="K119" s="318" t="str">
        <f t="shared" si="127"/>
        <v/>
      </c>
      <c r="L119" s="318" t="str">
        <f t="shared" si="127"/>
        <v/>
      </c>
      <c r="M119" s="318" t="str">
        <f t="shared" si="132"/>
        <v/>
      </c>
      <c r="N119" s="318" t="str">
        <f t="shared" si="132"/>
        <v/>
      </c>
      <c r="O119" s="318" t="str">
        <f t="shared" si="132"/>
        <v/>
      </c>
      <c r="P119" s="318" t="str">
        <f t="shared" si="132"/>
        <v/>
      </c>
      <c r="Q119" s="318" t="str">
        <f t="shared" si="132"/>
        <v/>
      </c>
      <c r="R119" s="318" t="str">
        <f t="shared" si="132"/>
        <v/>
      </c>
      <c r="S119" s="318" t="str">
        <f t="shared" si="132"/>
        <v/>
      </c>
      <c r="T119" s="318" t="str">
        <f t="shared" si="126"/>
        <v/>
      </c>
      <c r="U119" s="318" t="str">
        <f t="shared" si="128"/>
        <v/>
      </c>
      <c r="V119" s="318" t="str">
        <f t="shared" si="128"/>
        <v/>
      </c>
      <c r="W119" s="318" t="str">
        <f t="shared" si="128"/>
        <v/>
      </c>
      <c r="X119" s="318" t="str">
        <f t="shared" si="128"/>
        <v/>
      </c>
      <c r="Y119" s="318" t="str">
        <f t="shared" si="128"/>
        <v/>
      </c>
      <c r="Z119" s="318" t="str">
        <f t="shared" si="128"/>
        <v/>
      </c>
      <c r="AA119" s="318" t="str">
        <f t="shared" si="128"/>
        <v/>
      </c>
      <c r="AB119" s="318" t="str">
        <f t="shared" si="128"/>
        <v/>
      </c>
      <c r="AC119" s="318" t="str">
        <f t="shared" si="128"/>
        <v/>
      </c>
      <c r="AD119" s="318" t="str">
        <f t="shared" si="128"/>
        <v/>
      </c>
      <c r="AE119" s="318" t="str">
        <f t="shared" si="129"/>
        <v/>
      </c>
      <c r="AF119" s="318" t="str">
        <f t="shared" si="129"/>
        <v/>
      </c>
      <c r="AG119" s="318">
        <f t="shared" si="129"/>
        <v>2.4987804805501002E-2</v>
      </c>
      <c r="AH119" s="318">
        <f t="shared" si="129"/>
        <v>5.0599999999999999E-2</v>
      </c>
      <c r="AI119" s="318">
        <f t="shared" si="129"/>
        <v>5.0599999999999999E-2</v>
      </c>
      <c r="AJ119" s="318">
        <f t="shared" si="129"/>
        <v>5.0599999999999999E-2</v>
      </c>
      <c r="AK119" s="318">
        <f t="shared" si="129"/>
        <v>5.0599999999999999E-2</v>
      </c>
      <c r="AL119" s="318">
        <f t="shared" si="129"/>
        <v>5.0599999999999999E-2</v>
      </c>
      <c r="AM119" s="318">
        <f t="shared" si="129"/>
        <v>5.0599999999999999E-2</v>
      </c>
      <c r="AN119" s="318">
        <f t="shared" si="129"/>
        <v>5.0599999999999999E-2</v>
      </c>
      <c r="AO119" s="318">
        <f t="shared" si="130"/>
        <v>5.0599999999999999E-2</v>
      </c>
      <c r="AP119" s="318">
        <f t="shared" si="130"/>
        <v>5.0599999999999999E-2</v>
      </c>
      <c r="AQ119" s="318">
        <f t="shared" si="130"/>
        <v>2.4987804805501002E-2</v>
      </c>
      <c r="AR119" s="318" t="str">
        <f t="shared" si="130"/>
        <v/>
      </c>
      <c r="AS119" s="318" t="str">
        <f t="shared" si="130"/>
        <v/>
      </c>
      <c r="AT119" s="318" t="str">
        <f t="shared" si="130"/>
        <v/>
      </c>
      <c r="AU119" s="318" t="str">
        <f t="shared" si="130"/>
        <v/>
      </c>
      <c r="AV119" s="318" t="str">
        <f t="shared" si="130"/>
        <v/>
      </c>
      <c r="AW119" s="318" t="str">
        <f t="shared" si="130"/>
        <v/>
      </c>
      <c r="AX119" s="318" t="str">
        <f t="shared" si="130"/>
        <v/>
      </c>
      <c r="AY119" s="318" t="str">
        <f t="shared" si="131"/>
        <v/>
      </c>
      <c r="AZ119" s="128" t="str">
        <f t="shared" si="131"/>
        <v/>
      </c>
      <c r="BA119" s="128" t="str">
        <f t="shared" si="131"/>
        <v/>
      </c>
      <c r="BB119" s="128" t="str">
        <f t="shared" si="131"/>
        <v/>
      </c>
      <c r="BC119" s="128" t="str">
        <f t="shared" si="131"/>
        <v/>
      </c>
      <c r="BD119" s="128" t="str">
        <f t="shared" si="131"/>
        <v/>
      </c>
      <c r="BE119" s="128" t="str">
        <f t="shared" si="131"/>
        <v/>
      </c>
      <c r="BF119" s="128" t="str">
        <f t="shared" si="131"/>
        <v/>
      </c>
      <c r="BG119" s="128" t="str">
        <f t="shared" si="131"/>
        <v/>
      </c>
      <c r="BH119" s="128" t="str">
        <f t="shared" si="131"/>
        <v/>
      </c>
      <c r="BI119" s="128" t="str">
        <f t="shared" si="131"/>
        <v/>
      </c>
      <c r="BJ119" s="128" t="str">
        <f t="shared" si="131"/>
        <v/>
      </c>
      <c r="BK119" s="128" t="str">
        <f t="shared" si="131"/>
        <v/>
      </c>
      <c r="BL119" s="319" t="str">
        <f t="shared" si="131"/>
        <v/>
      </c>
      <c r="BM119" s="296"/>
    </row>
    <row r="120" spans="1:65" x14ac:dyDescent="0.25">
      <c r="A120" s="69"/>
      <c r="B120" s="297">
        <f t="shared" si="120"/>
        <v>2033</v>
      </c>
      <c r="C120" s="269" t="str">
        <f t="shared" si="104"/>
        <v/>
      </c>
      <c r="D120" s="318" t="str">
        <f t="shared" ref="D120:L129" si="133">IF(AND(D$88-$B120&gt;=1,D$88-$B120&lt;=9),HLOOKUP($B120,$C$10:$BL$11,2,FALSE),IF(OR(D$88-$B120=0,D$88-$B120=10),(HLOOKUP($B120,$C$10:$BL$11,2,FALSE))/2,""))</f>
        <v/>
      </c>
      <c r="E120" s="318" t="str">
        <f t="shared" si="133"/>
        <v/>
      </c>
      <c r="F120" s="318" t="str">
        <f t="shared" si="133"/>
        <v/>
      </c>
      <c r="G120" s="318" t="str">
        <f t="shared" si="133"/>
        <v/>
      </c>
      <c r="H120" s="318" t="str">
        <f t="shared" si="133"/>
        <v/>
      </c>
      <c r="I120" s="318" t="str">
        <f t="shared" si="133"/>
        <v/>
      </c>
      <c r="J120" s="318" t="str">
        <f t="shared" si="133"/>
        <v/>
      </c>
      <c r="K120" s="318" t="str">
        <f t="shared" si="133"/>
        <v/>
      </c>
      <c r="L120" s="318" t="str">
        <f t="shared" si="133"/>
        <v/>
      </c>
      <c r="M120" s="318" t="str">
        <f t="shared" si="132"/>
        <v/>
      </c>
      <c r="N120" s="318" t="str">
        <f t="shared" si="132"/>
        <v/>
      </c>
      <c r="O120" s="318" t="str">
        <f t="shared" si="132"/>
        <v/>
      </c>
      <c r="P120" s="318" t="str">
        <f t="shared" si="132"/>
        <v/>
      </c>
      <c r="Q120" s="318" t="str">
        <f t="shared" si="132"/>
        <v/>
      </c>
      <c r="R120" s="318" t="str">
        <f t="shared" si="132"/>
        <v/>
      </c>
      <c r="S120" s="318" t="str">
        <f t="shared" si="132"/>
        <v/>
      </c>
      <c r="T120" s="318" t="str">
        <f t="shared" si="126"/>
        <v/>
      </c>
      <c r="U120" s="318" t="str">
        <f t="shared" si="128"/>
        <v/>
      </c>
      <c r="V120" s="318" t="str">
        <f t="shared" si="128"/>
        <v/>
      </c>
      <c r="W120" s="318" t="str">
        <f t="shared" si="128"/>
        <v/>
      </c>
      <c r="X120" s="318" t="str">
        <f t="shared" si="128"/>
        <v/>
      </c>
      <c r="Y120" s="318" t="str">
        <f t="shared" si="128"/>
        <v/>
      </c>
      <c r="Z120" s="318" t="str">
        <f t="shared" si="128"/>
        <v/>
      </c>
      <c r="AA120" s="318" t="str">
        <f t="shared" si="128"/>
        <v/>
      </c>
      <c r="AB120" s="318" t="str">
        <f t="shared" si="128"/>
        <v/>
      </c>
      <c r="AC120" s="318" t="str">
        <f t="shared" si="128"/>
        <v/>
      </c>
      <c r="AD120" s="318" t="str">
        <f t="shared" si="128"/>
        <v/>
      </c>
      <c r="AE120" s="318" t="str">
        <f t="shared" si="129"/>
        <v/>
      </c>
      <c r="AF120" s="318" t="str">
        <f t="shared" si="129"/>
        <v/>
      </c>
      <c r="AG120" s="318" t="str">
        <f t="shared" si="129"/>
        <v/>
      </c>
      <c r="AH120" s="318">
        <f t="shared" si="129"/>
        <v>2.4987804805501002E-2</v>
      </c>
      <c r="AI120" s="318">
        <f t="shared" si="129"/>
        <v>5.0599999999999999E-2</v>
      </c>
      <c r="AJ120" s="318">
        <f t="shared" si="129"/>
        <v>5.0599999999999999E-2</v>
      </c>
      <c r="AK120" s="318">
        <f t="shared" si="129"/>
        <v>5.0599999999999999E-2</v>
      </c>
      <c r="AL120" s="318">
        <f t="shared" si="129"/>
        <v>5.0599999999999999E-2</v>
      </c>
      <c r="AM120" s="318">
        <f t="shared" si="129"/>
        <v>5.0599999999999999E-2</v>
      </c>
      <c r="AN120" s="318">
        <f t="shared" si="129"/>
        <v>5.0599999999999999E-2</v>
      </c>
      <c r="AO120" s="318">
        <f t="shared" si="130"/>
        <v>5.0599999999999999E-2</v>
      </c>
      <c r="AP120" s="318">
        <f t="shared" si="130"/>
        <v>5.0599999999999999E-2</v>
      </c>
      <c r="AQ120" s="318">
        <f t="shared" si="130"/>
        <v>5.0599999999999999E-2</v>
      </c>
      <c r="AR120" s="318">
        <f t="shared" si="130"/>
        <v>2.4987804805501002E-2</v>
      </c>
      <c r="AS120" s="318" t="str">
        <f t="shared" si="130"/>
        <v/>
      </c>
      <c r="AT120" s="318" t="str">
        <f t="shared" si="130"/>
        <v/>
      </c>
      <c r="AU120" s="318" t="str">
        <f t="shared" si="130"/>
        <v/>
      </c>
      <c r="AV120" s="318" t="str">
        <f t="shared" si="130"/>
        <v/>
      </c>
      <c r="AW120" s="318" t="str">
        <f t="shared" si="130"/>
        <v/>
      </c>
      <c r="AX120" s="318" t="str">
        <f t="shared" si="130"/>
        <v/>
      </c>
      <c r="AY120" s="318" t="str">
        <f t="shared" si="131"/>
        <v/>
      </c>
      <c r="AZ120" s="128" t="str">
        <f t="shared" si="131"/>
        <v/>
      </c>
      <c r="BA120" s="128" t="str">
        <f t="shared" si="131"/>
        <v/>
      </c>
      <c r="BB120" s="128" t="str">
        <f t="shared" si="131"/>
        <v/>
      </c>
      <c r="BC120" s="128" t="str">
        <f t="shared" si="131"/>
        <v/>
      </c>
      <c r="BD120" s="128" t="str">
        <f t="shared" si="131"/>
        <v/>
      </c>
      <c r="BE120" s="128" t="str">
        <f t="shared" si="131"/>
        <v/>
      </c>
      <c r="BF120" s="128" t="str">
        <f t="shared" si="131"/>
        <v/>
      </c>
      <c r="BG120" s="128" t="str">
        <f t="shared" si="131"/>
        <v/>
      </c>
      <c r="BH120" s="128" t="str">
        <f t="shared" si="131"/>
        <v/>
      </c>
      <c r="BI120" s="128" t="str">
        <f t="shared" si="131"/>
        <v/>
      </c>
      <c r="BJ120" s="128" t="str">
        <f t="shared" si="131"/>
        <v/>
      </c>
      <c r="BK120" s="128" t="str">
        <f t="shared" si="131"/>
        <v/>
      </c>
      <c r="BL120" s="319" t="str">
        <f t="shared" si="131"/>
        <v/>
      </c>
      <c r="BM120" s="296"/>
    </row>
    <row r="121" spans="1:65" x14ac:dyDescent="0.25">
      <c r="A121" s="69"/>
      <c r="B121" s="297">
        <f t="shared" si="120"/>
        <v>2034</v>
      </c>
      <c r="C121" s="269" t="str">
        <f t="shared" ref="C121:C150" si="134">IF(AND(C$88-$B121&gt;=1,C$88-$B121&lt;=9),HLOOKUP($B121,$C$10:$BL$11,2,FALSE),IF(OR(C$88-$B121=0,C$88-$B121=10),(HLOOKUP($B121,$C$10:$BL$11,2,FALSE))/2,""))</f>
        <v/>
      </c>
      <c r="D121" s="318" t="str">
        <f t="shared" si="133"/>
        <v/>
      </c>
      <c r="E121" s="318" t="str">
        <f t="shared" si="133"/>
        <v/>
      </c>
      <c r="F121" s="318" t="str">
        <f t="shared" si="133"/>
        <v/>
      </c>
      <c r="G121" s="318" t="str">
        <f t="shared" si="133"/>
        <v/>
      </c>
      <c r="H121" s="318" t="str">
        <f t="shared" si="133"/>
        <v/>
      </c>
      <c r="I121" s="318" t="str">
        <f t="shared" si="133"/>
        <v/>
      </c>
      <c r="J121" s="318" t="str">
        <f t="shared" si="133"/>
        <v/>
      </c>
      <c r="K121" s="318" t="str">
        <f t="shared" si="133"/>
        <v/>
      </c>
      <c r="L121" s="318" t="str">
        <f t="shared" si="133"/>
        <v/>
      </c>
      <c r="M121" s="318" t="str">
        <f t="shared" si="132"/>
        <v/>
      </c>
      <c r="N121" s="318" t="str">
        <f t="shared" si="132"/>
        <v/>
      </c>
      <c r="O121" s="318" t="str">
        <f t="shared" si="132"/>
        <v/>
      </c>
      <c r="P121" s="318" t="str">
        <f t="shared" si="132"/>
        <v/>
      </c>
      <c r="Q121" s="318" t="str">
        <f t="shared" si="132"/>
        <v/>
      </c>
      <c r="R121" s="318" t="str">
        <f t="shared" si="132"/>
        <v/>
      </c>
      <c r="S121" s="318" t="str">
        <f t="shared" si="132"/>
        <v/>
      </c>
      <c r="T121" s="318" t="str">
        <f t="shared" si="126"/>
        <v/>
      </c>
      <c r="U121" s="318" t="str">
        <f t="shared" si="128"/>
        <v/>
      </c>
      <c r="V121" s="318" t="str">
        <f t="shared" si="128"/>
        <v/>
      </c>
      <c r="W121" s="318" t="str">
        <f t="shared" si="128"/>
        <v/>
      </c>
      <c r="X121" s="318" t="str">
        <f t="shared" si="128"/>
        <v/>
      </c>
      <c r="Y121" s="318" t="str">
        <f t="shared" si="128"/>
        <v/>
      </c>
      <c r="Z121" s="318" t="str">
        <f t="shared" si="128"/>
        <v/>
      </c>
      <c r="AA121" s="318" t="str">
        <f t="shared" si="128"/>
        <v/>
      </c>
      <c r="AB121" s="318" t="str">
        <f t="shared" si="128"/>
        <v/>
      </c>
      <c r="AC121" s="318" t="str">
        <f t="shared" si="128"/>
        <v/>
      </c>
      <c r="AD121" s="318" t="str">
        <f t="shared" si="128"/>
        <v/>
      </c>
      <c r="AE121" s="318" t="str">
        <f t="shared" si="129"/>
        <v/>
      </c>
      <c r="AF121" s="318" t="str">
        <f t="shared" si="129"/>
        <v/>
      </c>
      <c r="AG121" s="318" t="str">
        <f t="shared" si="129"/>
        <v/>
      </c>
      <c r="AH121" s="318" t="str">
        <f t="shared" si="129"/>
        <v/>
      </c>
      <c r="AI121" s="318">
        <f t="shared" si="129"/>
        <v>2.4987804805501002E-2</v>
      </c>
      <c r="AJ121" s="318">
        <f t="shared" si="129"/>
        <v>5.0599999999999999E-2</v>
      </c>
      <c r="AK121" s="318">
        <f t="shared" si="129"/>
        <v>5.0599999999999999E-2</v>
      </c>
      <c r="AL121" s="318">
        <f t="shared" si="129"/>
        <v>5.0599999999999999E-2</v>
      </c>
      <c r="AM121" s="318">
        <f t="shared" si="129"/>
        <v>5.0599999999999999E-2</v>
      </c>
      <c r="AN121" s="318">
        <f t="shared" si="129"/>
        <v>5.0599999999999999E-2</v>
      </c>
      <c r="AO121" s="318">
        <f t="shared" si="130"/>
        <v>5.0599999999999999E-2</v>
      </c>
      <c r="AP121" s="318">
        <f t="shared" si="130"/>
        <v>5.0599999999999999E-2</v>
      </c>
      <c r="AQ121" s="318">
        <f t="shared" si="130"/>
        <v>5.0599999999999999E-2</v>
      </c>
      <c r="AR121" s="318">
        <f t="shared" si="130"/>
        <v>5.0599999999999999E-2</v>
      </c>
      <c r="AS121" s="318">
        <f t="shared" si="130"/>
        <v>2.4987804805501002E-2</v>
      </c>
      <c r="AT121" s="318" t="str">
        <f t="shared" si="130"/>
        <v/>
      </c>
      <c r="AU121" s="318" t="str">
        <f t="shared" si="130"/>
        <v/>
      </c>
      <c r="AV121" s="318" t="str">
        <f t="shared" si="130"/>
        <v/>
      </c>
      <c r="AW121" s="318" t="str">
        <f t="shared" si="130"/>
        <v/>
      </c>
      <c r="AX121" s="318" t="str">
        <f t="shared" si="130"/>
        <v/>
      </c>
      <c r="AY121" s="318" t="str">
        <f t="shared" si="131"/>
        <v/>
      </c>
      <c r="AZ121" s="128" t="str">
        <f t="shared" si="131"/>
        <v/>
      </c>
      <c r="BA121" s="128" t="str">
        <f t="shared" si="131"/>
        <v/>
      </c>
      <c r="BB121" s="128" t="str">
        <f t="shared" si="131"/>
        <v/>
      </c>
      <c r="BC121" s="128" t="str">
        <f t="shared" si="131"/>
        <v/>
      </c>
      <c r="BD121" s="128" t="str">
        <f t="shared" si="131"/>
        <v/>
      </c>
      <c r="BE121" s="128" t="str">
        <f t="shared" si="131"/>
        <v/>
      </c>
      <c r="BF121" s="128" t="str">
        <f t="shared" si="131"/>
        <v/>
      </c>
      <c r="BG121" s="128" t="str">
        <f t="shared" si="131"/>
        <v/>
      </c>
      <c r="BH121" s="128" t="str">
        <f t="shared" si="131"/>
        <v/>
      </c>
      <c r="BI121" s="128" t="str">
        <f t="shared" si="131"/>
        <v/>
      </c>
      <c r="BJ121" s="128" t="str">
        <f t="shared" si="131"/>
        <v/>
      </c>
      <c r="BK121" s="128" t="str">
        <f t="shared" si="131"/>
        <v/>
      </c>
      <c r="BL121" s="319" t="str">
        <f t="shared" si="131"/>
        <v/>
      </c>
      <c r="BM121" s="296"/>
    </row>
    <row r="122" spans="1:65" x14ac:dyDescent="0.25">
      <c r="A122" s="69"/>
      <c r="B122" s="297">
        <f t="shared" si="120"/>
        <v>2035</v>
      </c>
      <c r="C122" s="269" t="str">
        <f t="shared" si="134"/>
        <v/>
      </c>
      <c r="D122" s="318" t="str">
        <f t="shared" si="133"/>
        <v/>
      </c>
      <c r="E122" s="318" t="str">
        <f t="shared" si="133"/>
        <v/>
      </c>
      <c r="F122" s="318" t="str">
        <f t="shared" si="133"/>
        <v/>
      </c>
      <c r="G122" s="318" t="str">
        <f t="shared" si="133"/>
        <v/>
      </c>
      <c r="H122" s="318" t="str">
        <f t="shared" si="133"/>
        <v/>
      </c>
      <c r="I122" s="318" t="str">
        <f t="shared" si="133"/>
        <v/>
      </c>
      <c r="J122" s="318" t="str">
        <f t="shared" si="133"/>
        <v/>
      </c>
      <c r="K122" s="318" t="str">
        <f t="shared" si="133"/>
        <v/>
      </c>
      <c r="L122" s="318" t="str">
        <f t="shared" si="133"/>
        <v/>
      </c>
      <c r="M122" s="318" t="str">
        <f t="shared" si="132"/>
        <v/>
      </c>
      <c r="N122" s="318" t="str">
        <f t="shared" si="132"/>
        <v/>
      </c>
      <c r="O122" s="318" t="str">
        <f t="shared" si="132"/>
        <v/>
      </c>
      <c r="P122" s="318" t="str">
        <f t="shared" si="132"/>
        <v/>
      </c>
      <c r="Q122" s="318" t="str">
        <f t="shared" si="132"/>
        <v/>
      </c>
      <c r="R122" s="318" t="str">
        <f t="shared" si="132"/>
        <v/>
      </c>
      <c r="S122" s="318" t="str">
        <f t="shared" si="132"/>
        <v/>
      </c>
      <c r="T122" s="318" t="str">
        <f t="shared" si="126"/>
        <v/>
      </c>
      <c r="U122" s="318" t="str">
        <f t="shared" ref="U122:AD131" si="135">IF(AND(U$88-$B122&gt;=1,U$88-$B122&lt;=9),HLOOKUP($B122,$C$10:$BL$11,2,FALSE),IF(OR(U$88-$B122=0,U$88-$B122=10),POWER((HLOOKUP($B122,$C$10:$BL$11,2,FALSE))+1,1/2)-1,""))</f>
        <v/>
      </c>
      <c r="V122" s="318" t="str">
        <f t="shared" si="135"/>
        <v/>
      </c>
      <c r="W122" s="318" t="str">
        <f t="shared" si="135"/>
        <v/>
      </c>
      <c r="X122" s="318" t="str">
        <f t="shared" si="135"/>
        <v/>
      </c>
      <c r="Y122" s="318" t="str">
        <f t="shared" si="135"/>
        <v/>
      </c>
      <c r="Z122" s="318" t="str">
        <f t="shared" si="135"/>
        <v/>
      </c>
      <c r="AA122" s="318" t="str">
        <f t="shared" si="135"/>
        <v/>
      </c>
      <c r="AB122" s="318" t="str">
        <f t="shared" si="135"/>
        <v/>
      </c>
      <c r="AC122" s="318" t="str">
        <f t="shared" si="135"/>
        <v/>
      </c>
      <c r="AD122" s="318" t="str">
        <f t="shared" si="135"/>
        <v/>
      </c>
      <c r="AE122" s="318" t="str">
        <f t="shared" si="129"/>
        <v/>
      </c>
      <c r="AF122" s="318" t="str">
        <f t="shared" si="129"/>
        <v/>
      </c>
      <c r="AG122" s="318" t="str">
        <f t="shared" si="129"/>
        <v/>
      </c>
      <c r="AH122" s="318" t="str">
        <f t="shared" si="129"/>
        <v/>
      </c>
      <c r="AI122" s="318" t="str">
        <f t="shared" si="129"/>
        <v/>
      </c>
      <c r="AJ122" s="318">
        <f t="shared" si="129"/>
        <v>2.4987804805501002E-2</v>
      </c>
      <c r="AK122" s="318">
        <f t="shared" si="129"/>
        <v>5.0599999999999999E-2</v>
      </c>
      <c r="AL122" s="318">
        <f t="shared" si="129"/>
        <v>5.0599999999999999E-2</v>
      </c>
      <c r="AM122" s="318">
        <f t="shared" si="129"/>
        <v>5.0599999999999999E-2</v>
      </c>
      <c r="AN122" s="318">
        <f t="shared" si="129"/>
        <v>5.0599999999999999E-2</v>
      </c>
      <c r="AO122" s="318">
        <f t="shared" si="130"/>
        <v>5.0599999999999999E-2</v>
      </c>
      <c r="AP122" s="318">
        <f t="shared" si="130"/>
        <v>5.0599999999999999E-2</v>
      </c>
      <c r="AQ122" s="318">
        <f t="shared" si="130"/>
        <v>5.0599999999999999E-2</v>
      </c>
      <c r="AR122" s="318">
        <f t="shared" si="130"/>
        <v>5.0599999999999999E-2</v>
      </c>
      <c r="AS122" s="318">
        <f t="shared" si="130"/>
        <v>5.0599999999999999E-2</v>
      </c>
      <c r="AT122" s="318">
        <f t="shared" si="130"/>
        <v>2.4987804805501002E-2</v>
      </c>
      <c r="AU122" s="318" t="str">
        <f t="shared" si="130"/>
        <v/>
      </c>
      <c r="AV122" s="318" t="str">
        <f t="shared" si="130"/>
        <v/>
      </c>
      <c r="AW122" s="318" t="str">
        <f t="shared" si="130"/>
        <v/>
      </c>
      <c r="AX122" s="318" t="str">
        <f t="shared" si="130"/>
        <v/>
      </c>
      <c r="AY122" s="318" t="str">
        <f t="shared" si="131"/>
        <v/>
      </c>
      <c r="AZ122" s="128" t="str">
        <f t="shared" si="131"/>
        <v/>
      </c>
      <c r="BA122" s="128" t="str">
        <f t="shared" si="131"/>
        <v/>
      </c>
      <c r="BB122" s="128" t="str">
        <f t="shared" si="131"/>
        <v/>
      </c>
      <c r="BC122" s="128" t="str">
        <f t="shared" si="131"/>
        <v/>
      </c>
      <c r="BD122" s="128" t="str">
        <f t="shared" si="131"/>
        <v/>
      </c>
      <c r="BE122" s="128" t="str">
        <f t="shared" si="131"/>
        <v/>
      </c>
      <c r="BF122" s="128" t="str">
        <f t="shared" si="131"/>
        <v/>
      </c>
      <c r="BG122" s="128" t="str">
        <f t="shared" si="131"/>
        <v/>
      </c>
      <c r="BH122" s="128" t="str">
        <f t="shared" si="131"/>
        <v/>
      </c>
      <c r="BI122" s="128" t="str">
        <f t="shared" si="131"/>
        <v/>
      </c>
      <c r="BJ122" s="128" t="str">
        <f t="shared" si="131"/>
        <v/>
      </c>
      <c r="BK122" s="128" t="str">
        <f t="shared" si="131"/>
        <v/>
      </c>
      <c r="BL122" s="319" t="str">
        <f t="shared" si="131"/>
        <v/>
      </c>
      <c r="BM122" s="296"/>
    </row>
    <row r="123" spans="1:65" x14ac:dyDescent="0.25">
      <c r="A123" s="69"/>
      <c r="B123" s="297">
        <f t="shared" si="120"/>
        <v>2036</v>
      </c>
      <c r="C123" s="269" t="str">
        <f t="shared" si="134"/>
        <v/>
      </c>
      <c r="D123" s="318" t="str">
        <f t="shared" si="133"/>
        <v/>
      </c>
      <c r="E123" s="318" t="str">
        <f t="shared" si="133"/>
        <v/>
      </c>
      <c r="F123" s="318" t="str">
        <f t="shared" si="133"/>
        <v/>
      </c>
      <c r="G123" s="318" t="str">
        <f t="shared" si="133"/>
        <v/>
      </c>
      <c r="H123" s="318" t="str">
        <f t="shared" si="133"/>
        <v/>
      </c>
      <c r="I123" s="318" t="str">
        <f t="shared" si="133"/>
        <v/>
      </c>
      <c r="J123" s="318" t="str">
        <f t="shared" si="133"/>
        <v/>
      </c>
      <c r="K123" s="318" t="str">
        <f t="shared" si="133"/>
        <v/>
      </c>
      <c r="L123" s="318" t="str">
        <f t="shared" si="133"/>
        <v/>
      </c>
      <c r="M123" s="318" t="str">
        <f t="shared" si="132"/>
        <v/>
      </c>
      <c r="N123" s="318" t="str">
        <f t="shared" si="132"/>
        <v/>
      </c>
      <c r="O123" s="318" t="str">
        <f t="shared" si="132"/>
        <v/>
      </c>
      <c r="P123" s="318" t="str">
        <f t="shared" si="132"/>
        <v/>
      </c>
      <c r="Q123" s="318" t="str">
        <f t="shared" si="132"/>
        <v/>
      </c>
      <c r="R123" s="318" t="str">
        <f t="shared" si="132"/>
        <v/>
      </c>
      <c r="S123" s="318" t="str">
        <f t="shared" si="132"/>
        <v/>
      </c>
      <c r="T123" s="318" t="str">
        <f t="shared" si="126"/>
        <v/>
      </c>
      <c r="U123" s="318" t="str">
        <f t="shared" si="135"/>
        <v/>
      </c>
      <c r="V123" s="318" t="str">
        <f t="shared" si="135"/>
        <v/>
      </c>
      <c r="W123" s="318" t="str">
        <f t="shared" si="135"/>
        <v/>
      </c>
      <c r="X123" s="318" t="str">
        <f t="shared" si="135"/>
        <v/>
      </c>
      <c r="Y123" s="318" t="str">
        <f t="shared" si="135"/>
        <v/>
      </c>
      <c r="Z123" s="318" t="str">
        <f t="shared" si="135"/>
        <v/>
      </c>
      <c r="AA123" s="318" t="str">
        <f t="shared" si="135"/>
        <v/>
      </c>
      <c r="AB123" s="318" t="str">
        <f t="shared" si="135"/>
        <v/>
      </c>
      <c r="AC123" s="318" t="str">
        <f t="shared" si="135"/>
        <v/>
      </c>
      <c r="AD123" s="318" t="str">
        <f t="shared" si="135"/>
        <v/>
      </c>
      <c r="AE123" s="318" t="str">
        <f t="shared" si="129"/>
        <v/>
      </c>
      <c r="AF123" s="318" t="str">
        <f t="shared" si="129"/>
        <v/>
      </c>
      <c r="AG123" s="318" t="str">
        <f t="shared" si="129"/>
        <v/>
      </c>
      <c r="AH123" s="318" t="str">
        <f t="shared" si="129"/>
        <v/>
      </c>
      <c r="AI123" s="318" t="str">
        <f t="shared" si="129"/>
        <v/>
      </c>
      <c r="AJ123" s="318" t="str">
        <f t="shared" si="129"/>
        <v/>
      </c>
      <c r="AK123" s="318">
        <f t="shared" si="129"/>
        <v>2.4987804805501002E-2</v>
      </c>
      <c r="AL123" s="318">
        <f t="shared" si="129"/>
        <v>5.0599999999999999E-2</v>
      </c>
      <c r="AM123" s="318">
        <f t="shared" si="129"/>
        <v>5.0599999999999999E-2</v>
      </c>
      <c r="AN123" s="318">
        <f t="shared" si="129"/>
        <v>5.0599999999999999E-2</v>
      </c>
      <c r="AO123" s="318">
        <f t="shared" si="130"/>
        <v>5.0599999999999999E-2</v>
      </c>
      <c r="AP123" s="318">
        <f t="shared" si="130"/>
        <v>5.0599999999999999E-2</v>
      </c>
      <c r="AQ123" s="318">
        <f t="shared" si="130"/>
        <v>5.0599999999999999E-2</v>
      </c>
      <c r="AR123" s="318">
        <f t="shared" si="130"/>
        <v>5.0599999999999999E-2</v>
      </c>
      <c r="AS123" s="318">
        <f t="shared" si="130"/>
        <v>5.0599999999999999E-2</v>
      </c>
      <c r="AT123" s="318">
        <f t="shared" si="130"/>
        <v>5.0599999999999999E-2</v>
      </c>
      <c r="AU123" s="318">
        <f t="shared" si="130"/>
        <v>2.4987804805501002E-2</v>
      </c>
      <c r="AV123" s="318" t="str">
        <f t="shared" si="130"/>
        <v/>
      </c>
      <c r="AW123" s="318" t="str">
        <f t="shared" si="130"/>
        <v/>
      </c>
      <c r="AX123" s="318" t="str">
        <f t="shared" si="130"/>
        <v/>
      </c>
      <c r="AY123" s="318" t="str">
        <f t="shared" si="131"/>
        <v/>
      </c>
      <c r="AZ123" s="128" t="str">
        <f t="shared" si="131"/>
        <v/>
      </c>
      <c r="BA123" s="128" t="str">
        <f t="shared" si="131"/>
        <v/>
      </c>
      <c r="BB123" s="128" t="str">
        <f t="shared" si="131"/>
        <v/>
      </c>
      <c r="BC123" s="128" t="str">
        <f t="shared" si="131"/>
        <v/>
      </c>
      <c r="BD123" s="128" t="str">
        <f t="shared" si="131"/>
        <v/>
      </c>
      <c r="BE123" s="128" t="str">
        <f t="shared" si="131"/>
        <v/>
      </c>
      <c r="BF123" s="128" t="str">
        <f t="shared" si="131"/>
        <v/>
      </c>
      <c r="BG123" s="128" t="str">
        <f t="shared" si="131"/>
        <v/>
      </c>
      <c r="BH123" s="128" t="str">
        <f t="shared" si="131"/>
        <v/>
      </c>
      <c r="BI123" s="128" t="str">
        <f t="shared" si="131"/>
        <v/>
      </c>
      <c r="BJ123" s="128" t="str">
        <f t="shared" si="131"/>
        <v/>
      </c>
      <c r="BK123" s="128" t="str">
        <f t="shared" si="131"/>
        <v/>
      </c>
      <c r="BL123" s="319" t="str">
        <f t="shared" si="131"/>
        <v/>
      </c>
      <c r="BM123" s="296"/>
    </row>
    <row r="124" spans="1:65" x14ac:dyDescent="0.25">
      <c r="A124" s="69"/>
      <c r="B124" s="297">
        <f t="shared" si="120"/>
        <v>2037</v>
      </c>
      <c r="C124" s="269" t="str">
        <f t="shared" si="134"/>
        <v/>
      </c>
      <c r="D124" s="318" t="str">
        <f t="shared" si="133"/>
        <v/>
      </c>
      <c r="E124" s="318" t="str">
        <f t="shared" si="133"/>
        <v/>
      </c>
      <c r="F124" s="318" t="str">
        <f t="shared" si="133"/>
        <v/>
      </c>
      <c r="G124" s="318" t="str">
        <f t="shared" si="133"/>
        <v/>
      </c>
      <c r="H124" s="318" t="str">
        <f t="shared" si="133"/>
        <v/>
      </c>
      <c r="I124" s="318" t="str">
        <f t="shared" si="133"/>
        <v/>
      </c>
      <c r="J124" s="318" t="str">
        <f t="shared" si="133"/>
        <v/>
      </c>
      <c r="K124" s="318" t="str">
        <f t="shared" si="133"/>
        <v/>
      </c>
      <c r="L124" s="318" t="str">
        <f t="shared" si="133"/>
        <v/>
      </c>
      <c r="M124" s="318" t="str">
        <f t="shared" si="132"/>
        <v/>
      </c>
      <c r="N124" s="318" t="str">
        <f t="shared" si="132"/>
        <v/>
      </c>
      <c r="O124" s="318" t="str">
        <f t="shared" si="132"/>
        <v/>
      </c>
      <c r="P124" s="318" t="str">
        <f t="shared" si="132"/>
        <v/>
      </c>
      <c r="Q124" s="318" t="str">
        <f t="shared" si="132"/>
        <v/>
      </c>
      <c r="R124" s="318" t="str">
        <f t="shared" si="132"/>
        <v/>
      </c>
      <c r="S124" s="318" t="str">
        <f t="shared" si="132"/>
        <v/>
      </c>
      <c r="T124" s="318" t="str">
        <f t="shared" si="126"/>
        <v/>
      </c>
      <c r="U124" s="318" t="str">
        <f t="shared" si="135"/>
        <v/>
      </c>
      <c r="V124" s="318" t="str">
        <f t="shared" si="135"/>
        <v/>
      </c>
      <c r="W124" s="318" t="str">
        <f t="shared" si="135"/>
        <v/>
      </c>
      <c r="X124" s="318" t="str">
        <f t="shared" si="135"/>
        <v/>
      </c>
      <c r="Y124" s="318" t="str">
        <f t="shared" si="135"/>
        <v/>
      </c>
      <c r="Z124" s="318" t="str">
        <f t="shared" si="135"/>
        <v/>
      </c>
      <c r="AA124" s="318" t="str">
        <f t="shared" si="135"/>
        <v/>
      </c>
      <c r="AB124" s="318" t="str">
        <f t="shared" si="135"/>
        <v/>
      </c>
      <c r="AC124" s="318" t="str">
        <f t="shared" si="135"/>
        <v/>
      </c>
      <c r="AD124" s="318" t="str">
        <f t="shared" si="135"/>
        <v/>
      </c>
      <c r="AE124" s="318" t="str">
        <f t="shared" si="129"/>
        <v/>
      </c>
      <c r="AF124" s="318" t="str">
        <f t="shared" si="129"/>
        <v/>
      </c>
      <c r="AG124" s="318" t="str">
        <f t="shared" si="129"/>
        <v/>
      </c>
      <c r="AH124" s="318" t="str">
        <f t="shared" si="129"/>
        <v/>
      </c>
      <c r="AI124" s="318" t="str">
        <f t="shared" si="129"/>
        <v/>
      </c>
      <c r="AJ124" s="318" t="str">
        <f t="shared" si="129"/>
        <v/>
      </c>
      <c r="AK124" s="318" t="str">
        <f t="shared" si="129"/>
        <v/>
      </c>
      <c r="AL124" s="318">
        <f t="shared" si="129"/>
        <v>2.4987804805501002E-2</v>
      </c>
      <c r="AM124" s="318">
        <f t="shared" si="129"/>
        <v>5.0599999999999999E-2</v>
      </c>
      <c r="AN124" s="318">
        <f t="shared" si="129"/>
        <v>5.0599999999999999E-2</v>
      </c>
      <c r="AO124" s="318">
        <f t="shared" si="130"/>
        <v>5.0599999999999999E-2</v>
      </c>
      <c r="AP124" s="318">
        <f t="shared" si="130"/>
        <v>5.0599999999999999E-2</v>
      </c>
      <c r="AQ124" s="318">
        <f t="shared" si="130"/>
        <v>5.0599999999999999E-2</v>
      </c>
      <c r="AR124" s="318">
        <f t="shared" si="130"/>
        <v>5.0599999999999999E-2</v>
      </c>
      <c r="AS124" s="318">
        <f t="shared" si="130"/>
        <v>5.0599999999999999E-2</v>
      </c>
      <c r="AT124" s="318">
        <f t="shared" si="130"/>
        <v>5.0599999999999999E-2</v>
      </c>
      <c r="AU124" s="318">
        <f t="shared" si="130"/>
        <v>5.0599999999999999E-2</v>
      </c>
      <c r="AV124" s="318">
        <f t="shared" si="130"/>
        <v>2.4987804805501002E-2</v>
      </c>
      <c r="AW124" s="318" t="str">
        <f t="shared" si="130"/>
        <v/>
      </c>
      <c r="AX124" s="318" t="str">
        <f t="shared" si="130"/>
        <v/>
      </c>
      <c r="AY124" s="318" t="str">
        <f t="shared" si="131"/>
        <v/>
      </c>
      <c r="AZ124" s="321" t="str">
        <f t="shared" si="131"/>
        <v/>
      </c>
      <c r="BA124" s="321" t="str">
        <f t="shared" si="131"/>
        <v/>
      </c>
      <c r="BB124" s="321" t="str">
        <f t="shared" si="131"/>
        <v/>
      </c>
      <c r="BC124" s="321" t="str">
        <f t="shared" si="131"/>
        <v/>
      </c>
      <c r="BD124" s="321" t="str">
        <f t="shared" si="131"/>
        <v/>
      </c>
      <c r="BE124" s="321" t="str">
        <f t="shared" si="131"/>
        <v/>
      </c>
      <c r="BF124" s="321" t="str">
        <f t="shared" si="131"/>
        <v/>
      </c>
      <c r="BG124" s="321" t="str">
        <f t="shared" si="131"/>
        <v/>
      </c>
      <c r="BH124" s="321" t="str">
        <f t="shared" si="131"/>
        <v/>
      </c>
      <c r="BI124" s="321" t="str">
        <f t="shared" si="131"/>
        <v/>
      </c>
      <c r="BJ124" s="321" t="str">
        <f t="shared" si="131"/>
        <v/>
      </c>
      <c r="BK124" s="321" t="str">
        <f t="shared" si="131"/>
        <v/>
      </c>
      <c r="BL124" s="322" t="str">
        <f t="shared" si="131"/>
        <v/>
      </c>
      <c r="BM124" s="296"/>
    </row>
    <row r="125" spans="1:65" x14ac:dyDescent="0.25">
      <c r="A125" s="69"/>
      <c r="B125" s="297">
        <f t="shared" si="120"/>
        <v>2038</v>
      </c>
      <c r="C125" s="269" t="str">
        <f t="shared" si="134"/>
        <v/>
      </c>
      <c r="D125" s="318" t="str">
        <f t="shared" si="133"/>
        <v/>
      </c>
      <c r="E125" s="318" t="str">
        <f t="shared" si="133"/>
        <v/>
      </c>
      <c r="F125" s="318" t="str">
        <f t="shared" si="133"/>
        <v/>
      </c>
      <c r="G125" s="318" t="str">
        <f t="shared" si="133"/>
        <v/>
      </c>
      <c r="H125" s="318" t="str">
        <f t="shared" si="133"/>
        <v/>
      </c>
      <c r="I125" s="318" t="str">
        <f t="shared" si="133"/>
        <v/>
      </c>
      <c r="J125" s="318" t="str">
        <f t="shared" si="133"/>
        <v/>
      </c>
      <c r="K125" s="318" t="str">
        <f t="shared" si="133"/>
        <v/>
      </c>
      <c r="L125" s="318" t="str">
        <f t="shared" si="133"/>
        <v/>
      </c>
      <c r="M125" s="318" t="str">
        <f t="shared" si="132"/>
        <v/>
      </c>
      <c r="N125" s="318" t="str">
        <f t="shared" si="132"/>
        <v/>
      </c>
      <c r="O125" s="318" t="str">
        <f t="shared" si="132"/>
        <v/>
      </c>
      <c r="P125" s="318" t="str">
        <f t="shared" si="132"/>
        <v/>
      </c>
      <c r="Q125" s="318" t="str">
        <f t="shared" si="132"/>
        <v/>
      </c>
      <c r="R125" s="318" t="str">
        <f t="shared" si="132"/>
        <v/>
      </c>
      <c r="S125" s="318" t="str">
        <f t="shared" si="132"/>
        <v/>
      </c>
      <c r="T125" s="318" t="str">
        <f t="shared" si="126"/>
        <v/>
      </c>
      <c r="U125" s="318" t="str">
        <f t="shared" si="135"/>
        <v/>
      </c>
      <c r="V125" s="318" t="str">
        <f t="shared" si="135"/>
        <v/>
      </c>
      <c r="W125" s="318" t="str">
        <f t="shared" si="135"/>
        <v/>
      </c>
      <c r="X125" s="318" t="str">
        <f t="shared" si="135"/>
        <v/>
      </c>
      <c r="Y125" s="318" t="str">
        <f t="shared" si="135"/>
        <v/>
      </c>
      <c r="Z125" s="318" t="str">
        <f t="shared" si="135"/>
        <v/>
      </c>
      <c r="AA125" s="318" t="str">
        <f t="shared" si="135"/>
        <v/>
      </c>
      <c r="AB125" s="318" t="str">
        <f t="shared" si="135"/>
        <v/>
      </c>
      <c r="AC125" s="318" t="str">
        <f t="shared" si="135"/>
        <v/>
      </c>
      <c r="AD125" s="318" t="str">
        <f t="shared" si="135"/>
        <v/>
      </c>
      <c r="AE125" s="318" t="str">
        <f t="shared" si="129"/>
        <v/>
      </c>
      <c r="AF125" s="318" t="str">
        <f t="shared" si="129"/>
        <v/>
      </c>
      <c r="AG125" s="318" t="str">
        <f t="shared" si="129"/>
        <v/>
      </c>
      <c r="AH125" s="318" t="str">
        <f t="shared" si="129"/>
        <v/>
      </c>
      <c r="AI125" s="318" t="str">
        <f t="shared" si="129"/>
        <v/>
      </c>
      <c r="AJ125" s="318" t="str">
        <f t="shared" si="129"/>
        <v/>
      </c>
      <c r="AK125" s="318" t="str">
        <f t="shared" si="129"/>
        <v/>
      </c>
      <c r="AL125" s="318" t="str">
        <f t="shared" si="129"/>
        <v/>
      </c>
      <c r="AM125" s="318">
        <f t="shared" si="129"/>
        <v>2.4987804805501002E-2</v>
      </c>
      <c r="AN125" s="318">
        <f t="shared" si="129"/>
        <v>5.0599999999999999E-2</v>
      </c>
      <c r="AO125" s="318">
        <f t="shared" si="130"/>
        <v>5.0599999999999999E-2</v>
      </c>
      <c r="AP125" s="318">
        <f t="shared" si="130"/>
        <v>5.0599999999999999E-2</v>
      </c>
      <c r="AQ125" s="318">
        <f t="shared" si="130"/>
        <v>5.0599999999999999E-2</v>
      </c>
      <c r="AR125" s="318">
        <f t="shared" si="130"/>
        <v>5.0599999999999999E-2</v>
      </c>
      <c r="AS125" s="318">
        <f t="shared" si="130"/>
        <v>5.0599999999999999E-2</v>
      </c>
      <c r="AT125" s="318">
        <f t="shared" si="130"/>
        <v>5.0599999999999999E-2</v>
      </c>
      <c r="AU125" s="318">
        <f t="shared" si="130"/>
        <v>5.0599999999999999E-2</v>
      </c>
      <c r="AV125" s="318">
        <f t="shared" si="130"/>
        <v>5.0599999999999999E-2</v>
      </c>
      <c r="AW125" s="318">
        <f t="shared" si="130"/>
        <v>2.4987804805501002E-2</v>
      </c>
      <c r="AX125" s="318" t="str">
        <f t="shared" si="130"/>
        <v/>
      </c>
      <c r="AY125" s="318" t="str">
        <f t="shared" si="131"/>
        <v/>
      </c>
      <c r="AZ125" s="321" t="str">
        <f t="shared" si="131"/>
        <v/>
      </c>
      <c r="BA125" s="321" t="str">
        <f t="shared" si="131"/>
        <v/>
      </c>
      <c r="BB125" s="321" t="str">
        <f t="shared" si="131"/>
        <v/>
      </c>
      <c r="BC125" s="321" t="str">
        <f t="shared" si="131"/>
        <v/>
      </c>
      <c r="BD125" s="321" t="str">
        <f t="shared" si="131"/>
        <v/>
      </c>
      <c r="BE125" s="321" t="str">
        <f t="shared" si="131"/>
        <v/>
      </c>
      <c r="BF125" s="321" t="str">
        <f t="shared" si="131"/>
        <v/>
      </c>
      <c r="BG125" s="321" t="str">
        <f t="shared" si="131"/>
        <v/>
      </c>
      <c r="BH125" s="321" t="str">
        <f t="shared" si="131"/>
        <v/>
      </c>
      <c r="BI125" s="321" t="str">
        <f t="shared" si="131"/>
        <v/>
      </c>
      <c r="BJ125" s="321" t="str">
        <f t="shared" si="131"/>
        <v/>
      </c>
      <c r="BK125" s="321" t="str">
        <f t="shared" si="131"/>
        <v/>
      </c>
      <c r="BL125" s="322" t="str">
        <f t="shared" si="131"/>
        <v/>
      </c>
      <c r="BM125" s="296"/>
    </row>
    <row r="126" spans="1:65" x14ac:dyDescent="0.25">
      <c r="A126" s="69"/>
      <c r="B126" s="297">
        <f t="shared" si="120"/>
        <v>2039</v>
      </c>
      <c r="C126" s="269" t="str">
        <f t="shared" si="134"/>
        <v/>
      </c>
      <c r="D126" s="318" t="str">
        <f t="shared" si="133"/>
        <v/>
      </c>
      <c r="E126" s="318" t="str">
        <f t="shared" si="133"/>
        <v/>
      </c>
      <c r="F126" s="318" t="str">
        <f t="shared" si="133"/>
        <v/>
      </c>
      <c r="G126" s="318" t="str">
        <f t="shared" si="133"/>
        <v/>
      </c>
      <c r="H126" s="318" t="str">
        <f t="shared" si="133"/>
        <v/>
      </c>
      <c r="I126" s="318" t="str">
        <f t="shared" si="133"/>
        <v/>
      </c>
      <c r="J126" s="318" t="str">
        <f t="shared" si="133"/>
        <v/>
      </c>
      <c r="K126" s="318" t="str">
        <f t="shared" si="133"/>
        <v/>
      </c>
      <c r="L126" s="318" t="str">
        <f t="shared" si="133"/>
        <v/>
      </c>
      <c r="M126" s="318" t="str">
        <f t="shared" si="132"/>
        <v/>
      </c>
      <c r="N126" s="318" t="str">
        <f t="shared" si="132"/>
        <v/>
      </c>
      <c r="O126" s="318" t="str">
        <f t="shared" si="132"/>
        <v/>
      </c>
      <c r="P126" s="318" t="str">
        <f t="shared" si="132"/>
        <v/>
      </c>
      <c r="Q126" s="318" t="str">
        <f t="shared" si="132"/>
        <v/>
      </c>
      <c r="R126" s="318" t="str">
        <f t="shared" si="132"/>
        <v/>
      </c>
      <c r="S126" s="318" t="str">
        <f t="shared" si="132"/>
        <v/>
      </c>
      <c r="T126" s="318" t="str">
        <f t="shared" si="126"/>
        <v/>
      </c>
      <c r="U126" s="318" t="str">
        <f t="shared" si="135"/>
        <v/>
      </c>
      <c r="V126" s="318" t="str">
        <f t="shared" si="135"/>
        <v/>
      </c>
      <c r="W126" s="318" t="str">
        <f t="shared" si="135"/>
        <v/>
      </c>
      <c r="X126" s="318" t="str">
        <f t="shared" si="135"/>
        <v/>
      </c>
      <c r="Y126" s="318" t="str">
        <f t="shared" si="135"/>
        <v/>
      </c>
      <c r="Z126" s="318" t="str">
        <f t="shared" si="135"/>
        <v/>
      </c>
      <c r="AA126" s="318" t="str">
        <f t="shared" si="135"/>
        <v/>
      </c>
      <c r="AB126" s="318" t="str">
        <f t="shared" si="135"/>
        <v/>
      </c>
      <c r="AC126" s="318" t="str">
        <f t="shared" si="135"/>
        <v/>
      </c>
      <c r="AD126" s="318" t="str">
        <f t="shared" si="135"/>
        <v/>
      </c>
      <c r="AE126" s="318" t="str">
        <f t="shared" ref="AE126:AN135" si="136">IF(AND(AE$88-$B126&gt;=1,AE$88-$B126&lt;=9),HLOOKUP($B126,$C$10:$BL$11,2,FALSE),IF(OR(AE$88-$B126=0,AE$88-$B126=10),POWER((HLOOKUP($B126,$C$10:$BL$11,2,FALSE))+1,1/2)-1,""))</f>
        <v/>
      </c>
      <c r="AF126" s="318" t="str">
        <f t="shared" si="136"/>
        <v/>
      </c>
      <c r="AG126" s="318" t="str">
        <f t="shared" si="136"/>
        <v/>
      </c>
      <c r="AH126" s="318" t="str">
        <f t="shared" si="136"/>
        <v/>
      </c>
      <c r="AI126" s="318" t="str">
        <f t="shared" si="136"/>
        <v/>
      </c>
      <c r="AJ126" s="318" t="str">
        <f t="shared" si="136"/>
        <v/>
      </c>
      <c r="AK126" s="318" t="str">
        <f t="shared" si="136"/>
        <v/>
      </c>
      <c r="AL126" s="318" t="str">
        <f t="shared" si="136"/>
        <v/>
      </c>
      <c r="AM126" s="318" t="str">
        <f t="shared" si="136"/>
        <v/>
      </c>
      <c r="AN126" s="318">
        <f t="shared" si="136"/>
        <v>2.4987804805501002E-2</v>
      </c>
      <c r="AO126" s="318">
        <f t="shared" ref="AO126:AX135" si="137">IF(AND(AO$88-$B126&gt;=1,AO$88-$B126&lt;=9),HLOOKUP($B126,$C$10:$BL$11,2,FALSE),IF(OR(AO$88-$B126=0,AO$88-$B126=10),POWER((HLOOKUP($B126,$C$10:$BL$11,2,FALSE))+1,1/2)-1,""))</f>
        <v>5.0599999999999999E-2</v>
      </c>
      <c r="AP126" s="318">
        <f t="shared" si="137"/>
        <v>5.0599999999999999E-2</v>
      </c>
      <c r="AQ126" s="318">
        <f t="shared" si="137"/>
        <v>5.0599999999999999E-2</v>
      </c>
      <c r="AR126" s="318">
        <f t="shared" si="137"/>
        <v>5.0599999999999999E-2</v>
      </c>
      <c r="AS126" s="318">
        <f t="shared" si="137"/>
        <v>5.0599999999999999E-2</v>
      </c>
      <c r="AT126" s="318">
        <f t="shared" si="137"/>
        <v>5.0599999999999999E-2</v>
      </c>
      <c r="AU126" s="318">
        <f t="shared" si="137"/>
        <v>5.0599999999999999E-2</v>
      </c>
      <c r="AV126" s="318">
        <f t="shared" si="137"/>
        <v>5.0599999999999999E-2</v>
      </c>
      <c r="AW126" s="318">
        <f t="shared" si="137"/>
        <v>5.0599999999999999E-2</v>
      </c>
      <c r="AX126" s="318">
        <f t="shared" si="137"/>
        <v>2.4987804805501002E-2</v>
      </c>
      <c r="AY126" s="318" t="str">
        <f t="shared" ref="AY126:BL135" si="138">IF(AND(AY$88-$B126&gt;=1,AY$88-$B126&lt;=9),HLOOKUP($B126,$C$10:$BL$11,2,FALSE),IF(OR(AY$88-$B126=0,AY$88-$B126=10),POWER((HLOOKUP($B126,$C$10:$BL$11,2,FALSE))+1,1/2)-1,""))</f>
        <v/>
      </c>
      <c r="AZ126" s="321" t="str">
        <f t="shared" si="138"/>
        <v/>
      </c>
      <c r="BA126" s="321" t="str">
        <f t="shared" si="138"/>
        <v/>
      </c>
      <c r="BB126" s="321" t="str">
        <f t="shared" si="138"/>
        <v/>
      </c>
      <c r="BC126" s="321" t="str">
        <f t="shared" si="138"/>
        <v/>
      </c>
      <c r="BD126" s="321" t="str">
        <f t="shared" si="138"/>
        <v/>
      </c>
      <c r="BE126" s="321" t="str">
        <f t="shared" si="138"/>
        <v/>
      </c>
      <c r="BF126" s="321" t="str">
        <f t="shared" si="138"/>
        <v/>
      </c>
      <c r="BG126" s="321" t="str">
        <f t="shared" si="138"/>
        <v/>
      </c>
      <c r="BH126" s="321" t="str">
        <f t="shared" si="138"/>
        <v/>
      </c>
      <c r="BI126" s="321" t="str">
        <f t="shared" si="138"/>
        <v/>
      </c>
      <c r="BJ126" s="321" t="str">
        <f t="shared" si="138"/>
        <v/>
      </c>
      <c r="BK126" s="321" t="str">
        <f t="shared" si="138"/>
        <v/>
      </c>
      <c r="BL126" s="322" t="str">
        <f t="shared" si="138"/>
        <v/>
      </c>
      <c r="BM126" s="296"/>
    </row>
    <row r="127" spans="1:65" x14ac:dyDescent="0.25">
      <c r="A127" s="69"/>
      <c r="B127" s="297">
        <f t="shared" si="120"/>
        <v>2040</v>
      </c>
      <c r="C127" s="269" t="str">
        <f t="shared" si="134"/>
        <v/>
      </c>
      <c r="D127" s="318" t="str">
        <f t="shared" si="133"/>
        <v/>
      </c>
      <c r="E127" s="318" t="str">
        <f t="shared" si="133"/>
        <v/>
      </c>
      <c r="F127" s="318" t="str">
        <f t="shared" si="133"/>
        <v/>
      </c>
      <c r="G127" s="318" t="str">
        <f t="shared" si="133"/>
        <v/>
      </c>
      <c r="H127" s="318" t="str">
        <f t="shared" si="133"/>
        <v/>
      </c>
      <c r="I127" s="318" t="str">
        <f t="shared" si="133"/>
        <v/>
      </c>
      <c r="J127" s="318" t="str">
        <f t="shared" si="133"/>
        <v/>
      </c>
      <c r="K127" s="318" t="str">
        <f t="shared" si="133"/>
        <v/>
      </c>
      <c r="L127" s="318" t="str">
        <f t="shared" si="133"/>
        <v/>
      </c>
      <c r="M127" s="318" t="str">
        <f t="shared" ref="M127:S136" si="139">IF(AND(M$88-$B127&gt;=1,M$88-$B127&lt;=9),HLOOKUP($B127,$C$10:$BL$11,2,FALSE),IF(OR(M$88-$B127=0,M$88-$B127=10),(HLOOKUP($B127,$C$10:$BL$11,2,FALSE))/2,""))</f>
        <v/>
      </c>
      <c r="N127" s="318" t="str">
        <f t="shared" si="139"/>
        <v/>
      </c>
      <c r="O127" s="318" t="str">
        <f t="shared" si="139"/>
        <v/>
      </c>
      <c r="P127" s="318" t="str">
        <f t="shared" si="139"/>
        <v/>
      </c>
      <c r="Q127" s="318" t="str">
        <f t="shared" si="139"/>
        <v/>
      </c>
      <c r="R127" s="318" t="str">
        <f t="shared" si="139"/>
        <v/>
      </c>
      <c r="S127" s="318" t="str">
        <f t="shared" si="139"/>
        <v/>
      </c>
      <c r="T127" s="318" t="str">
        <f t="shared" si="126"/>
        <v/>
      </c>
      <c r="U127" s="318" t="str">
        <f t="shared" si="135"/>
        <v/>
      </c>
      <c r="V127" s="318" t="str">
        <f t="shared" si="135"/>
        <v/>
      </c>
      <c r="W127" s="318" t="str">
        <f t="shared" si="135"/>
        <v/>
      </c>
      <c r="X127" s="318" t="str">
        <f t="shared" si="135"/>
        <v/>
      </c>
      <c r="Y127" s="318" t="str">
        <f t="shared" si="135"/>
        <v/>
      </c>
      <c r="Z127" s="318" t="str">
        <f t="shared" si="135"/>
        <v/>
      </c>
      <c r="AA127" s="318" t="str">
        <f t="shared" si="135"/>
        <v/>
      </c>
      <c r="AB127" s="318" t="str">
        <f t="shared" si="135"/>
        <v/>
      </c>
      <c r="AC127" s="318" t="str">
        <f t="shared" si="135"/>
        <v/>
      </c>
      <c r="AD127" s="318" t="str">
        <f t="shared" si="135"/>
        <v/>
      </c>
      <c r="AE127" s="318" t="str">
        <f t="shared" si="136"/>
        <v/>
      </c>
      <c r="AF127" s="318" t="str">
        <f t="shared" si="136"/>
        <v/>
      </c>
      <c r="AG127" s="318" t="str">
        <f t="shared" si="136"/>
        <v/>
      </c>
      <c r="AH127" s="318" t="str">
        <f t="shared" si="136"/>
        <v/>
      </c>
      <c r="AI127" s="318" t="str">
        <f t="shared" si="136"/>
        <v/>
      </c>
      <c r="AJ127" s="318" t="str">
        <f t="shared" si="136"/>
        <v/>
      </c>
      <c r="AK127" s="318" t="str">
        <f t="shared" si="136"/>
        <v/>
      </c>
      <c r="AL127" s="318" t="str">
        <f t="shared" si="136"/>
        <v/>
      </c>
      <c r="AM127" s="318" t="str">
        <f t="shared" si="136"/>
        <v/>
      </c>
      <c r="AN127" s="318" t="str">
        <f t="shared" si="136"/>
        <v/>
      </c>
      <c r="AO127" s="318">
        <f t="shared" si="137"/>
        <v>2.4987804805501002E-2</v>
      </c>
      <c r="AP127" s="318">
        <f t="shared" si="137"/>
        <v>5.0599999999999999E-2</v>
      </c>
      <c r="AQ127" s="318">
        <f t="shared" si="137"/>
        <v>5.0599999999999999E-2</v>
      </c>
      <c r="AR127" s="318">
        <f t="shared" si="137"/>
        <v>5.0599999999999999E-2</v>
      </c>
      <c r="AS127" s="318">
        <f t="shared" si="137"/>
        <v>5.0599999999999999E-2</v>
      </c>
      <c r="AT127" s="318">
        <f t="shared" si="137"/>
        <v>5.0599999999999999E-2</v>
      </c>
      <c r="AU127" s="318">
        <f t="shared" si="137"/>
        <v>5.0599999999999999E-2</v>
      </c>
      <c r="AV127" s="318">
        <f t="shared" si="137"/>
        <v>5.0599999999999999E-2</v>
      </c>
      <c r="AW127" s="318">
        <f t="shared" si="137"/>
        <v>5.0599999999999999E-2</v>
      </c>
      <c r="AX127" s="318">
        <f t="shared" si="137"/>
        <v>5.0599999999999999E-2</v>
      </c>
      <c r="AY127" s="318">
        <f t="shared" si="138"/>
        <v>2.4987804805501002E-2</v>
      </c>
      <c r="AZ127" s="321" t="str">
        <f t="shared" si="138"/>
        <v/>
      </c>
      <c r="BA127" s="321" t="str">
        <f t="shared" si="138"/>
        <v/>
      </c>
      <c r="BB127" s="321" t="str">
        <f t="shared" si="138"/>
        <v/>
      </c>
      <c r="BC127" s="321" t="str">
        <f t="shared" si="138"/>
        <v/>
      </c>
      <c r="BD127" s="321" t="str">
        <f t="shared" si="138"/>
        <v/>
      </c>
      <c r="BE127" s="321" t="str">
        <f t="shared" si="138"/>
        <v/>
      </c>
      <c r="BF127" s="321" t="str">
        <f t="shared" si="138"/>
        <v/>
      </c>
      <c r="BG127" s="321" t="str">
        <f t="shared" si="138"/>
        <v/>
      </c>
      <c r="BH127" s="321" t="str">
        <f t="shared" si="138"/>
        <v/>
      </c>
      <c r="BI127" s="321" t="str">
        <f t="shared" si="138"/>
        <v/>
      </c>
      <c r="BJ127" s="321" t="str">
        <f t="shared" si="138"/>
        <v/>
      </c>
      <c r="BK127" s="321" t="str">
        <f t="shared" si="138"/>
        <v/>
      </c>
      <c r="BL127" s="322" t="str">
        <f t="shared" si="138"/>
        <v/>
      </c>
      <c r="BM127" s="296"/>
    </row>
    <row r="128" spans="1:65" x14ac:dyDescent="0.25">
      <c r="A128" s="69"/>
      <c r="B128" s="297">
        <f t="shared" si="120"/>
        <v>2041</v>
      </c>
      <c r="C128" s="269" t="str">
        <f t="shared" si="134"/>
        <v/>
      </c>
      <c r="D128" s="318" t="str">
        <f t="shared" si="133"/>
        <v/>
      </c>
      <c r="E128" s="318" t="str">
        <f t="shared" si="133"/>
        <v/>
      </c>
      <c r="F128" s="318" t="str">
        <f t="shared" si="133"/>
        <v/>
      </c>
      <c r="G128" s="318" t="str">
        <f t="shared" si="133"/>
        <v/>
      </c>
      <c r="H128" s="318" t="str">
        <f t="shared" si="133"/>
        <v/>
      </c>
      <c r="I128" s="318" t="str">
        <f t="shared" si="133"/>
        <v/>
      </c>
      <c r="J128" s="318" t="str">
        <f t="shared" si="133"/>
        <v/>
      </c>
      <c r="K128" s="318" t="str">
        <f t="shared" si="133"/>
        <v/>
      </c>
      <c r="L128" s="318" t="str">
        <f t="shared" si="133"/>
        <v/>
      </c>
      <c r="M128" s="318" t="str">
        <f t="shared" si="139"/>
        <v/>
      </c>
      <c r="N128" s="318" t="str">
        <f t="shared" si="139"/>
        <v/>
      </c>
      <c r="O128" s="318" t="str">
        <f t="shared" si="139"/>
        <v/>
      </c>
      <c r="P128" s="318" t="str">
        <f t="shared" si="139"/>
        <v/>
      </c>
      <c r="Q128" s="318" t="str">
        <f t="shared" si="139"/>
        <v/>
      </c>
      <c r="R128" s="318" t="str">
        <f t="shared" si="139"/>
        <v/>
      </c>
      <c r="S128" s="318" t="str">
        <f t="shared" si="139"/>
        <v/>
      </c>
      <c r="T128" s="318" t="str">
        <f t="shared" si="126"/>
        <v/>
      </c>
      <c r="U128" s="318" t="str">
        <f t="shared" si="135"/>
        <v/>
      </c>
      <c r="V128" s="318" t="str">
        <f t="shared" si="135"/>
        <v/>
      </c>
      <c r="W128" s="318" t="str">
        <f t="shared" si="135"/>
        <v/>
      </c>
      <c r="X128" s="318" t="str">
        <f t="shared" si="135"/>
        <v/>
      </c>
      <c r="Y128" s="318" t="str">
        <f t="shared" si="135"/>
        <v/>
      </c>
      <c r="Z128" s="318" t="str">
        <f t="shared" si="135"/>
        <v/>
      </c>
      <c r="AA128" s="318" t="str">
        <f t="shared" si="135"/>
        <v/>
      </c>
      <c r="AB128" s="318" t="str">
        <f t="shared" si="135"/>
        <v/>
      </c>
      <c r="AC128" s="318" t="str">
        <f t="shared" si="135"/>
        <v/>
      </c>
      <c r="AD128" s="318" t="str">
        <f t="shared" si="135"/>
        <v/>
      </c>
      <c r="AE128" s="318" t="str">
        <f t="shared" si="136"/>
        <v/>
      </c>
      <c r="AF128" s="318" t="str">
        <f t="shared" si="136"/>
        <v/>
      </c>
      <c r="AG128" s="318" t="str">
        <f t="shared" si="136"/>
        <v/>
      </c>
      <c r="AH128" s="318" t="str">
        <f t="shared" si="136"/>
        <v/>
      </c>
      <c r="AI128" s="318" t="str">
        <f t="shared" si="136"/>
        <v/>
      </c>
      <c r="AJ128" s="318" t="str">
        <f t="shared" si="136"/>
        <v/>
      </c>
      <c r="AK128" s="318" t="str">
        <f t="shared" si="136"/>
        <v/>
      </c>
      <c r="AL128" s="318" t="str">
        <f t="shared" si="136"/>
        <v/>
      </c>
      <c r="AM128" s="318" t="str">
        <f t="shared" si="136"/>
        <v/>
      </c>
      <c r="AN128" s="318" t="str">
        <f t="shared" si="136"/>
        <v/>
      </c>
      <c r="AO128" s="318" t="str">
        <f t="shared" si="137"/>
        <v/>
      </c>
      <c r="AP128" s="318">
        <f t="shared" si="137"/>
        <v>2.4987804805501002E-2</v>
      </c>
      <c r="AQ128" s="318">
        <f t="shared" si="137"/>
        <v>5.0599999999999999E-2</v>
      </c>
      <c r="AR128" s="318">
        <f t="shared" si="137"/>
        <v>5.0599999999999999E-2</v>
      </c>
      <c r="AS128" s="318">
        <f t="shared" si="137"/>
        <v>5.0599999999999999E-2</v>
      </c>
      <c r="AT128" s="318">
        <f t="shared" si="137"/>
        <v>5.0599999999999999E-2</v>
      </c>
      <c r="AU128" s="318">
        <f t="shared" si="137"/>
        <v>5.0599999999999999E-2</v>
      </c>
      <c r="AV128" s="318">
        <f t="shared" si="137"/>
        <v>5.0599999999999999E-2</v>
      </c>
      <c r="AW128" s="318">
        <f t="shared" si="137"/>
        <v>5.0599999999999999E-2</v>
      </c>
      <c r="AX128" s="318">
        <f t="shared" si="137"/>
        <v>5.0599999999999999E-2</v>
      </c>
      <c r="AY128" s="318">
        <f t="shared" si="138"/>
        <v>5.0599999999999999E-2</v>
      </c>
      <c r="AZ128" s="321">
        <f t="shared" si="138"/>
        <v>2.4987804805501002E-2</v>
      </c>
      <c r="BA128" s="321" t="str">
        <f t="shared" si="138"/>
        <v/>
      </c>
      <c r="BB128" s="321" t="str">
        <f t="shared" si="138"/>
        <v/>
      </c>
      <c r="BC128" s="321" t="str">
        <f t="shared" si="138"/>
        <v/>
      </c>
      <c r="BD128" s="321" t="str">
        <f t="shared" si="138"/>
        <v/>
      </c>
      <c r="BE128" s="321" t="str">
        <f t="shared" si="138"/>
        <v/>
      </c>
      <c r="BF128" s="321" t="str">
        <f t="shared" si="138"/>
        <v/>
      </c>
      <c r="BG128" s="321" t="str">
        <f t="shared" si="138"/>
        <v/>
      </c>
      <c r="BH128" s="321" t="str">
        <f t="shared" si="138"/>
        <v/>
      </c>
      <c r="BI128" s="321" t="str">
        <f t="shared" si="138"/>
        <v/>
      </c>
      <c r="BJ128" s="321" t="str">
        <f t="shared" si="138"/>
        <v/>
      </c>
      <c r="BK128" s="321" t="str">
        <f t="shared" si="138"/>
        <v/>
      </c>
      <c r="BL128" s="322" t="str">
        <f t="shared" si="138"/>
        <v/>
      </c>
      <c r="BM128" s="296"/>
    </row>
    <row r="129" spans="1:65" x14ac:dyDescent="0.25">
      <c r="A129" s="69"/>
      <c r="B129" s="297">
        <f t="shared" si="120"/>
        <v>2042</v>
      </c>
      <c r="C129" s="269" t="str">
        <f t="shared" si="134"/>
        <v/>
      </c>
      <c r="D129" s="318" t="str">
        <f t="shared" si="133"/>
        <v/>
      </c>
      <c r="E129" s="318" t="str">
        <f t="shared" si="133"/>
        <v/>
      </c>
      <c r="F129" s="318" t="str">
        <f t="shared" si="133"/>
        <v/>
      </c>
      <c r="G129" s="318" t="str">
        <f t="shared" si="133"/>
        <v/>
      </c>
      <c r="H129" s="318" t="str">
        <f t="shared" si="133"/>
        <v/>
      </c>
      <c r="I129" s="318" t="str">
        <f t="shared" si="133"/>
        <v/>
      </c>
      <c r="J129" s="318" t="str">
        <f t="shared" si="133"/>
        <v/>
      </c>
      <c r="K129" s="318" t="str">
        <f t="shared" si="133"/>
        <v/>
      </c>
      <c r="L129" s="318" t="str">
        <f t="shared" si="133"/>
        <v/>
      </c>
      <c r="M129" s="318" t="str">
        <f t="shared" si="139"/>
        <v/>
      </c>
      <c r="N129" s="318" t="str">
        <f t="shared" si="139"/>
        <v/>
      </c>
      <c r="O129" s="318" t="str">
        <f t="shared" si="139"/>
        <v/>
      </c>
      <c r="P129" s="318" t="str">
        <f t="shared" si="139"/>
        <v/>
      </c>
      <c r="Q129" s="318" t="str">
        <f t="shared" si="139"/>
        <v/>
      </c>
      <c r="R129" s="318" t="str">
        <f t="shared" si="139"/>
        <v/>
      </c>
      <c r="S129" s="318" t="str">
        <f t="shared" si="139"/>
        <v/>
      </c>
      <c r="T129" s="318" t="str">
        <f t="shared" si="126"/>
        <v/>
      </c>
      <c r="U129" s="318" t="str">
        <f t="shared" si="135"/>
        <v/>
      </c>
      <c r="V129" s="318" t="str">
        <f t="shared" si="135"/>
        <v/>
      </c>
      <c r="W129" s="318" t="str">
        <f t="shared" si="135"/>
        <v/>
      </c>
      <c r="X129" s="318" t="str">
        <f t="shared" si="135"/>
        <v/>
      </c>
      <c r="Y129" s="318" t="str">
        <f t="shared" si="135"/>
        <v/>
      </c>
      <c r="Z129" s="318" t="str">
        <f t="shared" si="135"/>
        <v/>
      </c>
      <c r="AA129" s="318" t="str">
        <f t="shared" si="135"/>
        <v/>
      </c>
      <c r="AB129" s="318" t="str">
        <f t="shared" si="135"/>
        <v/>
      </c>
      <c r="AC129" s="318" t="str">
        <f t="shared" si="135"/>
        <v/>
      </c>
      <c r="AD129" s="318" t="str">
        <f t="shared" si="135"/>
        <v/>
      </c>
      <c r="AE129" s="318" t="str">
        <f t="shared" si="136"/>
        <v/>
      </c>
      <c r="AF129" s="318" t="str">
        <f t="shared" si="136"/>
        <v/>
      </c>
      <c r="AG129" s="318" t="str">
        <f t="shared" si="136"/>
        <v/>
      </c>
      <c r="AH129" s="318" t="str">
        <f t="shared" si="136"/>
        <v/>
      </c>
      <c r="AI129" s="318" t="str">
        <f t="shared" si="136"/>
        <v/>
      </c>
      <c r="AJ129" s="318" t="str">
        <f t="shared" si="136"/>
        <v/>
      </c>
      <c r="AK129" s="318" t="str">
        <f t="shared" si="136"/>
        <v/>
      </c>
      <c r="AL129" s="318" t="str">
        <f t="shared" si="136"/>
        <v/>
      </c>
      <c r="AM129" s="318" t="str">
        <f t="shared" si="136"/>
        <v/>
      </c>
      <c r="AN129" s="318" t="str">
        <f t="shared" si="136"/>
        <v/>
      </c>
      <c r="AO129" s="318" t="str">
        <f t="shared" si="137"/>
        <v/>
      </c>
      <c r="AP129" s="318" t="str">
        <f t="shared" si="137"/>
        <v/>
      </c>
      <c r="AQ129" s="318">
        <f t="shared" si="137"/>
        <v>2.4987804805501002E-2</v>
      </c>
      <c r="AR129" s="318">
        <f t="shared" si="137"/>
        <v>5.0599999999999999E-2</v>
      </c>
      <c r="AS129" s="318">
        <f t="shared" si="137"/>
        <v>5.0599999999999999E-2</v>
      </c>
      <c r="AT129" s="318">
        <f t="shared" si="137"/>
        <v>5.0599999999999999E-2</v>
      </c>
      <c r="AU129" s="318">
        <f t="shared" si="137"/>
        <v>5.0599999999999999E-2</v>
      </c>
      <c r="AV129" s="318">
        <f t="shared" si="137"/>
        <v>5.0599999999999999E-2</v>
      </c>
      <c r="AW129" s="318">
        <f t="shared" si="137"/>
        <v>5.0599999999999999E-2</v>
      </c>
      <c r="AX129" s="318">
        <f t="shared" si="137"/>
        <v>5.0599999999999999E-2</v>
      </c>
      <c r="AY129" s="318">
        <f t="shared" si="138"/>
        <v>5.0599999999999999E-2</v>
      </c>
      <c r="AZ129" s="321">
        <f t="shared" si="138"/>
        <v>5.0599999999999999E-2</v>
      </c>
      <c r="BA129" s="321">
        <f t="shared" si="138"/>
        <v>2.4987804805501002E-2</v>
      </c>
      <c r="BB129" s="321" t="str">
        <f t="shared" si="138"/>
        <v/>
      </c>
      <c r="BC129" s="321" t="str">
        <f t="shared" si="138"/>
        <v/>
      </c>
      <c r="BD129" s="321" t="str">
        <f t="shared" si="138"/>
        <v/>
      </c>
      <c r="BE129" s="321" t="str">
        <f t="shared" si="138"/>
        <v/>
      </c>
      <c r="BF129" s="321" t="str">
        <f t="shared" si="138"/>
        <v/>
      </c>
      <c r="BG129" s="321" t="str">
        <f t="shared" si="138"/>
        <v/>
      </c>
      <c r="BH129" s="321" t="str">
        <f t="shared" si="138"/>
        <v/>
      </c>
      <c r="BI129" s="321" t="str">
        <f t="shared" si="138"/>
        <v/>
      </c>
      <c r="BJ129" s="321" t="str">
        <f t="shared" si="138"/>
        <v/>
      </c>
      <c r="BK129" s="321" t="str">
        <f t="shared" si="138"/>
        <v/>
      </c>
      <c r="BL129" s="322" t="str">
        <f t="shared" si="138"/>
        <v/>
      </c>
      <c r="BM129" s="296"/>
    </row>
    <row r="130" spans="1:65" x14ac:dyDescent="0.25">
      <c r="A130" s="69"/>
      <c r="B130" s="297">
        <f t="shared" si="120"/>
        <v>2043</v>
      </c>
      <c r="C130" s="269" t="str">
        <f t="shared" si="134"/>
        <v/>
      </c>
      <c r="D130" s="318" t="str">
        <f t="shared" ref="D130:L139" si="140">IF(AND(D$88-$B130&gt;=1,D$88-$B130&lt;=9),HLOOKUP($B130,$C$10:$BL$11,2,FALSE),IF(OR(D$88-$B130=0,D$88-$B130=10),(HLOOKUP($B130,$C$10:$BL$11,2,FALSE))/2,""))</f>
        <v/>
      </c>
      <c r="E130" s="318" t="str">
        <f t="shared" si="140"/>
        <v/>
      </c>
      <c r="F130" s="318" t="str">
        <f t="shared" si="140"/>
        <v/>
      </c>
      <c r="G130" s="318" t="str">
        <f t="shared" si="140"/>
        <v/>
      </c>
      <c r="H130" s="318" t="str">
        <f t="shared" si="140"/>
        <v/>
      </c>
      <c r="I130" s="318" t="str">
        <f t="shared" si="140"/>
        <v/>
      </c>
      <c r="J130" s="318" t="str">
        <f t="shared" si="140"/>
        <v/>
      </c>
      <c r="K130" s="318" t="str">
        <f t="shared" si="140"/>
        <v/>
      </c>
      <c r="L130" s="318" t="str">
        <f t="shared" si="140"/>
        <v/>
      </c>
      <c r="M130" s="318" t="str">
        <f t="shared" si="139"/>
        <v/>
      </c>
      <c r="N130" s="318" t="str">
        <f t="shared" si="139"/>
        <v/>
      </c>
      <c r="O130" s="318" t="str">
        <f t="shared" si="139"/>
        <v/>
      </c>
      <c r="P130" s="318" t="str">
        <f t="shared" si="139"/>
        <v/>
      </c>
      <c r="Q130" s="318" t="str">
        <f t="shared" si="139"/>
        <v/>
      </c>
      <c r="R130" s="318" t="str">
        <f t="shared" si="139"/>
        <v/>
      </c>
      <c r="S130" s="318" t="str">
        <f t="shared" si="139"/>
        <v/>
      </c>
      <c r="T130" s="318" t="str">
        <f t="shared" si="126"/>
        <v/>
      </c>
      <c r="U130" s="318" t="str">
        <f t="shared" si="135"/>
        <v/>
      </c>
      <c r="V130" s="318" t="str">
        <f t="shared" si="135"/>
        <v/>
      </c>
      <c r="W130" s="318" t="str">
        <f t="shared" si="135"/>
        <v/>
      </c>
      <c r="X130" s="318" t="str">
        <f t="shared" si="135"/>
        <v/>
      </c>
      <c r="Y130" s="318" t="str">
        <f t="shared" si="135"/>
        <v/>
      </c>
      <c r="Z130" s="318" t="str">
        <f t="shared" si="135"/>
        <v/>
      </c>
      <c r="AA130" s="318" t="str">
        <f t="shared" si="135"/>
        <v/>
      </c>
      <c r="AB130" s="318" t="str">
        <f t="shared" si="135"/>
        <v/>
      </c>
      <c r="AC130" s="318" t="str">
        <f t="shared" si="135"/>
        <v/>
      </c>
      <c r="AD130" s="318" t="str">
        <f t="shared" si="135"/>
        <v/>
      </c>
      <c r="AE130" s="318" t="str">
        <f t="shared" si="136"/>
        <v/>
      </c>
      <c r="AF130" s="318" t="str">
        <f t="shared" si="136"/>
        <v/>
      </c>
      <c r="AG130" s="318" t="str">
        <f t="shared" si="136"/>
        <v/>
      </c>
      <c r="AH130" s="318" t="str">
        <f t="shared" si="136"/>
        <v/>
      </c>
      <c r="AI130" s="318" t="str">
        <f t="shared" si="136"/>
        <v/>
      </c>
      <c r="AJ130" s="318" t="str">
        <f t="shared" si="136"/>
        <v/>
      </c>
      <c r="AK130" s="318" t="str">
        <f t="shared" si="136"/>
        <v/>
      </c>
      <c r="AL130" s="318" t="str">
        <f t="shared" si="136"/>
        <v/>
      </c>
      <c r="AM130" s="318" t="str">
        <f t="shared" si="136"/>
        <v/>
      </c>
      <c r="AN130" s="318" t="str">
        <f t="shared" si="136"/>
        <v/>
      </c>
      <c r="AO130" s="318" t="str">
        <f t="shared" si="137"/>
        <v/>
      </c>
      <c r="AP130" s="318" t="str">
        <f t="shared" si="137"/>
        <v/>
      </c>
      <c r="AQ130" s="318" t="str">
        <f t="shared" si="137"/>
        <v/>
      </c>
      <c r="AR130" s="318">
        <f t="shared" si="137"/>
        <v>2.4987804805501002E-2</v>
      </c>
      <c r="AS130" s="318">
        <f t="shared" si="137"/>
        <v>5.0599999999999999E-2</v>
      </c>
      <c r="AT130" s="318">
        <f t="shared" si="137"/>
        <v>5.0599999999999999E-2</v>
      </c>
      <c r="AU130" s="318">
        <f t="shared" si="137"/>
        <v>5.0599999999999999E-2</v>
      </c>
      <c r="AV130" s="318">
        <f t="shared" si="137"/>
        <v>5.0599999999999999E-2</v>
      </c>
      <c r="AW130" s="318">
        <f t="shared" si="137"/>
        <v>5.0599999999999999E-2</v>
      </c>
      <c r="AX130" s="318">
        <f t="shared" si="137"/>
        <v>5.0599999999999999E-2</v>
      </c>
      <c r="AY130" s="318">
        <f t="shared" si="138"/>
        <v>5.0599999999999999E-2</v>
      </c>
      <c r="AZ130" s="321">
        <f t="shared" si="138"/>
        <v>5.0599999999999999E-2</v>
      </c>
      <c r="BA130" s="321">
        <f t="shared" si="138"/>
        <v>5.0599999999999999E-2</v>
      </c>
      <c r="BB130" s="321">
        <f t="shared" si="138"/>
        <v>2.4987804805501002E-2</v>
      </c>
      <c r="BC130" s="321" t="str">
        <f t="shared" si="138"/>
        <v/>
      </c>
      <c r="BD130" s="321" t="str">
        <f t="shared" si="138"/>
        <v/>
      </c>
      <c r="BE130" s="321" t="str">
        <f t="shared" si="138"/>
        <v/>
      </c>
      <c r="BF130" s="321" t="str">
        <f t="shared" si="138"/>
        <v/>
      </c>
      <c r="BG130" s="321" t="str">
        <f t="shared" si="138"/>
        <v/>
      </c>
      <c r="BH130" s="321" t="str">
        <f t="shared" si="138"/>
        <v/>
      </c>
      <c r="BI130" s="321" t="str">
        <f t="shared" si="138"/>
        <v/>
      </c>
      <c r="BJ130" s="321" t="str">
        <f t="shared" si="138"/>
        <v/>
      </c>
      <c r="BK130" s="321" t="str">
        <f t="shared" si="138"/>
        <v/>
      </c>
      <c r="BL130" s="322" t="str">
        <f t="shared" si="138"/>
        <v/>
      </c>
      <c r="BM130" s="296"/>
    </row>
    <row r="131" spans="1:65" x14ac:dyDescent="0.25">
      <c r="A131" s="69"/>
      <c r="B131" s="297">
        <f t="shared" si="120"/>
        <v>2044</v>
      </c>
      <c r="C131" s="269" t="str">
        <f t="shared" si="134"/>
        <v/>
      </c>
      <c r="D131" s="318" t="str">
        <f t="shared" si="140"/>
        <v/>
      </c>
      <c r="E131" s="318" t="str">
        <f t="shared" si="140"/>
        <v/>
      </c>
      <c r="F131" s="318" t="str">
        <f t="shared" si="140"/>
        <v/>
      </c>
      <c r="G131" s="318" t="str">
        <f t="shared" si="140"/>
        <v/>
      </c>
      <c r="H131" s="318" t="str">
        <f t="shared" si="140"/>
        <v/>
      </c>
      <c r="I131" s="318" t="str">
        <f t="shared" si="140"/>
        <v/>
      </c>
      <c r="J131" s="318" t="str">
        <f t="shared" si="140"/>
        <v/>
      </c>
      <c r="K131" s="318" t="str">
        <f t="shared" si="140"/>
        <v/>
      </c>
      <c r="L131" s="318" t="str">
        <f t="shared" si="140"/>
        <v/>
      </c>
      <c r="M131" s="318" t="str">
        <f t="shared" si="139"/>
        <v/>
      </c>
      <c r="N131" s="318" t="str">
        <f t="shared" si="139"/>
        <v/>
      </c>
      <c r="O131" s="318" t="str">
        <f t="shared" si="139"/>
        <v/>
      </c>
      <c r="P131" s="318" t="str">
        <f t="shared" si="139"/>
        <v/>
      </c>
      <c r="Q131" s="318" t="str">
        <f t="shared" si="139"/>
        <v/>
      </c>
      <c r="R131" s="318" t="str">
        <f t="shared" si="139"/>
        <v/>
      </c>
      <c r="S131" s="318" t="str">
        <f t="shared" si="139"/>
        <v/>
      </c>
      <c r="T131" s="318" t="str">
        <f t="shared" si="126"/>
        <v/>
      </c>
      <c r="U131" s="318" t="str">
        <f t="shared" si="135"/>
        <v/>
      </c>
      <c r="V131" s="318" t="str">
        <f t="shared" si="135"/>
        <v/>
      </c>
      <c r="W131" s="318" t="str">
        <f t="shared" si="135"/>
        <v/>
      </c>
      <c r="X131" s="318" t="str">
        <f t="shared" si="135"/>
        <v/>
      </c>
      <c r="Y131" s="318" t="str">
        <f t="shared" si="135"/>
        <v/>
      </c>
      <c r="Z131" s="318" t="str">
        <f t="shared" si="135"/>
        <v/>
      </c>
      <c r="AA131" s="318" t="str">
        <f t="shared" si="135"/>
        <v/>
      </c>
      <c r="AB131" s="318" t="str">
        <f t="shared" si="135"/>
        <v/>
      </c>
      <c r="AC131" s="318" t="str">
        <f t="shared" si="135"/>
        <v/>
      </c>
      <c r="AD131" s="318" t="str">
        <f t="shared" si="135"/>
        <v/>
      </c>
      <c r="AE131" s="318" t="str">
        <f t="shared" si="136"/>
        <v/>
      </c>
      <c r="AF131" s="318" t="str">
        <f t="shared" si="136"/>
        <v/>
      </c>
      <c r="AG131" s="318" t="str">
        <f t="shared" si="136"/>
        <v/>
      </c>
      <c r="AH131" s="318" t="str">
        <f t="shared" si="136"/>
        <v/>
      </c>
      <c r="AI131" s="318" t="str">
        <f t="shared" si="136"/>
        <v/>
      </c>
      <c r="AJ131" s="318" t="str">
        <f t="shared" si="136"/>
        <v/>
      </c>
      <c r="AK131" s="318" t="str">
        <f t="shared" si="136"/>
        <v/>
      </c>
      <c r="AL131" s="318" t="str">
        <f t="shared" si="136"/>
        <v/>
      </c>
      <c r="AM131" s="318" t="str">
        <f t="shared" si="136"/>
        <v/>
      </c>
      <c r="AN131" s="318" t="str">
        <f t="shared" si="136"/>
        <v/>
      </c>
      <c r="AO131" s="318" t="str">
        <f t="shared" si="137"/>
        <v/>
      </c>
      <c r="AP131" s="318" t="str">
        <f t="shared" si="137"/>
        <v/>
      </c>
      <c r="AQ131" s="318" t="str">
        <f t="shared" si="137"/>
        <v/>
      </c>
      <c r="AR131" s="318" t="str">
        <f t="shared" si="137"/>
        <v/>
      </c>
      <c r="AS131" s="318">
        <f t="shared" si="137"/>
        <v>2.4987804805501002E-2</v>
      </c>
      <c r="AT131" s="318">
        <f t="shared" si="137"/>
        <v>5.0599999999999999E-2</v>
      </c>
      <c r="AU131" s="318">
        <f t="shared" si="137"/>
        <v>5.0599999999999999E-2</v>
      </c>
      <c r="AV131" s="318">
        <f t="shared" si="137"/>
        <v>5.0599999999999999E-2</v>
      </c>
      <c r="AW131" s="318">
        <f t="shared" si="137"/>
        <v>5.0599999999999999E-2</v>
      </c>
      <c r="AX131" s="318">
        <f t="shared" si="137"/>
        <v>5.0599999999999999E-2</v>
      </c>
      <c r="AY131" s="318">
        <f t="shared" si="138"/>
        <v>5.0599999999999999E-2</v>
      </c>
      <c r="AZ131" s="321">
        <f t="shared" si="138"/>
        <v>5.0599999999999999E-2</v>
      </c>
      <c r="BA131" s="321">
        <f t="shared" si="138"/>
        <v>5.0599999999999999E-2</v>
      </c>
      <c r="BB131" s="321">
        <f t="shared" si="138"/>
        <v>5.0599999999999999E-2</v>
      </c>
      <c r="BC131" s="321">
        <f t="shared" si="138"/>
        <v>2.4987804805501002E-2</v>
      </c>
      <c r="BD131" s="321" t="str">
        <f t="shared" si="138"/>
        <v/>
      </c>
      <c r="BE131" s="321" t="str">
        <f t="shared" si="138"/>
        <v/>
      </c>
      <c r="BF131" s="321" t="str">
        <f t="shared" si="138"/>
        <v/>
      </c>
      <c r="BG131" s="321" t="str">
        <f t="shared" si="138"/>
        <v/>
      </c>
      <c r="BH131" s="321" t="str">
        <f t="shared" si="138"/>
        <v/>
      </c>
      <c r="BI131" s="321" t="str">
        <f t="shared" si="138"/>
        <v/>
      </c>
      <c r="BJ131" s="321" t="str">
        <f t="shared" si="138"/>
        <v/>
      </c>
      <c r="BK131" s="321" t="str">
        <f t="shared" si="138"/>
        <v/>
      </c>
      <c r="BL131" s="322" t="str">
        <f t="shared" si="138"/>
        <v/>
      </c>
      <c r="BM131" s="296"/>
    </row>
    <row r="132" spans="1:65" x14ac:dyDescent="0.25">
      <c r="A132" s="69"/>
      <c r="B132" s="297">
        <f t="shared" si="120"/>
        <v>2045</v>
      </c>
      <c r="C132" s="269" t="str">
        <f t="shared" si="134"/>
        <v/>
      </c>
      <c r="D132" s="318" t="str">
        <f t="shared" si="140"/>
        <v/>
      </c>
      <c r="E132" s="318" t="str">
        <f t="shared" si="140"/>
        <v/>
      </c>
      <c r="F132" s="318" t="str">
        <f t="shared" si="140"/>
        <v/>
      </c>
      <c r="G132" s="318" t="str">
        <f t="shared" si="140"/>
        <v/>
      </c>
      <c r="H132" s="318" t="str">
        <f t="shared" si="140"/>
        <v/>
      </c>
      <c r="I132" s="318" t="str">
        <f t="shared" si="140"/>
        <v/>
      </c>
      <c r="J132" s="318" t="str">
        <f t="shared" si="140"/>
        <v/>
      </c>
      <c r="K132" s="318" t="str">
        <f t="shared" si="140"/>
        <v/>
      </c>
      <c r="L132" s="318" t="str">
        <f t="shared" si="140"/>
        <v/>
      </c>
      <c r="M132" s="318" t="str">
        <f t="shared" si="139"/>
        <v/>
      </c>
      <c r="N132" s="318" t="str">
        <f t="shared" si="139"/>
        <v/>
      </c>
      <c r="O132" s="318" t="str">
        <f t="shared" si="139"/>
        <v/>
      </c>
      <c r="P132" s="318" t="str">
        <f t="shared" si="139"/>
        <v/>
      </c>
      <c r="Q132" s="318" t="str">
        <f t="shared" si="139"/>
        <v/>
      </c>
      <c r="R132" s="318" t="str">
        <f t="shared" si="139"/>
        <v/>
      </c>
      <c r="S132" s="318" t="str">
        <f t="shared" si="139"/>
        <v/>
      </c>
      <c r="T132" s="318" t="str">
        <f t="shared" si="126"/>
        <v/>
      </c>
      <c r="U132" s="318" t="str">
        <f t="shared" ref="U132:AD141" si="141">IF(AND(U$88-$B132&gt;=1,U$88-$B132&lt;=9),HLOOKUP($B132,$C$10:$BL$11,2,FALSE),IF(OR(U$88-$B132=0,U$88-$B132=10),POWER((HLOOKUP($B132,$C$10:$BL$11,2,FALSE))+1,1/2)-1,""))</f>
        <v/>
      </c>
      <c r="V132" s="318" t="str">
        <f t="shared" si="141"/>
        <v/>
      </c>
      <c r="W132" s="318" t="str">
        <f t="shared" si="141"/>
        <v/>
      </c>
      <c r="X132" s="318" t="str">
        <f t="shared" si="141"/>
        <v/>
      </c>
      <c r="Y132" s="318" t="str">
        <f t="shared" si="141"/>
        <v/>
      </c>
      <c r="Z132" s="318" t="str">
        <f t="shared" si="141"/>
        <v/>
      </c>
      <c r="AA132" s="318" t="str">
        <f t="shared" si="141"/>
        <v/>
      </c>
      <c r="AB132" s="318" t="str">
        <f t="shared" si="141"/>
        <v/>
      </c>
      <c r="AC132" s="318" t="str">
        <f t="shared" si="141"/>
        <v/>
      </c>
      <c r="AD132" s="318" t="str">
        <f t="shared" si="141"/>
        <v/>
      </c>
      <c r="AE132" s="318" t="str">
        <f t="shared" si="136"/>
        <v/>
      </c>
      <c r="AF132" s="318" t="str">
        <f t="shared" si="136"/>
        <v/>
      </c>
      <c r="AG132" s="318" t="str">
        <f t="shared" si="136"/>
        <v/>
      </c>
      <c r="AH132" s="318" t="str">
        <f t="shared" si="136"/>
        <v/>
      </c>
      <c r="AI132" s="318" t="str">
        <f t="shared" si="136"/>
        <v/>
      </c>
      <c r="AJ132" s="318" t="str">
        <f t="shared" si="136"/>
        <v/>
      </c>
      <c r="AK132" s="318" t="str">
        <f t="shared" si="136"/>
        <v/>
      </c>
      <c r="AL132" s="318" t="str">
        <f t="shared" si="136"/>
        <v/>
      </c>
      <c r="AM132" s="318" t="str">
        <f t="shared" si="136"/>
        <v/>
      </c>
      <c r="AN132" s="318" t="str">
        <f t="shared" si="136"/>
        <v/>
      </c>
      <c r="AO132" s="318" t="str">
        <f t="shared" si="137"/>
        <v/>
      </c>
      <c r="AP132" s="318" t="str">
        <f t="shared" si="137"/>
        <v/>
      </c>
      <c r="AQ132" s="318" t="str">
        <f t="shared" si="137"/>
        <v/>
      </c>
      <c r="AR132" s="318" t="str">
        <f t="shared" si="137"/>
        <v/>
      </c>
      <c r="AS132" s="318" t="str">
        <f t="shared" si="137"/>
        <v/>
      </c>
      <c r="AT132" s="318">
        <f t="shared" si="137"/>
        <v>2.4987804805501002E-2</v>
      </c>
      <c r="AU132" s="318">
        <f t="shared" si="137"/>
        <v>5.0599999999999999E-2</v>
      </c>
      <c r="AV132" s="318">
        <f t="shared" si="137"/>
        <v>5.0599999999999999E-2</v>
      </c>
      <c r="AW132" s="318">
        <f t="shared" si="137"/>
        <v>5.0599999999999999E-2</v>
      </c>
      <c r="AX132" s="318">
        <f t="shared" si="137"/>
        <v>5.0599999999999999E-2</v>
      </c>
      <c r="AY132" s="318">
        <f t="shared" si="138"/>
        <v>5.0599999999999999E-2</v>
      </c>
      <c r="AZ132" s="321">
        <f t="shared" si="138"/>
        <v>5.0599999999999999E-2</v>
      </c>
      <c r="BA132" s="321">
        <f t="shared" si="138"/>
        <v>5.0599999999999999E-2</v>
      </c>
      <c r="BB132" s="321">
        <f t="shared" si="138"/>
        <v>5.0599999999999999E-2</v>
      </c>
      <c r="BC132" s="321">
        <f t="shared" si="138"/>
        <v>5.0599999999999999E-2</v>
      </c>
      <c r="BD132" s="321">
        <f t="shared" si="138"/>
        <v>2.4987804805501002E-2</v>
      </c>
      <c r="BE132" s="321" t="str">
        <f t="shared" si="138"/>
        <v/>
      </c>
      <c r="BF132" s="321" t="str">
        <f t="shared" si="138"/>
        <v/>
      </c>
      <c r="BG132" s="321" t="str">
        <f t="shared" si="138"/>
        <v/>
      </c>
      <c r="BH132" s="321" t="str">
        <f t="shared" si="138"/>
        <v/>
      </c>
      <c r="BI132" s="321" t="str">
        <f t="shared" si="138"/>
        <v/>
      </c>
      <c r="BJ132" s="321" t="str">
        <f t="shared" si="138"/>
        <v/>
      </c>
      <c r="BK132" s="321" t="str">
        <f t="shared" si="138"/>
        <v/>
      </c>
      <c r="BL132" s="322" t="str">
        <f t="shared" si="138"/>
        <v/>
      </c>
      <c r="BM132" s="296"/>
    </row>
    <row r="133" spans="1:65" x14ac:dyDescent="0.25">
      <c r="A133" s="69"/>
      <c r="B133" s="297">
        <f t="shared" si="120"/>
        <v>2046</v>
      </c>
      <c r="C133" s="269" t="str">
        <f t="shared" si="134"/>
        <v/>
      </c>
      <c r="D133" s="318" t="str">
        <f t="shared" si="140"/>
        <v/>
      </c>
      <c r="E133" s="318" t="str">
        <f t="shared" si="140"/>
        <v/>
      </c>
      <c r="F133" s="318" t="str">
        <f t="shared" si="140"/>
        <v/>
      </c>
      <c r="G133" s="318" t="str">
        <f t="shared" si="140"/>
        <v/>
      </c>
      <c r="H133" s="318" t="str">
        <f t="shared" si="140"/>
        <v/>
      </c>
      <c r="I133" s="318" t="str">
        <f t="shared" si="140"/>
        <v/>
      </c>
      <c r="J133" s="318" t="str">
        <f t="shared" si="140"/>
        <v/>
      </c>
      <c r="K133" s="318" t="str">
        <f t="shared" si="140"/>
        <v/>
      </c>
      <c r="L133" s="318" t="str">
        <f t="shared" si="140"/>
        <v/>
      </c>
      <c r="M133" s="318" t="str">
        <f t="shared" si="139"/>
        <v/>
      </c>
      <c r="N133" s="318" t="str">
        <f t="shared" si="139"/>
        <v/>
      </c>
      <c r="O133" s="318" t="str">
        <f t="shared" si="139"/>
        <v/>
      </c>
      <c r="P133" s="318" t="str">
        <f t="shared" si="139"/>
        <v/>
      </c>
      <c r="Q133" s="318" t="str">
        <f t="shared" si="139"/>
        <v/>
      </c>
      <c r="R133" s="318" t="str">
        <f t="shared" si="139"/>
        <v/>
      </c>
      <c r="S133" s="318" t="str">
        <f t="shared" si="139"/>
        <v/>
      </c>
      <c r="T133" s="318" t="str">
        <f t="shared" si="126"/>
        <v/>
      </c>
      <c r="U133" s="318" t="str">
        <f t="shared" si="141"/>
        <v/>
      </c>
      <c r="V133" s="318" t="str">
        <f t="shared" si="141"/>
        <v/>
      </c>
      <c r="W133" s="318" t="str">
        <f t="shared" si="141"/>
        <v/>
      </c>
      <c r="X133" s="318" t="str">
        <f t="shared" si="141"/>
        <v/>
      </c>
      <c r="Y133" s="318" t="str">
        <f t="shared" si="141"/>
        <v/>
      </c>
      <c r="Z133" s="318" t="str">
        <f t="shared" si="141"/>
        <v/>
      </c>
      <c r="AA133" s="318" t="str">
        <f t="shared" si="141"/>
        <v/>
      </c>
      <c r="AB133" s="318" t="str">
        <f t="shared" si="141"/>
        <v/>
      </c>
      <c r="AC133" s="318" t="str">
        <f t="shared" si="141"/>
        <v/>
      </c>
      <c r="AD133" s="318" t="str">
        <f t="shared" si="141"/>
        <v/>
      </c>
      <c r="AE133" s="318" t="str">
        <f t="shared" si="136"/>
        <v/>
      </c>
      <c r="AF133" s="318" t="str">
        <f t="shared" si="136"/>
        <v/>
      </c>
      <c r="AG133" s="318" t="str">
        <f t="shared" si="136"/>
        <v/>
      </c>
      <c r="AH133" s="318" t="str">
        <f t="shared" si="136"/>
        <v/>
      </c>
      <c r="AI133" s="318" t="str">
        <f t="shared" si="136"/>
        <v/>
      </c>
      <c r="AJ133" s="318" t="str">
        <f t="shared" si="136"/>
        <v/>
      </c>
      <c r="AK133" s="318" t="str">
        <f t="shared" si="136"/>
        <v/>
      </c>
      <c r="AL133" s="318" t="str">
        <f t="shared" si="136"/>
        <v/>
      </c>
      <c r="AM133" s="318" t="str">
        <f t="shared" si="136"/>
        <v/>
      </c>
      <c r="AN133" s="318" t="str">
        <f t="shared" si="136"/>
        <v/>
      </c>
      <c r="AO133" s="318" t="str">
        <f t="shared" si="137"/>
        <v/>
      </c>
      <c r="AP133" s="318" t="str">
        <f t="shared" si="137"/>
        <v/>
      </c>
      <c r="AQ133" s="318" t="str">
        <f t="shared" si="137"/>
        <v/>
      </c>
      <c r="AR133" s="318" t="str">
        <f t="shared" si="137"/>
        <v/>
      </c>
      <c r="AS133" s="318" t="str">
        <f t="shared" si="137"/>
        <v/>
      </c>
      <c r="AT133" s="318" t="str">
        <f t="shared" si="137"/>
        <v/>
      </c>
      <c r="AU133" s="318">
        <f t="shared" si="137"/>
        <v>2.4987804805501002E-2</v>
      </c>
      <c r="AV133" s="318">
        <f t="shared" si="137"/>
        <v>5.0599999999999999E-2</v>
      </c>
      <c r="AW133" s="318">
        <f t="shared" si="137"/>
        <v>5.0599999999999999E-2</v>
      </c>
      <c r="AX133" s="318">
        <f t="shared" si="137"/>
        <v>5.0599999999999999E-2</v>
      </c>
      <c r="AY133" s="318">
        <f t="shared" si="138"/>
        <v>5.0599999999999999E-2</v>
      </c>
      <c r="AZ133" s="321">
        <f t="shared" si="138"/>
        <v>5.0599999999999999E-2</v>
      </c>
      <c r="BA133" s="321">
        <f t="shared" si="138"/>
        <v>5.0599999999999999E-2</v>
      </c>
      <c r="BB133" s="321">
        <f t="shared" si="138"/>
        <v>5.0599999999999999E-2</v>
      </c>
      <c r="BC133" s="321">
        <f t="shared" si="138"/>
        <v>5.0599999999999999E-2</v>
      </c>
      <c r="BD133" s="321">
        <f t="shared" si="138"/>
        <v>5.0599999999999999E-2</v>
      </c>
      <c r="BE133" s="321">
        <f t="shared" si="138"/>
        <v>2.4987804805501002E-2</v>
      </c>
      <c r="BF133" s="321" t="str">
        <f t="shared" si="138"/>
        <v/>
      </c>
      <c r="BG133" s="321" t="str">
        <f t="shared" si="138"/>
        <v/>
      </c>
      <c r="BH133" s="321" t="str">
        <f t="shared" si="138"/>
        <v/>
      </c>
      <c r="BI133" s="321" t="str">
        <f t="shared" si="138"/>
        <v/>
      </c>
      <c r="BJ133" s="321" t="str">
        <f t="shared" si="138"/>
        <v/>
      </c>
      <c r="BK133" s="321" t="str">
        <f t="shared" si="138"/>
        <v/>
      </c>
      <c r="BL133" s="322" t="str">
        <f t="shared" si="138"/>
        <v/>
      </c>
      <c r="BM133" s="296"/>
    </row>
    <row r="134" spans="1:65" x14ac:dyDescent="0.25">
      <c r="A134" s="69"/>
      <c r="B134" s="297">
        <f t="shared" si="120"/>
        <v>2047</v>
      </c>
      <c r="C134" s="269" t="str">
        <f t="shared" si="134"/>
        <v/>
      </c>
      <c r="D134" s="318" t="str">
        <f t="shared" si="140"/>
        <v/>
      </c>
      <c r="E134" s="318" t="str">
        <f t="shared" si="140"/>
        <v/>
      </c>
      <c r="F134" s="318" t="str">
        <f t="shared" si="140"/>
        <v/>
      </c>
      <c r="G134" s="318" t="str">
        <f t="shared" si="140"/>
        <v/>
      </c>
      <c r="H134" s="318" t="str">
        <f t="shared" si="140"/>
        <v/>
      </c>
      <c r="I134" s="318" t="str">
        <f t="shared" si="140"/>
        <v/>
      </c>
      <c r="J134" s="318" t="str">
        <f t="shared" si="140"/>
        <v/>
      </c>
      <c r="K134" s="318" t="str">
        <f t="shared" si="140"/>
        <v/>
      </c>
      <c r="L134" s="318" t="str">
        <f t="shared" si="140"/>
        <v/>
      </c>
      <c r="M134" s="318" t="str">
        <f t="shared" si="139"/>
        <v/>
      </c>
      <c r="N134" s="318" t="str">
        <f t="shared" si="139"/>
        <v/>
      </c>
      <c r="O134" s="318" t="str">
        <f t="shared" si="139"/>
        <v/>
      </c>
      <c r="P134" s="318" t="str">
        <f t="shared" si="139"/>
        <v/>
      </c>
      <c r="Q134" s="318" t="str">
        <f t="shared" si="139"/>
        <v/>
      </c>
      <c r="R134" s="318" t="str">
        <f t="shared" si="139"/>
        <v/>
      </c>
      <c r="S134" s="318" t="str">
        <f t="shared" si="139"/>
        <v/>
      </c>
      <c r="T134" s="318" t="str">
        <f t="shared" si="126"/>
        <v/>
      </c>
      <c r="U134" s="318" t="str">
        <f t="shared" si="141"/>
        <v/>
      </c>
      <c r="V134" s="318" t="str">
        <f t="shared" si="141"/>
        <v/>
      </c>
      <c r="W134" s="318" t="str">
        <f t="shared" si="141"/>
        <v/>
      </c>
      <c r="X134" s="318" t="str">
        <f t="shared" si="141"/>
        <v/>
      </c>
      <c r="Y134" s="318" t="str">
        <f t="shared" si="141"/>
        <v/>
      </c>
      <c r="Z134" s="318" t="str">
        <f t="shared" si="141"/>
        <v/>
      </c>
      <c r="AA134" s="318" t="str">
        <f t="shared" si="141"/>
        <v/>
      </c>
      <c r="AB134" s="318" t="str">
        <f t="shared" si="141"/>
        <v/>
      </c>
      <c r="AC134" s="318" t="str">
        <f t="shared" si="141"/>
        <v/>
      </c>
      <c r="AD134" s="318" t="str">
        <f t="shared" si="141"/>
        <v/>
      </c>
      <c r="AE134" s="318" t="str">
        <f t="shared" si="136"/>
        <v/>
      </c>
      <c r="AF134" s="318" t="str">
        <f t="shared" si="136"/>
        <v/>
      </c>
      <c r="AG134" s="318" t="str">
        <f t="shared" si="136"/>
        <v/>
      </c>
      <c r="AH134" s="318" t="str">
        <f t="shared" si="136"/>
        <v/>
      </c>
      <c r="AI134" s="318" t="str">
        <f t="shared" si="136"/>
        <v/>
      </c>
      <c r="AJ134" s="318" t="str">
        <f t="shared" si="136"/>
        <v/>
      </c>
      <c r="AK134" s="318" t="str">
        <f t="shared" si="136"/>
        <v/>
      </c>
      <c r="AL134" s="318" t="str">
        <f t="shared" si="136"/>
        <v/>
      </c>
      <c r="AM134" s="318" t="str">
        <f t="shared" si="136"/>
        <v/>
      </c>
      <c r="AN134" s="318" t="str">
        <f t="shared" si="136"/>
        <v/>
      </c>
      <c r="AO134" s="318" t="str">
        <f t="shared" si="137"/>
        <v/>
      </c>
      <c r="AP134" s="318" t="str">
        <f t="shared" si="137"/>
        <v/>
      </c>
      <c r="AQ134" s="318" t="str">
        <f t="shared" si="137"/>
        <v/>
      </c>
      <c r="AR134" s="318" t="str">
        <f t="shared" si="137"/>
        <v/>
      </c>
      <c r="AS134" s="318" t="str">
        <f t="shared" si="137"/>
        <v/>
      </c>
      <c r="AT134" s="318" t="str">
        <f t="shared" si="137"/>
        <v/>
      </c>
      <c r="AU134" s="318" t="str">
        <f t="shared" si="137"/>
        <v/>
      </c>
      <c r="AV134" s="318">
        <f t="shared" si="137"/>
        <v>2.4987804805501002E-2</v>
      </c>
      <c r="AW134" s="318">
        <f t="shared" si="137"/>
        <v>5.0599999999999999E-2</v>
      </c>
      <c r="AX134" s="318">
        <f t="shared" si="137"/>
        <v>5.0599999999999999E-2</v>
      </c>
      <c r="AY134" s="318">
        <f t="shared" si="138"/>
        <v>5.0599999999999999E-2</v>
      </c>
      <c r="AZ134" s="321">
        <f t="shared" si="138"/>
        <v>5.0599999999999999E-2</v>
      </c>
      <c r="BA134" s="321">
        <f t="shared" si="138"/>
        <v>5.0599999999999999E-2</v>
      </c>
      <c r="BB134" s="321">
        <f t="shared" si="138"/>
        <v>5.0599999999999999E-2</v>
      </c>
      <c r="BC134" s="321">
        <f t="shared" si="138"/>
        <v>5.0599999999999999E-2</v>
      </c>
      <c r="BD134" s="321">
        <f t="shared" si="138"/>
        <v>5.0599999999999999E-2</v>
      </c>
      <c r="BE134" s="321">
        <f t="shared" si="138"/>
        <v>5.0599999999999999E-2</v>
      </c>
      <c r="BF134" s="321">
        <f t="shared" si="138"/>
        <v>2.4987804805501002E-2</v>
      </c>
      <c r="BG134" s="321" t="str">
        <f t="shared" si="138"/>
        <v/>
      </c>
      <c r="BH134" s="321" t="str">
        <f t="shared" si="138"/>
        <v/>
      </c>
      <c r="BI134" s="321" t="str">
        <f t="shared" si="138"/>
        <v/>
      </c>
      <c r="BJ134" s="321" t="str">
        <f t="shared" si="138"/>
        <v/>
      </c>
      <c r="BK134" s="321" t="str">
        <f t="shared" si="138"/>
        <v/>
      </c>
      <c r="BL134" s="322" t="str">
        <f t="shared" si="138"/>
        <v/>
      </c>
      <c r="BM134" s="296"/>
    </row>
    <row r="135" spans="1:65" x14ac:dyDescent="0.25">
      <c r="A135" s="69"/>
      <c r="B135" s="297">
        <f t="shared" si="120"/>
        <v>2048</v>
      </c>
      <c r="C135" s="269" t="str">
        <f t="shared" si="134"/>
        <v/>
      </c>
      <c r="D135" s="318" t="str">
        <f t="shared" si="140"/>
        <v/>
      </c>
      <c r="E135" s="318" t="str">
        <f t="shared" si="140"/>
        <v/>
      </c>
      <c r="F135" s="318" t="str">
        <f t="shared" si="140"/>
        <v/>
      </c>
      <c r="G135" s="318" t="str">
        <f t="shared" si="140"/>
        <v/>
      </c>
      <c r="H135" s="318" t="str">
        <f t="shared" si="140"/>
        <v/>
      </c>
      <c r="I135" s="318" t="str">
        <f t="shared" si="140"/>
        <v/>
      </c>
      <c r="J135" s="318" t="str">
        <f t="shared" si="140"/>
        <v/>
      </c>
      <c r="K135" s="318" t="str">
        <f t="shared" si="140"/>
        <v/>
      </c>
      <c r="L135" s="318" t="str">
        <f t="shared" si="140"/>
        <v/>
      </c>
      <c r="M135" s="318" t="str">
        <f t="shared" si="139"/>
        <v/>
      </c>
      <c r="N135" s="318" t="str">
        <f t="shared" si="139"/>
        <v/>
      </c>
      <c r="O135" s="318" t="str">
        <f t="shared" si="139"/>
        <v/>
      </c>
      <c r="P135" s="318" t="str">
        <f t="shared" si="139"/>
        <v/>
      </c>
      <c r="Q135" s="318" t="str">
        <f t="shared" si="139"/>
        <v/>
      </c>
      <c r="R135" s="318" t="str">
        <f t="shared" si="139"/>
        <v/>
      </c>
      <c r="S135" s="318" t="str">
        <f t="shared" si="139"/>
        <v/>
      </c>
      <c r="T135" s="318" t="str">
        <f t="shared" si="126"/>
        <v/>
      </c>
      <c r="U135" s="318" t="str">
        <f t="shared" si="141"/>
        <v/>
      </c>
      <c r="V135" s="318" t="str">
        <f t="shared" si="141"/>
        <v/>
      </c>
      <c r="W135" s="318" t="str">
        <f t="shared" si="141"/>
        <v/>
      </c>
      <c r="X135" s="318" t="str">
        <f t="shared" si="141"/>
        <v/>
      </c>
      <c r="Y135" s="318" t="str">
        <f t="shared" si="141"/>
        <v/>
      </c>
      <c r="Z135" s="318" t="str">
        <f t="shared" si="141"/>
        <v/>
      </c>
      <c r="AA135" s="318" t="str">
        <f t="shared" si="141"/>
        <v/>
      </c>
      <c r="AB135" s="318" t="str">
        <f t="shared" si="141"/>
        <v/>
      </c>
      <c r="AC135" s="318" t="str">
        <f t="shared" si="141"/>
        <v/>
      </c>
      <c r="AD135" s="318" t="str">
        <f t="shared" si="141"/>
        <v/>
      </c>
      <c r="AE135" s="318" t="str">
        <f t="shared" si="136"/>
        <v/>
      </c>
      <c r="AF135" s="318" t="str">
        <f t="shared" si="136"/>
        <v/>
      </c>
      <c r="AG135" s="318" t="str">
        <f t="shared" si="136"/>
        <v/>
      </c>
      <c r="AH135" s="318" t="str">
        <f t="shared" si="136"/>
        <v/>
      </c>
      <c r="AI135" s="318" t="str">
        <f t="shared" si="136"/>
        <v/>
      </c>
      <c r="AJ135" s="318" t="str">
        <f t="shared" si="136"/>
        <v/>
      </c>
      <c r="AK135" s="318" t="str">
        <f t="shared" si="136"/>
        <v/>
      </c>
      <c r="AL135" s="318" t="str">
        <f t="shared" si="136"/>
        <v/>
      </c>
      <c r="AM135" s="318" t="str">
        <f t="shared" si="136"/>
        <v/>
      </c>
      <c r="AN135" s="318" t="str">
        <f t="shared" si="136"/>
        <v/>
      </c>
      <c r="AO135" s="318" t="str">
        <f t="shared" si="137"/>
        <v/>
      </c>
      <c r="AP135" s="318" t="str">
        <f t="shared" si="137"/>
        <v/>
      </c>
      <c r="AQ135" s="318" t="str">
        <f t="shared" si="137"/>
        <v/>
      </c>
      <c r="AR135" s="318" t="str">
        <f t="shared" si="137"/>
        <v/>
      </c>
      <c r="AS135" s="318" t="str">
        <f t="shared" si="137"/>
        <v/>
      </c>
      <c r="AT135" s="318" t="str">
        <f t="shared" si="137"/>
        <v/>
      </c>
      <c r="AU135" s="318" t="str">
        <f t="shared" si="137"/>
        <v/>
      </c>
      <c r="AV135" s="318" t="str">
        <f t="shared" si="137"/>
        <v/>
      </c>
      <c r="AW135" s="318">
        <f t="shared" si="137"/>
        <v>2.4987804805501002E-2</v>
      </c>
      <c r="AX135" s="318">
        <f t="shared" si="137"/>
        <v>5.0599999999999999E-2</v>
      </c>
      <c r="AY135" s="318">
        <f t="shared" si="138"/>
        <v>5.0599999999999999E-2</v>
      </c>
      <c r="AZ135" s="321">
        <f t="shared" si="138"/>
        <v>5.0599999999999999E-2</v>
      </c>
      <c r="BA135" s="321">
        <f t="shared" si="138"/>
        <v>5.0599999999999999E-2</v>
      </c>
      <c r="BB135" s="321">
        <f t="shared" si="138"/>
        <v>5.0599999999999999E-2</v>
      </c>
      <c r="BC135" s="321">
        <f t="shared" si="138"/>
        <v>5.0599999999999999E-2</v>
      </c>
      <c r="BD135" s="321">
        <f t="shared" si="138"/>
        <v>5.0599999999999999E-2</v>
      </c>
      <c r="BE135" s="321">
        <f t="shared" si="138"/>
        <v>5.0599999999999999E-2</v>
      </c>
      <c r="BF135" s="321">
        <f t="shared" si="138"/>
        <v>5.0599999999999999E-2</v>
      </c>
      <c r="BG135" s="321">
        <f t="shared" si="138"/>
        <v>2.4987804805501002E-2</v>
      </c>
      <c r="BH135" s="321" t="str">
        <f t="shared" si="138"/>
        <v/>
      </c>
      <c r="BI135" s="321" t="str">
        <f t="shared" si="138"/>
        <v/>
      </c>
      <c r="BJ135" s="321" t="str">
        <f t="shared" si="138"/>
        <v/>
      </c>
      <c r="BK135" s="321" t="str">
        <f t="shared" si="138"/>
        <v/>
      </c>
      <c r="BL135" s="322" t="str">
        <f t="shared" si="138"/>
        <v/>
      </c>
      <c r="BM135" s="296"/>
    </row>
    <row r="136" spans="1:65" x14ac:dyDescent="0.25">
      <c r="A136" s="69"/>
      <c r="B136" s="297">
        <f t="shared" si="120"/>
        <v>2049</v>
      </c>
      <c r="C136" s="269" t="str">
        <f t="shared" si="134"/>
        <v/>
      </c>
      <c r="D136" s="318" t="str">
        <f t="shared" si="140"/>
        <v/>
      </c>
      <c r="E136" s="318" t="str">
        <f t="shared" si="140"/>
        <v/>
      </c>
      <c r="F136" s="318" t="str">
        <f t="shared" si="140"/>
        <v/>
      </c>
      <c r="G136" s="318" t="str">
        <f t="shared" si="140"/>
        <v/>
      </c>
      <c r="H136" s="318" t="str">
        <f t="shared" si="140"/>
        <v/>
      </c>
      <c r="I136" s="318" t="str">
        <f t="shared" si="140"/>
        <v/>
      </c>
      <c r="J136" s="318" t="str">
        <f t="shared" si="140"/>
        <v/>
      </c>
      <c r="K136" s="318" t="str">
        <f t="shared" si="140"/>
        <v/>
      </c>
      <c r="L136" s="318" t="str">
        <f t="shared" si="140"/>
        <v/>
      </c>
      <c r="M136" s="318" t="str">
        <f t="shared" si="139"/>
        <v/>
      </c>
      <c r="N136" s="318" t="str">
        <f t="shared" si="139"/>
        <v/>
      </c>
      <c r="O136" s="318" t="str">
        <f t="shared" si="139"/>
        <v/>
      </c>
      <c r="P136" s="318" t="str">
        <f t="shared" si="139"/>
        <v/>
      </c>
      <c r="Q136" s="318" t="str">
        <f t="shared" si="139"/>
        <v/>
      </c>
      <c r="R136" s="318" t="str">
        <f t="shared" si="139"/>
        <v/>
      </c>
      <c r="S136" s="318" t="str">
        <f t="shared" si="139"/>
        <v/>
      </c>
      <c r="T136" s="318" t="str">
        <f t="shared" si="126"/>
        <v/>
      </c>
      <c r="U136" s="318" t="str">
        <f t="shared" si="141"/>
        <v/>
      </c>
      <c r="V136" s="318" t="str">
        <f t="shared" si="141"/>
        <v/>
      </c>
      <c r="W136" s="318" t="str">
        <f t="shared" si="141"/>
        <v/>
      </c>
      <c r="X136" s="318" t="str">
        <f t="shared" si="141"/>
        <v/>
      </c>
      <c r="Y136" s="318" t="str">
        <f t="shared" si="141"/>
        <v/>
      </c>
      <c r="Z136" s="318" t="str">
        <f t="shared" si="141"/>
        <v/>
      </c>
      <c r="AA136" s="318" t="str">
        <f t="shared" si="141"/>
        <v/>
      </c>
      <c r="AB136" s="318" t="str">
        <f t="shared" si="141"/>
        <v/>
      </c>
      <c r="AC136" s="318" t="str">
        <f t="shared" si="141"/>
        <v/>
      </c>
      <c r="AD136" s="318" t="str">
        <f t="shared" si="141"/>
        <v/>
      </c>
      <c r="AE136" s="318" t="str">
        <f t="shared" ref="AE136:AN150" si="142">IF(AND(AE$88-$B136&gt;=1,AE$88-$B136&lt;=9),HLOOKUP($B136,$C$10:$BL$11,2,FALSE),IF(OR(AE$88-$B136=0,AE$88-$B136=10),POWER((HLOOKUP($B136,$C$10:$BL$11,2,FALSE))+1,1/2)-1,""))</f>
        <v/>
      </c>
      <c r="AF136" s="318" t="str">
        <f t="shared" si="142"/>
        <v/>
      </c>
      <c r="AG136" s="318" t="str">
        <f t="shared" si="142"/>
        <v/>
      </c>
      <c r="AH136" s="318" t="str">
        <f t="shared" si="142"/>
        <v/>
      </c>
      <c r="AI136" s="318" t="str">
        <f t="shared" si="142"/>
        <v/>
      </c>
      <c r="AJ136" s="318" t="str">
        <f t="shared" si="142"/>
        <v/>
      </c>
      <c r="AK136" s="318" t="str">
        <f t="shared" si="142"/>
        <v/>
      </c>
      <c r="AL136" s="318" t="str">
        <f t="shared" si="142"/>
        <v/>
      </c>
      <c r="AM136" s="318" t="str">
        <f t="shared" si="142"/>
        <v/>
      </c>
      <c r="AN136" s="318" t="str">
        <f t="shared" si="142"/>
        <v/>
      </c>
      <c r="AO136" s="318" t="str">
        <f t="shared" ref="AO136:AX150" si="143">IF(AND(AO$88-$B136&gt;=1,AO$88-$B136&lt;=9),HLOOKUP($B136,$C$10:$BL$11,2,FALSE),IF(OR(AO$88-$B136=0,AO$88-$B136=10),POWER((HLOOKUP($B136,$C$10:$BL$11,2,FALSE))+1,1/2)-1,""))</f>
        <v/>
      </c>
      <c r="AP136" s="318" t="str">
        <f t="shared" si="143"/>
        <v/>
      </c>
      <c r="AQ136" s="318" t="str">
        <f t="shared" si="143"/>
        <v/>
      </c>
      <c r="AR136" s="318" t="str">
        <f t="shared" si="143"/>
        <v/>
      </c>
      <c r="AS136" s="318" t="str">
        <f t="shared" si="143"/>
        <v/>
      </c>
      <c r="AT136" s="318" t="str">
        <f t="shared" si="143"/>
        <v/>
      </c>
      <c r="AU136" s="318" t="str">
        <f t="shared" si="143"/>
        <v/>
      </c>
      <c r="AV136" s="318" t="str">
        <f t="shared" si="143"/>
        <v/>
      </c>
      <c r="AW136" s="318" t="str">
        <f t="shared" si="143"/>
        <v/>
      </c>
      <c r="AX136" s="318">
        <f t="shared" si="143"/>
        <v>2.4987804805501002E-2</v>
      </c>
      <c r="AY136" s="318">
        <f t="shared" ref="AY136:BL150" si="144">IF(AND(AY$88-$B136&gt;=1,AY$88-$B136&lt;=9),HLOOKUP($B136,$C$10:$BL$11,2,FALSE),IF(OR(AY$88-$B136=0,AY$88-$B136=10),POWER((HLOOKUP($B136,$C$10:$BL$11,2,FALSE))+1,1/2)-1,""))</f>
        <v>5.0599999999999999E-2</v>
      </c>
      <c r="AZ136" s="321">
        <f t="shared" si="144"/>
        <v>5.0599999999999999E-2</v>
      </c>
      <c r="BA136" s="321">
        <f t="shared" si="144"/>
        <v>5.0599999999999999E-2</v>
      </c>
      <c r="BB136" s="321">
        <f t="shared" si="144"/>
        <v>5.0599999999999999E-2</v>
      </c>
      <c r="BC136" s="321">
        <f t="shared" si="144"/>
        <v>5.0599999999999999E-2</v>
      </c>
      <c r="BD136" s="321">
        <f t="shared" si="144"/>
        <v>5.0599999999999999E-2</v>
      </c>
      <c r="BE136" s="321">
        <f t="shared" si="144"/>
        <v>5.0599999999999999E-2</v>
      </c>
      <c r="BF136" s="321">
        <f t="shared" si="144"/>
        <v>5.0599999999999999E-2</v>
      </c>
      <c r="BG136" s="321">
        <f t="shared" si="144"/>
        <v>5.0599999999999999E-2</v>
      </c>
      <c r="BH136" s="321">
        <f t="shared" si="144"/>
        <v>2.4987804805501002E-2</v>
      </c>
      <c r="BI136" s="321" t="str">
        <f t="shared" si="144"/>
        <v/>
      </c>
      <c r="BJ136" s="321" t="str">
        <f t="shared" si="144"/>
        <v/>
      </c>
      <c r="BK136" s="321" t="str">
        <f t="shared" si="144"/>
        <v/>
      </c>
      <c r="BL136" s="322" t="str">
        <f t="shared" si="144"/>
        <v/>
      </c>
      <c r="BM136" s="296"/>
    </row>
    <row r="137" spans="1:65" x14ac:dyDescent="0.25">
      <c r="A137" s="69"/>
      <c r="B137" s="297">
        <f t="shared" si="120"/>
        <v>2050</v>
      </c>
      <c r="C137" s="269" t="str">
        <f t="shared" si="134"/>
        <v/>
      </c>
      <c r="D137" s="318" t="str">
        <f t="shared" si="140"/>
        <v/>
      </c>
      <c r="E137" s="318" t="str">
        <f t="shared" si="140"/>
        <v/>
      </c>
      <c r="F137" s="318" t="str">
        <f t="shared" si="140"/>
        <v/>
      </c>
      <c r="G137" s="318" t="str">
        <f t="shared" si="140"/>
        <v/>
      </c>
      <c r="H137" s="318" t="str">
        <f t="shared" si="140"/>
        <v/>
      </c>
      <c r="I137" s="318" t="str">
        <f t="shared" si="140"/>
        <v/>
      </c>
      <c r="J137" s="318" t="str">
        <f t="shared" si="140"/>
        <v/>
      </c>
      <c r="K137" s="318" t="str">
        <f t="shared" si="140"/>
        <v/>
      </c>
      <c r="L137" s="318" t="str">
        <f t="shared" si="140"/>
        <v/>
      </c>
      <c r="M137" s="318" t="str">
        <f t="shared" ref="M137:S150" si="145">IF(AND(M$88-$B137&gt;=1,M$88-$B137&lt;=9),HLOOKUP($B137,$C$10:$BL$11,2,FALSE),IF(OR(M$88-$B137=0,M$88-$B137=10),(HLOOKUP($B137,$C$10:$BL$11,2,FALSE))/2,""))</f>
        <v/>
      </c>
      <c r="N137" s="318" t="str">
        <f t="shared" si="145"/>
        <v/>
      </c>
      <c r="O137" s="318" t="str">
        <f t="shared" si="145"/>
        <v/>
      </c>
      <c r="P137" s="318" t="str">
        <f t="shared" si="145"/>
        <v/>
      </c>
      <c r="Q137" s="318" t="str">
        <f t="shared" si="145"/>
        <v/>
      </c>
      <c r="R137" s="318" t="str">
        <f t="shared" si="145"/>
        <v/>
      </c>
      <c r="S137" s="318" t="str">
        <f t="shared" si="145"/>
        <v/>
      </c>
      <c r="T137" s="318" t="str">
        <f t="shared" si="126"/>
        <v/>
      </c>
      <c r="U137" s="318" t="str">
        <f t="shared" si="141"/>
        <v/>
      </c>
      <c r="V137" s="318" t="str">
        <f t="shared" si="141"/>
        <v/>
      </c>
      <c r="W137" s="318" t="str">
        <f t="shared" si="141"/>
        <v/>
      </c>
      <c r="X137" s="318" t="str">
        <f t="shared" si="141"/>
        <v/>
      </c>
      <c r="Y137" s="318" t="str">
        <f t="shared" si="141"/>
        <v/>
      </c>
      <c r="Z137" s="318" t="str">
        <f t="shared" si="141"/>
        <v/>
      </c>
      <c r="AA137" s="318" t="str">
        <f t="shared" si="141"/>
        <v/>
      </c>
      <c r="AB137" s="318" t="str">
        <f t="shared" si="141"/>
        <v/>
      </c>
      <c r="AC137" s="318" t="str">
        <f t="shared" si="141"/>
        <v/>
      </c>
      <c r="AD137" s="318" t="str">
        <f t="shared" si="141"/>
        <v/>
      </c>
      <c r="AE137" s="318" t="str">
        <f t="shared" si="142"/>
        <v/>
      </c>
      <c r="AF137" s="318" t="str">
        <f t="shared" si="142"/>
        <v/>
      </c>
      <c r="AG137" s="318" t="str">
        <f t="shared" si="142"/>
        <v/>
      </c>
      <c r="AH137" s="318" t="str">
        <f t="shared" si="142"/>
        <v/>
      </c>
      <c r="AI137" s="318" t="str">
        <f t="shared" si="142"/>
        <v/>
      </c>
      <c r="AJ137" s="318" t="str">
        <f t="shared" si="142"/>
        <v/>
      </c>
      <c r="AK137" s="318" t="str">
        <f t="shared" si="142"/>
        <v/>
      </c>
      <c r="AL137" s="318" t="str">
        <f t="shared" si="142"/>
        <v/>
      </c>
      <c r="AM137" s="318" t="str">
        <f t="shared" si="142"/>
        <v/>
      </c>
      <c r="AN137" s="318" t="str">
        <f t="shared" si="142"/>
        <v/>
      </c>
      <c r="AO137" s="318" t="str">
        <f t="shared" si="143"/>
        <v/>
      </c>
      <c r="AP137" s="318" t="str">
        <f t="shared" si="143"/>
        <v/>
      </c>
      <c r="AQ137" s="318" t="str">
        <f t="shared" si="143"/>
        <v/>
      </c>
      <c r="AR137" s="318" t="str">
        <f t="shared" si="143"/>
        <v/>
      </c>
      <c r="AS137" s="318" t="str">
        <f t="shared" si="143"/>
        <v/>
      </c>
      <c r="AT137" s="318" t="str">
        <f t="shared" si="143"/>
        <v/>
      </c>
      <c r="AU137" s="318" t="str">
        <f t="shared" si="143"/>
        <v/>
      </c>
      <c r="AV137" s="318" t="str">
        <f t="shared" si="143"/>
        <v/>
      </c>
      <c r="AW137" s="318" t="str">
        <f t="shared" si="143"/>
        <v/>
      </c>
      <c r="AX137" s="318" t="str">
        <f t="shared" si="143"/>
        <v/>
      </c>
      <c r="AY137" s="318">
        <f t="shared" si="144"/>
        <v>2.4987804805501002E-2</v>
      </c>
      <c r="AZ137" s="321">
        <f t="shared" si="144"/>
        <v>5.0599999999999999E-2</v>
      </c>
      <c r="BA137" s="321">
        <f t="shared" si="144"/>
        <v>5.0599999999999999E-2</v>
      </c>
      <c r="BB137" s="321">
        <f t="shared" si="144"/>
        <v>5.0599999999999999E-2</v>
      </c>
      <c r="BC137" s="321">
        <f t="shared" si="144"/>
        <v>5.0599999999999999E-2</v>
      </c>
      <c r="BD137" s="321">
        <f t="shared" si="144"/>
        <v>5.0599999999999999E-2</v>
      </c>
      <c r="BE137" s="321">
        <f t="shared" si="144"/>
        <v>5.0599999999999999E-2</v>
      </c>
      <c r="BF137" s="321">
        <f t="shared" si="144"/>
        <v>5.0599999999999999E-2</v>
      </c>
      <c r="BG137" s="321">
        <f t="shared" si="144"/>
        <v>5.0599999999999999E-2</v>
      </c>
      <c r="BH137" s="321">
        <f t="shared" si="144"/>
        <v>5.0599999999999999E-2</v>
      </c>
      <c r="BI137" s="321">
        <f t="shared" si="144"/>
        <v>2.4987804805501002E-2</v>
      </c>
      <c r="BJ137" s="321" t="str">
        <f t="shared" si="144"/>
        <v/>
      </c>
      <c r="BK137" s="321" t="str">
        <f t="shared" si="144"/>
        <v/>
      </c>
      <c r="BL137" s="322" t="str">
        <f t="shared" si="144"/>
        <v/>
      </c>
      <c r="BM137" s="296"/>
    </row>
    <row r="138" spans="1:65" x14ac:dyDescent="0.25">
      <c r="A138" s="69"/>
      <c r="B138" s="297">
        <f t="shared" si="120"/>
        <v>2051</v>
      </c>
      <c r="C138" s="269" t="str">
        <f t="shared" si="134"/>
        <v/>
      </c>
      <c r="D138" s="318" t="str">
        <f t="shared" si="140"/>
        <v/>
      </c>
      <c r="E138" s="318" t="str">
        <f t="shared" si="140"/>
        <v/>
      </c>
      <c r="F138" s="318" t="str">
        <f t="shared" si="140"/>
        <v/>
      </c>
      <c r="G138" s="318" t="str">
        <f t="shared" si="140"/>
        <v/>
      </c>
      <c r="H138" s="318" t="str">
        <f t="shared" si="140"/>
        <v/>
      </c>
      <c r="I138" s="318" t="str">
        <f t="shared" si="140"/>
        <v/>
      </c>
      <c r="J138" s="318" t="str">
        <f t="shared" si="140"/>
        <v/>
      </c>
      <c r="K138" s="318" t="str">
        <f t="shared" si="140"/>
        <v/>
      </c>
      <c r="L138" s="318" t="str">
        <f t="shared" si="140"/>
        <v/>
      </c>
      <c r="M138" s="318" t="str">
        <f t="shared" si="145"/>
        <v/>
      </c>
      <c r="N138" s="318" t="str">
        <f t="shared" si="145"/>
        <v/>
      </c>
      <c r="O138" s="318" t="str">
        <f t="shared" si="145"/>
        <v/>
      </c>
      <c r="P138" s="318" t="str">
        <f t="shared" si="145"/>
        <v/>
      </c>
      <c r="Q138" s="318" t="str">
        <f t="shared" si="145"/>
        <v/>
      </c>
      <c r="R138" s="318" t="str">
        <f t="shared" si="145"/>
        <v/>
      </c>
      <c r="S138" s="318" t="str">
        <f t="shared" si="145"/>
        <v/>
      </c>
      <c r="T138" s="318" t="str">
        <f t="shared" si="126"/>
        <v/>
      </c>
      <c r="U138" s="318" t="str">
        <f t="shared" si="141"/>
        <v/>
      </c>
      <c r="V138" s="318" t="str">
        <f t="shared" si="141"/>
        <v/>
      </c>
      <c r="W138" s="318" t="str">
        <f t="shared" si="141"/>
        <v/>
      </c>
      <c r="X138" s="318" t="str">
        <f t="shared" si="141"/>
        <v/>
      </c>
      <c r="Y138" s="318" t="str">
        <f t="shared" si="141"/>
        <v/>
      </c>
      <c r="Z138" s="318" t="str">
        <f t="shared" si="141"/>
        <v/>
      </c>
      <c r="AA138" s="318" t="str">
        <f t="shared" si="141"/>
        <v/>
      </c>
      <c r="AB138" s="318" t="str">
        <f t="shared" si="141"/>
        <v/>
      </c>
      <c r="AC138" s="318" t="str">
        <f t="shared" si="141"/>
        <v/>
      </c>
      <c r="AD138" s="318" t="str">
        <f t="shared" si="141"/>
        <v/>
      </c>
      <c r="AE138" s="318" t="str">
        <f t="shared" si="142"/>
        <v/>
      </c>
      <c r="AF138" s="318" t="str">
        <f t="shared" si="142"/>
        <v/>
      </c>
      <c r="AG138" s="318" t="str">
        <f t="shared" si="142"/>
        <v/>
      </c>
      <c r="AH138" s="318" t="str">
        <f t="shared" si="142"/>
        <v/>
      </c>
      <c r="AI138" s="318" t="str">
        <f t="shared" si="142"/>
        <v/>
      </c>
      <c r="AJ138" s="318" t="str">
        <f t="shared" si="142"/>
        <v/>
      </c>
      <c r="AK138" s="318" t="str">
        <f t="shared" si="142"/>
        <v/>
      </c>
      <c r="AL138" s="318" t="str">
        <f t="shared" si="142"/>
        <v/>
      </c>
      <c r="AM138" s="318" t="str">
        <f t="shared" si="142"/>
        <v/>
      </c>
      <c r="AN138" s="318" t="str">
        <f t="shared" si="142"/>
        <v/>
      </c>
      <c r="AO138" s="318" t="str">
        <f t="shared" si="143"/>
        <v/>
      </c>
      <c r="AP138" s="318" t="str">
        <f t="shared" si="143"/>
        <v/>
      </c>
      <c r="AQ138" s="318" t="str">
        <f t="shared" si="143"/>
        <v/>
      </c>
      <c r="AR138" s="318" t="str">
        <f t="shared" si="143"/>
        <v/>
      </c>
      <c r="AS138" s="318" t="str">
        <f t="shared" si="143"/>
        <v/>
      </c>
      <c r="AT138" s="318" t="str">
        <f t="shared" si="143"/>
        <v/>
      </c>
      <c r="AU138" s="318" t="str">
        <f t="shared" si="143"/>
        <v/>
      </c>
      <c r="AV138" s="318" t="str">
        <f t="shared" si="143"/>
        <v/>
      </c>
      <c r="AW138" s="318" t="str">
        <f t="shared" si="143"/>
        <v/>
      </c>
      <c r="AX138" s="318" t="str">
        <f t="shared" si="143"/>
        <v/>
      </c>
      <c r="AY138" s="318" t="str">
        <f t="shared" si="144"/>
        <v/>
      </c>
      <c r="AZ138" s="321">
        <f t="shared" si="144"/>
        <v>2.4987804805501002E-2</v>
      </c>
      <c r="BA138" s="321">
        <f t="shared" si="144"/>
        <v>5.0599999999999999E-2</v>
      </c>
      <c r="BB138" s="321">
        <f t="shared" si="144"/>
        <v>5.0599999999999999E-2</v>
      </c>
      <c r="BC138" s="321">
        <f t="shared" si="144"/>
        <v>5.0599999999999999E-2</v>
      </c>
      <c r="BD138" s="321">
        <f t="shared" si="144"/>
        <v>5.0599999999999999E-2</v>
      </c>
      <c r="BE138" s="321">
        <f t="shared" si="144"/>
        <v>5.0599999999999999E-2</v>
      </c>
      <c r="BF138" s="321">
        <f t="shared" si="144"/>
        <v>5.0599999999999999E-2</v>
      </c>
      <c r="BG138" s="321">
        <f t="shared" si="144"/>
        <v>5.0599999999999999E-2</v>
      </c>
      <c r="BH138" s="321">
        <f t="shared" si="144"/>
        <v>5.0599999999999999E-2</v>
      </c>
      <c r="BI138" s="321">
        <f t="shared" si="144"/>
        <v>5.0599999999999999E-2</v>
      </c>
      <c r="BJ138" s="321">
        <f t="shared" si="144"/>
        <v>2.4987804805501002E-2</v>
      </c>
      <c r="BK138" s="321" t="str">
        <f t="shared" si="144"/>
        <v/>
      </c>
      <c r="BL138" s="322" t="str">
        <f t="shared" si="144"/>
        <v/>
      </c>
      <c r="BM138" s="296"/>
    </row>
    <row r="139" spans="1:65" x14ac:dyDescent="0.25">
      <c r="A139" s="69"/>
      <c r="B139" s="297">
        <f t="shared" si="120"/>
        <v>2052</v>
      </c>
      <c r="C139" s="269" t="str">
        <f t="shared" si="134"/>
        <v/>
      </c>
      <c r="D139" s="318" t="str">
        <f t="shared" si="140"/>
        <v/>
      </c>
      <c r="E139" s="318" t="str">
        <f t="shared" si="140"/>
        <v/>
      </c>
      <c r="F139" s="318" t="str">
        <f t="shared" si="140"/>
        <v/>
      </c>
      <c r="G139" s="318" t="str">
        <f t="shared" si="140"/>
        <v/>
      </c>
      <c r="H139" s="318" t="str">
        <f t="shared" si="140"/>
        <v/>
      </c>
      <c r="I139" s="318" t="str">
        <f t="shared" si="140"/>
        <v/>
      </c>
      <c r="J139" s="318" t="str">
        <f t="shared" si="140"/>
        <v/>
      </c>
      <c r="K139" s="318" t="str">
        <f t="shared" si="140"/>
        <v/>
      </c>
      <c r="L139" s="318" t="str">
        <f t="shared" si="140"/>
        <v/>
      </c>
      <c r="M139" s="318" t="str">
        <f t="shared" si="145"/>
        <v/>
      </c>
      <c r="N139" s="318" t="str">
        <f t="shared" si="145"/>
        <v/>
      </c>
      <c r="O139" s="318" t="str">
        <f t="shared" si="145"/>
        <v/>
      </c>
      <c r="P139" s="318" t="str">
        <f t="shared" si="145"/>
        <v/>
      </c>
      <c r="Q139" s="318" t="str">
        <f t="shared" si="145"/>
        <v/>
      </c>
      <c r="R139" s="318" t="str">
        <f t="shared" si="145"/>
        <v/>
      </c>
      <c r="S139" s="318" t="str">
        <f t="shared" si="145"/>
        <v/>
      </c>
      <c r="T139" s="318" t="str">
        <f t="shared" si="126"/>
        <v/>
      </c>
      <c r="U139" s="318" t="str">
        <f t="shared" si="141"/>
        <v/>
      </c>
      <c r="V139" s="318" t="str">
        <f t="shared" si="141"/>
        <v/>
      </c>
      <c r="W139" s="318" t="str">
        <f t="shared" si="141"/>
        <v/>
      </c>
      <c r="X139" s="318" t="str">
        <f t="shared" si="141"/>
        <v/>
      </c>
      <c r="Y139" s="318" t="str">
        <f t="shared" si="141"/>
        <v/>
      </c>
      <c r="Z139" s="318" t="str">
        <f t="shared" si="141"/>
        <v/>
      </c>
      <c r="AA139" s="318" t="str">
        <f t="shared" si="141"/>
        <v/>
      </c>
      <c r="AB139" s="318" t="str">
        <f t="shared" si="141"/>
        <v/>
      </c>
      <c r="AC139" s="318" t="str">
        <f t="shared" si="141"/>
        <v/>
      </c>
      <c r="AD139" s="318" t="str">
        <f t="shared" si="141"/>
        <v/>
      </c>
      <c r="AE139" s="318" t="str">
        <f t="shared" si="142"/>
        <v/>
      </c>
      <c r="AF139" s="318" t="str">
        <f t="shared" si="142"/>
        <v/>
      </c>
      <c r="AG139" s="318" t="str">
        <f t="shared" si="142"/>
        <v/>
      </c>
      <c r="AH139" s="318" t="str">
        <f t="shared" si="142"/>
        <v/>
      </c>
      <c r="AI139" s="318" t="str">
        <f t="shared" si="142"/>
        <v/>
      </c>
      <c r="AJ139" s="318" t="str">
        <f t="shared" si="142"/>
        <v/>
      </c>
      <c r="AK139" s="318" t="str">
        <f t="shared" si="142"/>
        <v/>
      </c>
      <c r="AL139" s="318" t="str">
        <f t="shared" si="142"/>
        <v/>
      </c>
      <c r="AM139" s="318" t="str">
        <f t="shared" si="142"/>
        <v/>
      </c>
      <c r="AN139" s="318" t="str">
        <f t="shared" si="142"/>
        <v/>
      </c>
      <c r="AO139" s="318" t="str">
        <f t="shared" si="143"/>
        <v/>
      </c>
      <c r="AP139" s="318" t="str">
        <f t="shared" si="143"/>
        <v/>
      </c>
      <c r="AQ139" s="318" t="str">
        <f t="shared" si="143"/>
        <v/>
      </c>
      <c r="AR139" s="318" t="str">
        <f t="shared" si="143"/>
        <v/>
      </c>
      <c r="AS139" s="318" t="str">
        <f t="shared" si="143"/>
        <v/>
      </c>
      <c r="AT139" s="318" t="str">
        <f t="shared" si="143"/>
        <v/>
      </c>
      <c r="AU139" s="318" t="str">
        <f t="shared" si="143"/>
        <v/>
      </c>
      <c r="AV139" s="318" t="str">
        <f t="shared" si="143"/>
        <v/>
      </c>
      <c r="AW139" s="318" t="str">
        <f t="shared" si="143"/>
        <v/>
      </c>
      <c r="AX139" s="318" t="str">
        <f t="shared" si="143"/>
        <v/>
      </c>
      <c r="AY139" s="318" t="str">
        <f t="shared" si="144"/>
        <v/>
      </c>
      <c r="AZ139" s="321" t="str">
        <f t="shared" si="144"/>
        <v/>
      </c>
      <c r="BA139" s="321">
        <f t="shared" si="144"/>
        <v>2.4987804805501002E-2</v>
      </c>
      <c r="BB139" s="321">
        <f t="shared" si="144"/>
        <v>5.0599999999999999E-2</v>
      </c>
      <c r="BC139" s="321">
        <f t="shared" si="144"/>
        <v>5.0599999999999999E-2</v>
      </c>
      <c r="BD139" s="321">
        <f t="shared" si="144"/>
        <v>5.0599999999999999E-2</v>
      </c>
      <c r="BE139" s="321">
        <f t="shared" si="144"/>
        <v>5.0599999999999999E-2</v>
      </c>
      <c r="BF139" s="321">
        <f t="shared" si="144"/>
        <v>5.0599999999999999E-2</v>
      </c>
      <c r="BG139" s="321">
        <f t="shared" si="144"/>
        <v>5.0599999999999999E-2</v>
      </c>
      <c r="BH139" s="321">
        <f t="shared" si="144"/>
        <v>5.0599999999999999E-2</v>
      </c>
      <c r="BI139" s="321">
        <f t="shared" si="144"/>
        <v>5.0599999999999999E-2</v>
      </c>
      <c r="BJ139" s="321">
        <f t="shared" si="144"/>
        <v>5.0599999999999999E-2</v>
      </c>
      <c r="BK139" s="321">
        <f t="shared" si="144"/>
        <v>2.4987804805501002E-2</v>
      </c>
      <c r="BL139" s="322" t="str">
        <f t="shared" si="144"/>
        <v/>
      </c>
      <c r="BM139" s="296"/>
    </row>
    <row r="140" spans="1:65" x14ac:dyDescent="0.25">
      <c r="A140" s="69"/>
      <c r="B140" s="297">
        <f t="shared" si="120"/>
        <v>2053</v>
      </c>
      <c r="C140" s="269" t="str">
        <f t="shared" si="134"/>
        <v/>
      </c>
      <c r="D140" s="318" t="str">
        <f t="shared" ref="D140:L150" si="146">IF(AND(D$88-$B140&gt;=1,D$88-$B140&lt;=9),HLOOKUP($B140,$C$10:$BL$11,2,FALSE),IF(OR(D$88-$B140=0,D$88-$B140=10),(HLOOKUP($B140,$C$10:$BL$11,2,FALSE))/2,""))</f>
        <v/>
      </c>
      <c r="E140" s="318" t="str">
        <f t="shared" si="146"/>
        <v/>
      </c>
      <c r="F140" s="318" t="str">
        <f t="shared" si="146"/>
        <v/>
      </c>
      <c r="G140" s="318" t="str">
        <f t="shared" si="146"/>
        <v/>
      </c>
      <c r="H140" s="318" t="str">
        <f t="shared" si="146"/>
        <v/>
      </c>
      <c r="I140" s="318" t="str">
        <f t="shared" si="146"/>
        <v/>
      </c>
      <c r="J140" s="318" t="str">
        <f t="shared" si="146"/>
        <v/>
      </c>
      <c r="K140" s="318" t="str">
        <f t="shared" si="146"/>
        <v/>
      </c>
      <c r="L140" s="318" t="str">
        <f t="shared" si="146"/>
        <v/>
      </c>
      <c r="M140" s="318" t="str">
        <f t="shared" si="145"/>
        <v/>
      </c>
      <c r="N140" s="318" t="str">
        <f t="shared" si="145"/>
        <v/>
      </c>
      <c r="O140" s="318" t="str">
        <f t="shared" si="145"/>
        <v/>
      </c>
      <c r="P140" s="318" t="str">
        <f t="shared" si="145"/>
        <v/>
      </c>
      <c r="Q140" s="318" t="str">
        <f t="shared" si="145"/>
        <v/>
      </c>
      <c r="R140" s="318" t="str">
        <f t="shared" si="145"/>
        <v/>
      </c>
      <c r="S140" s="318" t="str">
        <f t="shared" si="145"/>
        <v/>
      </c>
      <c r="T140" s="318" t="str">
        <f t="shared" si="126"/>
        <v/>
      </c>
      <c r="U140" s="318" t="str">
        <f t="shared" si="141"/>
        <v/>
      </c>
      <c r="V140" s="318" t="str">
        <f t="shared" si="141"/>
        <v/>
      </c>
      <c r="W140" s="318" t="str">
        <f t="shared" si="141"/>
        <v/>
      </c>
      <c r="X140" s="318" t="str">
        <f t="shared" si="141"/>
        <v/>
      </c>
      <c r="Y140" s="318" t="str">
        <f t="shared" si="141"/>
        <v/>
      </c>
      <c r="Z140" s="318" t="str">
        <f t="shared" si="141"/>
        <v/>
      </c>
      <c r="AA140" s="318" t="str">
        <f t="shared" si="141"/>
        <v/>
      </c>
      <c r="AB140" s="318" t="str">
        <f t="shared" si="141"/>
        <v/>
      </c>
      <c r="AC140" s="318" t="str">
        <f t="shared" si="141"/>
        <v/>
      </c>
      <c r="AD140" s="318" t="str">
        <f t="shared" si="141"/>
        <v/>
      </c>
      <c r="AE140" s="318" t="str">
        <f t="shared" si="142"/>
        <v/>
      </c>
      <c r="AF140" s="318" t="str">
        <f t="shared" si="142"/>
        <v/>
      </c>
      <c r="AG140" s="318" t="str">
        <f t="shared" si="142"/>
        <v/>
      </c>
      <c r="AH140" s="318" t="str">
        <f t="shared" si="142"/>
        <v/>
      </c>
      <c r="AI140" s="318" t="str">
        <f t="shared" si="142"/>
        <v/>
      </c>
      <c r="AJ140" s="318" t="str">
        <f t="shared" si="142"/>
        <v/>
      </c>
      <c r="AK140" s="318" t="str">
        <f t="shared" si="142"/>
        <v/>
      </c>
      <c r="AL140" s="318" t="str">
        <f t="shared" si="142"/>
        <v/>
      </c>
      <c r="AM140" s="318" t="str">
        <f t="shared" si="142"/>
        <v/>
      </c>
      <c r="AN140" s="318" t="str">
        <f t="shared" si="142"/>
        <v/>
      </c>
      <c r="AO140" s="318" t="str">
        <f t="shared" si="143"/>
        <v/>
      </c>
      <c r="AP140" s="318" t="str">
        <f t="shared" si="143"/>
        <v/>
      </c>
      <c r="AQ140" s="318" t="str">
        <f t="shared" si="143"/>
        <v/>
      </c>
      <c r="AR140" s="318" t="str">
        <f t="shared" si="143"/>
        <v/>
      </c>
      <c r="AS140" s="318" t="str">
        <f t="shared" si="143"/>
        <v/>
      </c>
      <c r="AT140" s="318" t="str">
        <f t="shared" si="143"/>
        <v/>
      </c>
      <c r="AU140" s="318" t="str">
        <f t="shared" si="143"/>
        <v/>
      </c>
      <c r="AV140" s="318" t="str">
        <f t="shared" si="143"/>
        <v/>
      </c>
      <c r="AW140" s="318" t="str">
        <f t="shared" si="143"/>
        <v/>
      </c>
      <c r="AX140" s="318" t="str">
        <f t="shared" si="143"/>
        <v/>
      </c>
      <c r="AY140" s="318" t="str">
        <f t="shared" si="144"/>
        <v/>
      </c>
      <c r="AZ140" s="321" t="str">
        <f t="shared" si="144"/>
        <v/>
      </c>
      <c r="BA140" s="321" t="str">
        <f t="shared" si="144"/>
        <v/>
      </c>
      <c r="BB140" s="321">
        <f t="shared" si="144"/>
        <v>2.4987804805501002E-2</v>
      </c>
      <c r="BC140" s="321">
        <f t="shared" si="144"/>
        <v>5.0599999999999999E-2</v>
      </c>
      <c r="BD140" s="321">
        <f t="shared" si="144"/>
        <v>5.0599999999999999E-2</v>
      </c>
      <c r="BE140" s="321">
        <f t="shared" si="144"/>
        <v>5.0599999999999999E-2</v>
      </c>
      <c r="BF140" s="321">
        <f t="shared" si="144"/>
        <v>5.0599999999999999E-2</v>
      </c>
      <c r="BG140" s="321">
        <f t="shared" si="144"/>
        <v>5.0599999999999999E-2</v>
      </c>
      <c r="BH140" s="321">
        <f t="shared" si="144"/>
        <v>5.0599999999999999E-2</v>
      </c>
      <c r="BI140" s="321">
        <f t="shared" si="144"/>
        <v>5.0599999999999999E-2</v>
      </c>
      <c r="BJ140" s="321">
        <f t="shared" si="144"/>
        <v>5.0599999999999999E-2</v>
      </c>
      <c r="BK140" s="321">
        <f t="shared" si="144"/>
        <v>5.0599999999999999E-2</v>
      </c>
      <c r="BL140" s="322">
        <f t="shared" si="144"/>
        <v>2.4987804805501002E-2</v>
      </c>
      <c r="BM140" s="296"/>
    </row>
    <row r="141" spans="1:65" x14ac:dyDescent="0.25">
      <c r="A141" s="69"/>
      <c r="B141" s="297">
        <f t="shared" si="120"/>
        <v>2054</v>
      </c>
      <c r="C141" s="269" t="str">
        <f t="shared" si="134"/>
        <v/>
      </c>
      <c r="D141" s="318" t="str">
        <f t="shared" si="146"/>
        <v/>
      </c>
      <c r="E141" s="318" t="str">
        <f t="shared" si="146"/>
        <v/>
      </c>
      <c r="F141" s="318" t="str">
        <f t="shared" si="146"/>
        <v/>
      </c>
      <c r="G141" s="318" t="str">
        <f t="shared" si="146"/>
        <v/>
      </c>
      <c r="H141" s="318" t="str">
        <f t="shared" si="146"/>
        <v/>
      </c>
      <c r="I141" s="318" t="str">
        <f t="shared" si="146"/>
        <v/>
      </c>
      <c r="J141" s="318" t="str">
        <f t="shared" si="146"/>
        <v/>
      </c>
      <c r="K141" s="318" t="str">
        <f t="shared" si="146"/>
        <v/>
      </c>
      <c r="L141" s="318" t="str">
        <f t="shared" si="146"/>
        <v/>
      </c>
      <c r="M141" s="318" t="str">
        <f t="shared" si="145"/>
        <v/>
      </c>
      <c r="N141" s="318" t="str">
        <f t="shared" si="145"/>
        <v/>
      </c>
      <c r="O141" s="318" t="str">
        <f t="shared" si="145"/>
        <v/>
      </c>
      <c r="P141" s="318" t="str">
        <f t="shared" si="145"/>
        <v/>
      </c>
      <c r="Q141" s="318" t="str">
        <f t="shared" si="145"/>
        <v/>
      </c>
      <c r="R141" s="318" t="str">
        <f t="shared" si="145"/>
        <v/>
      </c>
      <c r="S141" s="318" t="str">
        <f t="shared" si="145"/>
        <v/>
      </c>
      <c r="T141" s="318" t="str">
        <f t="shared" si="126"/>
        <v/>
      </c>
      <c r="U141" s="318" t="str">
        <f t="shared" si="141"/>
        <v/>
      </c>
      <c r="V141" s="318" t="str">
        <f t="shared" si="141"/>
        <v/>
      </c>
      <c r="W141" s="318" t="str">
        <f t="shared" si="141"/>
        <v/>
      </c>
      <c r="X141" s="318" t="str">
        <f t="shared" si="141"/>
        <v/>
      </c>
      <c r="Y141" s="318" t="str">
        <f t="shared" si="141"/>
        <v/>
      </c>
      <c r="Z141" s="318" t="str">
        <f t="shared" si="141"/>
        <v/>
      </c>
      <c r="AA141" s="318" t="str">
        <f t="shared" si="141"/>
        <v/>
      </c>
      <c r="AB141" s="318" t="str">
        <f t="shared" si="141"/>
        <v/>
      </c>
      <c r="AC141" s="318" t="str">
        <f t="shared" si="141"/>
        <v/>
      </c>
      <c r="AD141" s="318" t="str">
        <f t="shared" si="141"/>
        <v/>
      </c>
      <c r="AE141" s="318" t="str">
        <f t="shared" si="142"/>
        <v/>
      </c>
      <c r="AF141" s="318" t="str">
        <f t="shared" si="142"/>
        <v/>
      </c>
      <c r="AG141" s="318" t="str">
        <f t="shared" si="142"/>
        <v/>
      </c>
      <c r="AH141" s="318" t="str">
        <f t="shared" si="142"/>
        <v/>
      </c>
      <c r="AI141" s="318" t="str">
        <f t="shared" si="142"/>
        <v/>
      </c>
      <c r="AJ141" s="318" t="str">
        <f t="shared" si="142"/>
        <v/>
      </c>
      <c r="AK141" s="318" t="str">
        <f t="shared" si="142"/>
        <v/>
      </c>
      <c r="AL141" s="318" t="str">
        <f t="shared" si="142"/>
        <v/>
      </c>
      <c r="AM141" s="318" t="str">
        <f t="shared" si="142"/>
        <v/>
      </c>
      <c r="AN141" s="318" t="str">
        <f t="shared" si="142"/>
        <v/>
      </c>
      <c r="AO141" s="318" t="str">
        <f t="shared" si="143"/>
        <v/>
      </c>
      <c r="AP141" s="318" t="str">
        <f t="shared" si="143"/>
        <v/>
      </c>
      <c r="AQ141" s="318" t="str">
        <f t="shared" si="143"/>
        <v/>
      </c>
      <c r="AR141" s="318" t="str">
        <f t="shared" si="143"/>
        <v/>
      </c>
      <c r="AS141" s="318" t="str">
        <f t="shared" si="143"/>
        <v/>
      </c>
      <c r="AT141" s="318" t="str">
        <f t="shared" si="143"/>
        <v/>
      </c>
      <c r="AU141" s="318" t="str">
        <f t="shared" si="143"/>
        <v/>
      </c>
      <c r="AV141" s="318" t="str">
        <f t="shared" si="143"/>
        <v/>
      </c>
      <c r="AW141" s="318" t="str">
        <f t="shared" si="143"/>
        <v/>
      </c>
      <c r="AX141" s="318" t="str">
        <f t="shared" si="143"/>
        <v/>
      </c>
      <c r="AY141" s="318" t="str">
        <f t="shared" si="144"/>
        <v/>
      </c>
      <c r="AZ141" s="321" t="str">
        <f t="shared" si="144"/>
        <v/>
      </c>
      <c r="BA141" s="321" t="str">
        <f t="shared" si="144"/>
        <v/>
      </c>
      <c r="BB141" s="321" t="str">
        <f t="shared" si="144"/>
        <v/>
      </c>
      <c r="BC141" s="321">
        <f t="shared" si="144"/>
        <v>2.4987804805501002E-2</v>
      </c>
      <c r="BD141" s="321">
        <f t="shared" si="144"/>
        <v>5.0599999999999999E-2</v>
      </c>
      <c r="BE141" s="321">
        <f t="shared" si="144"/>
        <v>5.0599999999999999E-2</v>
      </c>
      <c r="BF141" s="321">
        <f t="shared" si="144"/>
        <v>5.0599999999999999E-2</v>
      </c>
      <c r="BG141" s="321">
        <f t="shared" si="144"/>
        <v>5.0599999999999999E-2</v>
      </c>
      <c r="BH141" s="321">
        <f t="shared" si="144"/>
        <v>5.0599999999999999E-2</v>
      </c>
      <c r="BI141" s="321">
        <f t="shared" si="144"/>
        <v>5.0599999999999999E-2</v>
      </c>
      <c r="BJ141" s="321">
        <f t="shared" si="144"/>
        <v>5.0599999999999999E-2</v>
      </c>
      <c r="BK141" s="321">
        <f t="shared" si="144"/>
        <v>5.0599999999999999E-2</v>
      </c>
      <c r="BL141" s="322">
        <f t="shared" si="144"/>
        <v>5.0599999999999999E-2</v>
      </c>
      <c r="BM141" s="296"/>
    </row>
    <row r="142" spans="1:65" x14ac:dyDescent="0.25">
      <c r="A142" s="69"/>
      <c r="B142" s="297">
        <f t="shared" si="120"/>
        <v>2055</v>
      </c>
      <c r="C142" s="269" t="str">
        <f t="shared" si="134"/>
        <v/>
      </c>
      <c r="D142" s="318" t="str">
        <f t="shared" si="146"/>
        <v/>
      </c>
      <c r="E142" s="318" t="str">
        <f t="shared" si="146"/>
        <v/>
      </c>
      <c r="F142" s="318" t="str">
        <f t="shared" si="146"/>
        <v/>
      </c>
      <c r="G142" s="318" t="str">
        <f t="shared" si="146"/>
        <v/>
      </c>
      <c r="H142" s="318" t="str">
        <f t="shared" si="146"/>
        <v/>
      </c>
      <c r="I142" s="318" t="str">
        <f t="shared" si="146"/>
        <v/>
      </c>
      <c r="J142" s="318" t="str">
        <f t="shared" si="146"/>
        <v/>
      </c>
      <c r="K142" s="318" t="str">
        <f t="shared" si="146"/>
        <v/>
      </c>
      <c r="L142" s="318" t="str">
        <f t="shared" si="146"/>
        <v/>
      </c>
      <c r="M142" s="318" t="str">
        <f t="shared" si="145"/>
        <v/>
      </c>
      <c r="N142" s="318" t="str">
        <f t="shared" si="145"/>
        <v/>
      </c>
      <c r="O142" s="318" t="str">
        <f t="shared" si="145"/>
        <v/>
      </c>
      <c r="P142" s="318" t="str">
        <f t="shared" si="145"/>
        <v/>
      </c>
      <c r="Q142" s="318" t="str">
        <f t="shared" si="145"/>
        <v/>
      </c>
      <c r="R142" s="318" t="str">
        <f t="shared" si="145"/>
        <v/>
      </c>
      <c r="S142" s="318" t="str">
        <f t="shared" si="145"/>
        <v/>
      </c>
      <c r="T142" s="318" t="str">
        <f t="shared" si="126"/>
        <v/>
      </c>
      <c r="U142" s="318" t="str">
        <f t="shared" ref="U142:AD150" si="147">IF(AND(U$88-$B142&gt;=1,U$88-$B142&lt;=9),HLOOKUP($B142,$C$10:$BL$11,2,FALSE),IF(OR(U$88-$B142=0,U$88-$B142=10),POWER((HLOOKUP($B142,$C$10:$BL$11,2,FALSE))+1,1/2)-1,""))</f>
        <v/>
      </c>
      <c r="V142" s="318" t="str">
        <f t="shared" si="147"/>
        <v/>
      </c>
      <c r="W142" s="318" t="str">
        <f t="shared" si="147"/>
        <v/>
      </c>
      <c r="X142" s="318" t="str">
        <f t="shared" si="147"/>
        <v/>
      </c>
      <c r="Y142" s="318" t="str">
        <f t="shared" si="147"/>
        <v/>
      </c>
      <c r="Z142" s="318" t="str">
        <f t="shared" si="147"/>
        <v/>
      </c>
      <c r="AA142" s="318" t="str">
        <f t="shared" si="147"/>
        <v/>
      </c>
      <c r="AB142" s="318" t="str">
        <f t="shared" si="147"/>
        <v/>
      </c>
      <c r="AC142" s="318" t="str">
        <f t="shared" si="147"/>
        <v/>
      </c>
      <c r="AD142" s="318" t="str">
        <f t="shared" si="147"/>
        <v/>
      </c>
      <c r="AE142" s="318" t="str">
        <f t="shared" si="142"/>
        <v/>
      </c>
      <c r="AF142" s="318" t="str">
        <f t="shared" si="142"/>
        <v/>
      </c>
      <c r="AG142" s="318" t="str">
        <f t="shared" si="142"/>
        <v/>
      </c>
      <c r="AH142" s="318" t="str">
        <f t="shared" si="142"/>
        <v/>
      </c>
      <c r="AI142" s="318" t="str">
        <f t="shared" si="142"/>
        <v/>
      </c>
      <c r="AJ142" s="318" t="str">
        <f t="shared" si="142"/>
        <v/>
      </c>
      <c r="AK142" s="318" t="str">
        <f t="shared" si="142"/>
        <v/>
      </c>
      <c r="AL142" s="318" t="str">
        <f t="shared" si="142"/>
        <v/>
      </c>
      <c r="AM142" s="318" t="str">
        <f t="shared" si="142"/>
        <v/>
      </c>
      <c r="AN142" s="318" t="str">
        <f t="shared" si="142"/>
        <v/>
      </c>
      <c r="AO142" s="318" t="str">
        <f t="shared" si="143"/>
        <v/>
      </c>
      <c r="AP142" s="318" t="str">
        <f t="shared" si="143"/>
        <v/>
      </c>
      <c r="AQ142" s="318" t="str">
        <f t="shared" si="143"/>
        <v/>
      </c>
      <c r="AR142" s="318" t="str">
        <f t="shared" si="143"/>
        <v/>
      </c>
      <c r="AS142" s="318" t="str">
        <f t="shared" si="143"/>
        <v/>
      </c>
      <c r="AT142" s="318" t="str">
        <f t="shared" si="143"/>
        <v/>
      </c>
      <c r="AU142" s="318" t="str">
        <f t="shared" si="143"/>
        <v/>
      </c>
      <c r="AV142" s="318" t="str">
        <f t="shared" si="143"/>
        <v/>
      </c>
      <c r="AW142" s="318" t="str">
        <f t="shared" si="143"/>
        <v/>
      </c>
      <c r="AX142" s="318" t="str">
        <f t="shared" si="143"/>
        <v/>
      </c>
      <c r="AY142" s="318" t="str">
        <f t="shared" si="144"/>
        <v/>
      </c>
      <c r="AZ142" s="321" t="str">
        <f t="shared" si="144"/>
        <v/>
      </c>
      <c r="BA142" s="321" t="str">
        <f t="shared" si="144"/>
        <v/>
      </c>
      <c r="BB142" s="321" t="str">
        <f t="shared" si="144"/>
        <v/>
      </c>
      <c r="BC142" s="321" t="str">
        <f t="shared" si="144"/>
        <v/>
      </c>
      <c r="BD142" s="321">
        <f t="shared" si="144"/>
        <v>2.4987804805501002E-2</v>
      </c>
      <c r="BE142" s="321">
        <f t="shared" si="144"/>
        <v>5.0599999999999999E-2</v>
      </c>
      <c r="BF142" s="321">
        <f t="shared" si="144"/>
        <v>5.0599999999999999E-2</v>
      </c>
      <c r="BG142" s="321">
        <f t="shared" si="144"/>
        <v>5.0599999999999999E-2</v>
      </c>
      <c r="BH142" s="321">
        <f t="shared" si="144"/>
        <v>5.0599999999999999E-2</v>
      </c>
      <c r="BI142" s="321">
        <f t="shared" si="144"/>
        <v>5.0599999999999999E-2</v>
      </c>
      <c r="BJ142" s="321">
        <f t="shared" si="144"/>
        <v>5.0599999999999999E-2</v>
      </c>
      <c r="BK142" s="321">
        <f t="shared" si="144"/>
        <v>5.0599999999999999E-2</v>
      </c>
      <c r="BL142" s="322">
        <f t="shared" si="144"/>
        <v>5.0599999999999999E-2</v>
      </c>
      <c r="BM142" s="296"/>
    </row>
    <row r="143" spans="1:65" x14ac:dyDescent="0.25">
      <c r="A143" s="69"/>
      <c r="B143" s="297">
        <f t="shared" si="120"/>
        <v>2056</v>
      </c>
      <c r="C143" s="269" t="str">
        <f t="shared" si="134"/>
        <v/>
      </c>
      <c r="D143" s="318" t="str">
        <f t="shared" si="146"/>
        <v/>
      </c>
      <c r="E143" s="318" t="str">
        <f t="shared" si="146"/>
        <v/>
      </c>
      <c r="F143" s="318" t="str">
        <f t="shared" si="146"/>
        <v/>
      </c>
      <c r="G143" s="318" t="str">
        <f t="shared" si="146"/>
        <v/>
      </c>
      <c r="H143" s="318" t="str">
        <f t="shared" si="146"/>
        <v/>
      </c>
      <c r="I143" s="318" t="str">
        <f t="shared" si="146"/>
        <v/>
      </c>
      <c r="J143" s="318" t="str">
        <f t="shared" si="146"/>
        <v/>
      </c>
      <c r="K143" s="318" t="str">
        <f t="shared" si="146"/>
        <v/>
      </c>
      <c r="L143" s="318" t="str">
        <f t="shared" si="146"/>
        <v/>
      </c>
      <c r="M143" s="318" t="str">
        <f t="shared" si="145"/>
        <v/>
      </c>
      <c r="N143" s="318" t="str">
        <f t="shared" si="145"/>
        <v/>
      </c>
      <c r="O143" s="318" t="str">
        <f t="shared" si="145"/>
        <v/>
      </c>
      <c r="P143" s="318" t="str">
        <f t="shared" si="145"/>
        <v/>
      </c>
      <c r="Q143" s="318" t="str">
        <f t="shared" si="145"/>
        <v/>
      </c>
      <c r="R143" s="318" t="str">
        <f t="shared" si="145"/>
        <v/>
      </c>
      <c r="S143" s="318" t="str">
        <f t="shared" si="145"/>
        <v/>
      </c>
      <c r="T143" s="318" t="str">
        <f t="shared" si="126"/>
        <v/>
      </c>
      <c r="U143" s="318" t="str">
        <f t="shared" si="147"/>
        <v/>
      </c>
      <c r="V143" s="318" t="str">
        <f t="shared" si="147"/>
        <v/>
      </c>
      <c r="W143" s="318" t="str">
        <f t="shared" si="147"/>
        <v/>
      </c>
      <c r="X143" s="318" t="str">
        <f t="shared" si="147"/>
        <v/>
      </c>
      <c r="Y143" s="318" t="str">
        <f t="shared" si="147"/>
        <v/>
      </c>
      <c r="Z143" s="318" t="str">
        <f t="shared" si="147"/>
        <v/>
      </c>
      <c r="AA143" s="318" t="str">
        <f t="shared" si="147"/>
        <v/>
      </c>
      <c r="AB143" s="318" t="str">
        <f t="shared" si="147"/>
        <v/>
      </c>
      <c r="AC143" s="318" t="str">
        <f t="shared" si="147"/>
        <v/>
      </c>
      <c r="AD143" s="318" t="str">
        <f t="shared" si="147"/>
        <v/>
      </c>
      <c r="AE143" s="318" t="str">
        <f t="shared" si="142"/>
        <v/>
      </c>
      <c r="AF143" s="318" t="str">
        <f t="shared" si="142"/>
        <v/>
      </c>
      <c r="AG143" s="318" t="str">
        <f t="shared" si="142"/>
        <v/>
      </c>
      <c r="AH143" s="318" t="str">
        <f t="shared" si="142"/>
        <v/>
      </c>
      <c r="AI143" s="318" t="str">
        <f t="shared" si="142"/>
        <v/>
      </c>
      <c r="AJ143" s="318" t="str">
        <f t="shared" si="142"/>
        <v/>
      </c>
      <c r="AK143" s="318" t="str">
        <f t="shared" si="142"/>
        <v/>
      </c>
      <c r="AL143" s="318" t="str">
        <f t="shared" si="142"/>
        <v/>
      </c>
      <c r="AM143" s="318" t="str">
        <f t="shared" si="142"/>
        <v/>
      </c>
      <c r="AN143" s="318" t="str">
        <f t="shared" si="142"/>
        <v/>
      </c>
      <c r="AO143" s="318" t="str">
        <f t="shared" si="143"/>
        <v/>
      </c>
      <c r="AP143" s="318" t="str">
        <f t="shared" si="143"/>
        <v/>
      </c>
      <c r="AQ143" s="318" t="str">
        <f t="shared" si="143"/>
        <v/>
      </c>
      <c r="AR143" s="318" t="str">
        <f t="shared" si="143"/>
        <v/>
      </c>
      <c r="AS143" s="318" t="str">
        <f t="shared" si="143"/>
        <v/>
      </c>
      <c r="AT143" s="318" t="str">
        <f t="shared" si="143"/>
        <v/>
      </c>
      <c r="AU143" s="318" t="str">
        <f t="shared" si="143"/>
        <v/>
      </c>
      <c r="AV143" s="318" t="str">
        <f t="shared" si="143"/>
        <v/>
      </c>
      <c r="AW143" s="318" t="str">
        <f t="shared" si="143"/>
        <v/>
      </c>
      <c r="AX143" s="318" t="str">
        <f t="shared" si="143"/>
        <v/>
      </c>
      <c r="AY143" s="318" t="str">
        <f t="shared" si="144"/>
        <v/>
      </c>
      <c r="AZ143" s="321" t="str">
        <f t="shared" si="144"/>
        <v/>
      </c>
      <c r="BA143" s="321" t="str">
        <f t="shared" si="144"/>
        <v/>
      </c>
      <c r="BB143" s="321" t="str">
        <f t="shared" si="144"/>
        <v/>
      </c>
      <c r="BC143" s="321" t="str">
        <f t="shared" si="144"/>
        <v/>
      </c>
      <c r="BD143" s="321" t="str">
        <f t="shared" si="144"/>
        <v/>
      </c>
      <c r="BE143" s="321">
        <f t="shared" si="144"/>
        <v>2.4987804805501002E-2</v>
      </c>
      <c r="BF143" s="321">
        <f t="shared" si="144"/>
        <v>5.0599999999999999E-2</v>
      </c>
      <c r="BG143" s="321">
        <f t="shared" si="144"/>
        <v>5.0599999999999999E-2</v>
      </c>
      <c r="BH143" s="321">
        <f t="shared" si="144"/>
        <v>5.0599999999999999E-2</v>
      </c>
      <c r="BI143" s="321">
        <f t="shared" si="144"/>
        <v>5.0599999999999999E-2</v>
      </c>
      <c r="BJ143" s="321">
        <f t="shared" si="144"/>
        <v>5.0599999999999999E-2</v>
      </c>
      <c r="BK143" s="321">
        <f t="shared" si="144"/>
        <v>5.0599999999999999E-2</v>
      </c>
      <c r="BL143" s="322">
        <f t="shared" si="144"/>
        <v>5.0599999999999999E-2</v>
      </c>
      <c r="BM143" s="296"/>
    </row>
    <row r="144" spans="1:65" x14ac:dyDescent="0.25">
      <c r="A144" s="69"/>
      <c r="B144" s="297">
        <f t="shared" si="120"/>
        <v>2057</v>
      </c>
      <c r="C144" s="269" t="str">
        <f t="shared" si="134"/>
        <v/>
      </c>
      <c r="D144" s="318" t="str">
        <f t="shared" si="146"/>
        <v/>
      </c>
      <c r="E144" s="318" t="str">
        <f t="shared" si="146"/>
        <v/>
      </c>
      <c r="F144" s="318" t="str">
        <f t="shared" si="146"/>
        <v/>
      </c>
      <c r="G144" s="318" t="str">
        <f t="shared" si="146"/>
        <v/>
      </c>
      <c r="H144" s="318" t="str">
        <f t="shared" si="146"/>
        <v/>
      </c>
      <c r="I144" s="318" t="str">
        <f t="shared" si="146"/>
        <v/>
      </c>
      <c r="J144" s="318" t="str">
        <f t="shared" si="146"/>
        <v/>
      </c>
      <c r="K144" s="318" t="str">
        <f t="shared" si="146"/>
        <v/>
      </c>
      <c r="L144" s="318" t="str">
        <f t="shared" si="146"/>
        <v/>
      </c>
      <c r="M144" s="318" t="str">
        <f t="shared" si="145"/>
        <v/>
      </c>
      <c r="N144" s="318" t="str">
        <f t="shared" si="145"/>
        <v/>
      </c>
      <c r="O144" s="318" t="str">
        <f t="shared" si="145"/>
        <v/>
      </c>
      <c r="P144" s="318" t="str">
        <f t="shared" si="145"/>
        <v/>
      </c>
      <c r="Q144" s="318" t="str">
        <f t="shared" si="145"/>
        <v/>
      </c>
      <c r="R144" s="318" t="str">
        <f t="shared" si="145"/>
        <v/>
      </c>
      <c r="S144" s="318" t="str">
        <f t="shared" si="145"/>
        <v/>
      </c>
      <c r="T144" s="318" t="str">
        <f t="shared" si="126"/>
        <v/>
      </c>
      <c r="U144" s="318" t="str">
        <f t="shared" si="147"/>
        <v/>
      </c>
      <c r="V144" s="318" t="str">
        <f t="shared" si="147"/>
        <v/>
      </c>
      <c r="W144" s="318" t="str">
        <f t="shared" si="147"/>
        <v/>
      </c>
      <c r="X144" s="318" t="str">
        <f t="shared" si="147"/>
        <v/>
      </c>
      <c r="Y144" s="318" t="str">
        <f t="shared" si="147"/>
        <v/>
      </c>
      <c r="Z144" s="318" t="str">
        <f t="shared" si="147"/>
        <v/>
      </c>
      <c r="AA144" s="318" t="str">
        <f t="shared" si="147"/>
        <v/>
      </c>
      <c r="AB144" s="318" t="str">
        <f t="shared" si="147"/>
        <v/>
      </c>
      <c r="AC144" s="318" t="str">
        <f t="shared" si="147"/>
        <v/>
      </c>
      <c r="AD144" s="318" t="str">
        <f t="shared" si="147"/>
        <v/>
      </c>
      <c r="AE144" s="318" t="str">
        <f t="shared" si="142"/>
        <v/>
      </c>
      <c r="AF144" s="318" t="str">
        <f t="shared" si="142"/>
        <v/>
      </c>
      <c r="AG144" s="318" t="str">
        <f t="shared" si="142"/>
        <v/>
      </c>
      <c r="AH144" s="318" t="str">
        <f t="shared" si="142"/>
        <v/>
      </c>
      <c r="AI144" s="318" t="str">
        <f t="shared" si="142"/>
        <v/>
      </c>
      <c r="AJ144" s="318" t="str">
        <f t="shared" si="142"/>
        <v/>
      </c>
      <c r="AK144" s="318" t="str">
        <f t="shared" si="142"/>
        <v/>
      </c>
      <c r="AL144" s="318" t="str">
        <f t="shared" si="142"/>
        <v/>
      </c>
      <c r="AM144" s="318" t="str">
        <f t="shared" si="142"/>
        <v/>
      </c>
      <c r="AN144" s="318" t="str">
        <f t="shared" si="142"/>
        <v/>
      </c>
      <c r="AO144" s="318" t="str">
        <f t="shared" si="143"/>
        <v/>
      </c>
      <c r="AP144" s="318" t="str">
        <f t="shared" si="143"/>
        <v/>
      </c>
      <c r="AQ144" s="318" t="str">
        <f t="shared" si="143"/>
        <v/>
      </c>
      <c r="AR144" s="318" t="str">
        <f t="shared" si="143"/>
        <v/>
      </c>
      <c r="AS144" s="318" t="str">
        <f t="shared" si="143"/>
        <v/>
      </c>
      <c r="AT144" s="318" t="str">
        <f t="shared" si="143"/>
        <v/>
      </c>
      <c r="AU144" s="318" t="str">
        <f t="shared" si="143"/>
        <v/>
      </c>
      <c r="AV144" s="318" t="str">
        <f t="shared" si="143"/>
        <v/>
      </c>
      <c r="AW144" s="318" t="str">
        <f t="shared" si="143"/>
        <v/>
      </c>
      <c r="AX144" s="318" t="str">
        <f t="shared" si="143"/>
        <v/>
      </c>
      <c r="AY144" s="318" t="str">
        <f t="shared" si="144"/>
        <v/>
      </c>
      <c r="AZ144" s="321" t="str">
        <f t="shared" si="144"/>
        <v/>
      </c>
      <c r="BA144" s="321" t="str">
        <f t="shared" si="144"/>
        <v/>
      </c>
      <c r="BB144" s="321" t="str">
        <f t="shared" si="144"/>
        <v/>
      </c>
      <c r="BC144" s="321" t="str">
        <f t="shared" si="144"/>
        <v/>
      </c>
      <c r="BD144" s="321" t="str">
        <f t="shared" si="144"/>
        <v/>
      </c>
      <c r="BE144" s="321" t="str">
        <f t="shared" si="144"/>
        <v/>
      </c>
      <c r="BF144" s="321">
        <f t="shared" si="144"/>
        <v>2.4987804805501002E-2</v>
      </c>
      <c r="BG144" s="321">
        <f t="shared" si="144"/>
        <v>5.0599999999999999E-2</v>
      </c>
      <c r="BH144" s="321">
        <f t="shared" si="144"/>
        <v>5.0599999999999999E-2</v>
      </c>
      <c r="BI144" s="321">
        <f t="shared" si="144"/>
        <v>5.0599999999999999E-2</v>
      </c>
      <c r="BJ144" s="321">
        <f t="shared" si="144"/>
        <v>5.0599999999999999E-2</v>
      </c>
      <c r="BK144" s="321">
        <f t="shared" si="144"/>
        <v>5.0599999999999999E-2</v>
      </c>
      <c r="BL144" s="322">
        <f t="shared" si="144"/>
        <v>5.0599999999999999E-2</v>
      </c>
      <c r="BM144" s="296"/>
    </row>
    <row r="145" spans="1:65" x14ac:dyDescent="0.25">
      <c r="A145" s="69"/>
      <c r="B145" s="297">
        <f t="shared" si="120"/>
        <v>2058</v>
      </c>
      <c r="C145" s="269" t="str">
        <f t="shared" si="134"/>
        <v/>
      </c>
      <c r="D145" s="318" t="str">
        <f t="shared" si="146"/>
        <v/>
      </c>
      <c r="E145" s="318" t="str">
        <f t="shared" si="146"/>
        <v/>
      </c>
      <c r="F145" s="318" t="str">
        <f t="shared" si="146"/>
        <v/>
      </c>
      <c r="G145" s="318" t="str">
        <f t="shared" si="146"/>
        <v/>
      </c>
      <c r="H145" s="318" t="str">
        <f t="shared" si="146"/>
        <v/>
      </c>
      <c r="I145" s="318" t="str">
        <f t="shared" si="146"/>
        <v/>
      </c>
      <c r="J145" s="318" t="str">
        <f t="shared" si="146"/>
        <v/>
      </c>
      <c r="K145" s="318" t="str">
        <f t="shared" si="146"/>
        <v/>
      </c>
      <c r="L145" s="318" t="str">
        <f t="shared" si="146"/>
        <v/>
      </c>
      <c r="M145" s="318" t="str">
        <f t="shared" si="145"/>
        <v/>
      </c>
      <c r="N145" s="318" t="str">
        <f t="shared" si="145"/>
        <v/>
      </c>
      <c r="O145" s="318" t="str">
        <f t="shared" si="145"/>
        <v/>
      </c>
      <c r="P145" s="318" t="str">
        <f t="shared" si="145"/>
        <v/>
      </c>
      <c r="Q145" s="318" t="str">
        <f t="shared" si="145"/>
        <v/>
      </c>
      <c r="R145" s="318" t="str">
        <f t="shared" si="145"/>
        <v/>
      </c>
      <c r="S145" s="318" t="str">
        <f t="shared" si="145"/>
        <v/>
      </c>
      <c r="T145" s="318" t="str">
        <f t="shared" si="126"/>
        <v/>
      </c>
      <c r="U145" s="318" t="str">
        <f t="shared" si="147"/>
        <v/>
      </c>
      <c r="V145" s="318" t="str">
        <f t="shared" si="147"/>
        <v/>
      </c>
      <c r="W145" s="318" t="str">
        <f t="shared" si="147"/>
        <v/>
      </c>
      <c r="X145" s="318" t="str">
        <f t="shared" si="147"/>
        <v/>
      </c>
      <c r="Y145" s="318" t="str">
        <f t="shared" si="147"/>
        <v/>
      </c>
      <c r="Z145" s="318" t="str">
        <f t="shared" si="147"/>
        <v/>
      </c>
      <c r="AA145" s="318" t="str">
        <f t="shared" si="147"/>
        <v/>
      </c>
      <c r="AB145" s="318" t="str">
        <f t="shared" si="147"/>
        <v/>
      </c>
      <c r="AC145" s="318" t="str">
        <f t="shared" si="147"/>
        <v/>
      </c>
      <c r="AD145" s="318" t="str">
        <f t="shared" si="147"/>
        <v/>
      </c>
      <c r="AE145" s="318" t="str">
        <f t="shared" si="142"/>
        <v/>
      </c>
      <c r="AF145" s="318" t="str">
        <f t="shared" si="142"/>
        <v/>
      </c>
      <c r="AG145" s="318" t="str">
        <f t="shared" si="142"/>
        <v/>
      </c>
      <c r="AH145" s="318" t="str">
        <f t="shared" si="142"/>
        <v/>
      </c>
      <c r="AI145" s="318" t="str">
        <f t="shared" si="142"/>
        <v/>
      </c>
      <c r="AJ145" s="318" t="str">
        <f t="shared" si="142"/>
        <v/>
      </c>
      <c r="AK145" s="318" t="str">
        <f t="shared" si="142"/>
        <v/>
      </c>
      <c r="AL145" s="318" t="str">
        <f t="shared" si="142"/>
        <v/>
      </c>
      <c r="AM145" s="318" t="str">
        <f t="shared" si="142"/>
        <v/>
      </c>
      <c r="AN145" s="318" t="str">
        <f t="shared" si="142"/>
        <v/>
      </c>
      <c r="AO145" s="318" t="str">
        <f t="shared" si="143"/>
        <v/>
      </c>
      <c r="AP145" s="318" t="str">
        <f t="shared" si="143"/>
        <v/>
      </c>
      <c r="AQ145" s="318" t="str">
        <f t="shared" si="143"/>
        <v/>
      </c>
      <c r="AR145" s="318" t="str">
        <f t="shared" si="143"/>
        <v/>
      </c>
      <c r="AS145" s="318" t="str">
        <f t="shared" si="143"/>
        <v/>
      </c>
      <c r="AT145" s="318" t="str">
        <f t="shared" si="143"/>
        <v/>
      </c>
      <c r="AU145" s="318" t="str">
        <f t="shared" si="143"/>
        <v/>
      </c>
      <c r="AV145" s="318" t="str">
        <f t="shared" si="143"/>
        <v/>
      </c>
      <c r="AW145" s="318" t="str">
        <f t="shared" si="143"/>
        <v/>
      </c>
      <c r="AX145" s="318" t="str">
        <f t="shared" si="143"/>
        <v/>
      </c>
      <c r="AY145" s="318" t="str">
        <f t="shared" si="144"/>
        <v/>
      </c>
      <c r="AZ145" s="321" t="str">
        <f t="shared" si="144"/>
        <v/>
      </c>
      <c r="BA145" s="321" t="str">
        <f t="shared" si="144"/>
        <v/>
      </c>
      <c r="BB145" s="321" t="str">
        <f t="shared" si="144"/>
        <v/>
      </c>
      <c r="BC145" s="321" t="str">
        <f t="shared" si="144"/>
        <v/>
      </c>
      <c r="BD145" s="321" t="str">
        <f t="shared" si="144"/>
        <v/>
      </c>
      <c r="BE145" s="321" t="str">
        <f t="shared" si="144"/>
        <v/>
      </c>
      <c r="BF145" s="321" t="str">
        <f t="shared" si="144"/>
        <v/>
      </c>
      <c r="BG145" s="321">
        <f t="shared" si="144"/>
        <v>2.4987804805501002E-2</v>
      </c>
      <c r="BH145" s="321">
        <f t="shared" si="144"/>
        <v>5.0599999999999999E-2</v>
      </c>
      <c r="BI145" s="321">
        <f t="shared" si="144"/>
        <v>5.0599999999999999E-2</v>
      </c>
      <c r="BJ145" s="321">
        <f t="shared" si="144"/>
        <v>5.0599999999999999E-2</v>
      </c>
      <c r="BK145" s="321">
        <f t="shared" si="144"/>
        <v>5.0599999999999999E-2</v>
      </c>
      <c r="BL145" s="322">
        <f t="shared" si="144"/>
        <v>5.0599999999999999E-2</v>
      </c>
      <c r="BM145" s="296"/>
    </row>
    <row r="146" spans="1:65" x14ac:dyDescent="0.25">
      <c r="A146" s="69"/>
      <c r="B146" s="297">
        <f t="shared" si="120"/>
        <v>2059</v>
      </c>
      <c r="C146" s="269" t="str">
        <f t="shared" si="134"/>
        <v/>
      </c>
      <c r="D146" s="318" t="str">
        <f t="shared" si="146"/>
        <v/>
      </c>
      <c r="E146" s="318" t="str">
        <f t="shared" si="146"/>
        <v/>
      </c>
      <c r="F146" s="318" t="str">
        <f t="shared" si="146"/>
        <v/>
      </c>
      <c r="G146" s="318" t="str">
        <f t="shared" si="146"/>
        <v/>
      </c>
      <c r="H146" s="318" t="str">
        <f t="shared" si="146"/>
        <v/>
      </c>
      <c r="I146" s="318" t="str">
        <f t="shared" si="146"/>
        <v/>
      </c>
      <c r="J146" s="318" t="str">
        <f t="shared" si="146"/>
        <v/>
      </c>
      <c r="K146" s="318" t="str">
        <f t="shared" si="146"/>
        <v/>
      </c>
      <c r="L146" s="318" t="str">
        <f t="shared" si="146"/>
        <v/>
      </c>
      <c r="M146" s="318" t="str">
        <f t="shared" si="145"/>
        <v/>
      </c>
      <c r="N146" s="318" t="str">
        <f t="shared" si="145"/>
        <v/>
      </c>
      <c r="O146" s="318" t="str">
        <f t="shared" si="145"/>
        <v/>
      </c>
      <c r="P146" s="318" t="str">
        <f t="shared" si="145"/>
        <v/>
      </c>
      <c r="Q146" s="318" t="str">
        <f t="shared" si="145"/>
        <v/>
      </c>
      <c r="R146" s="318" t="str">
        <f t="shared" si="145"/>
        <v/>
      </c>
      <c r="S146" s="318" t="str">
        <f t="shared" si="145"/>
        <v/>
      </c>
      <c r="T146" s="318" t="str">
        <f t="shared" si="126"/>
        <v/>
      </c>
      <c r="U146" s="318" t="str">
        <f t="shared" si="147"/>
        <v/>
      </c>
      <c r="V146" s="318" t="str">
        <f t="shared" si="147"/>
        <v/>
      </c>
      <c r="W146" s="318" t="str">
        <f t="shared" si="147"/>
        <v/>
      </c>
      <c r="X146" s="318" t="str">
        <f t="shared" si="147"/>
        <v/>
      </c>
      <c r="Y146" s="318" t="str">
        <f t="shared" si="147"/>
        <v/>
      </c>
      <c r="Z146" s="318" t="str">
        <f t="shared" si="147"/>
        <v/>
      </c>
      <c r="AA146" s="318" t="str">
        <f t="shared" si="147"/>
        <v/>
      </c>
      <c r="AB146" s="318" t="str">
        <f t="shared" si="147"/>
        <v/>
      </c>
      <c r="AC146" s="318" t="str">
        <f t="shared" si="147"/>
        <v/>
      </c>
      <c r="AD146" s="318" t="str">
        <f t="shared" si="147"/>
        <v/>
      </c>
      <c r="AE146" s="318" t="str">
        <f t="shared" si="142"/>
        <v/>
      </c>
      <c r="AF146" s="318" t="str">
        <f t="shared" si="142"/>
        <v/>
      </c>
      <c r="AG146" s="318" t="str">
        <f t="shared" si="142"/>
        <v/>
      </c>
      <c r="AH146" s="318" t="str">
        <f t="shared" si="142"/>
        <v/>
      </c>
      <c r="AI146" s="318" t="str">
        <f t="shared" si="142"/>
        <v/>
      </c>
      <c r="AJ146" s="318" t="str">
        <f t="shared" si="142"/>
        <v/>
      </c>
      <c r="AK146" s="318" t="str">
        <f t="shared" si="142"/>
        <v/>
      </c>
      <c r="AL146" s="318" t="str">
        <f t="shared" si="142"/>
        <v/>
      </c>
      <c r="AM146" s="318" t="str">
        <f t="shared" si="142"/>
        <v/>
      </c>
      <c r="AN146" s="318" t="str">
        <f t="shared" si="142"/>
        <v/>
      </c>
      <c r="AO146" s="318" t="str">
        <f t="shared" si="143"/>
        <v/>
      </c>
      <c r="AP146" s="318" t="str">
        <f t="shared" si="143"/>
        <v/>
      </c>
      <c r="AQ146" s="318" t="str">
        <f t="shared" si="143"/>
        <v/>
      </c>
      <c r="AR146" s="318" t="str">
        <f t="shared" si="143"/>
        <v/>
      </c>
      <c r="AS146" s="318" t="str">
        <f t="shared" si="143"/>
        <v/>
      </c>
      <c r="AT146" s="318" t="str">
        <f t="shared" si="143"/>
        <v/>
      </c>
      <c r="AU146" s="318" t="str">
        <f t="shared" si="143"/>
        <v/>
      </c>
      <c r="AV146" s="318" t="str">
        <f t="shared" si="143"/>
        <v/>
      </c>
      <c r="AW146" s="318" t="str">
        <f t="shared" si="143"/>
        <v/>
      </c>
      <c r="AX146" s="318" t="str">
        <f t="shared" si="143"/>
        <v/>
      </c>
      <c r="AY146" s="318" t="str">
        <f t="shared" si="144"/>
        <v/>
      </c>
      <c r="AZ146" s="321" t="str">
        <f t="shared" si="144"/>
        <v/>
      </c>
      <c r="BA146" s="321" t="str">
        <f t="shared" si="144"/>
        <v/>
      </c>
      <c r="BB146" s="321" t="str">
        <f t="shared" si="144"/>
        <v/>
      </c>
      <c r="BC146" s="321" t="str">
        <f t="shared" si="144"/>
        <v/>
      </c>
      <c r="BD146" s="321" t="str">
        <f t="shared" si="144"/>
        <v/>
      </c>
      <c r="BE146" s="321" t="str">
        <f t="shared" si="144"/>
        <v/>
      </c>
      <c r="BF146" s="321" t="str">
        <f t="shared" si="144"/>
        <v/>
      </c>
      <c r="BG146" s="321" t="str">
        <f t="shared" si="144"/>
        <v/>
      </c>
      <c r="BH146" s="321">
        <f t="shared" si="144"/>
        <v>2.4987804805501002E-2</v>
      </c>
      <c r="BI146" s="321">
        <f t="shared" si="144"/>
        <v>5.0599999999999999E-2</v>
      </c>
      <c r="BJ146" s="321">
        <f t="shared" si="144"/>
        <v>5.0599999999999999E-2</v>
      </c>
      <c r="BK146" s="321">
        <f t="shared" si="144"/>
        <v>5.0599999999999999E-2</v>
      </c>
      <c r="BL146" s="322">
        <f t="shared" si="144"/>
        <v>5.0599999999999999E-2</v>
      </c>
      <c r="BM146" s="296"/>
    </row>
    <row r="147" spans="1:65" x14ac:dyDescent="0.25">
      <c r="A147" s="69"/>
      <c r="B147" s="297">
        <f t="shared" si="120"/>
        <v>2060</v>
      </c>
      <c r="C147" s="269" t="str">
        <f t="shared" si="134"/>
        <v/>
      </c>
      <c r="D147" s="318" t="str">
        <f t="shared" si="146"/>
        <v/>
      </c>
      <c r="E147" s="318" t="str">
        <f t="shared" si="146"/>
        <v/>
      </c>
      <c r="F147" s="318" t="str">
        <f t="shared" si="146"/>
        <v/>
      </c>
      <c r="G147" s="318" t="str">
        <f t="shared" si="146"/>
        <v/>
      </c>
      <c r="H147" s="318" t="str">
        <f t="shared" si="146"/>
        <v/>
      </c>
      <c r="I147" s="318" t="str">
        <f t="shared" si="146"/>
        <v/>
      </c>
      <c r="J147" s="318" t="str">
        <f t="shared" si="146"/>
        <v/>
      </c>
      <c r="K147" s="318" t="str">
        <f t="shared" si="146"/>
        <v/>
      </c>
      <c r="L147" s="318" t="str">
        <f t="shared" si="146"/>
        <v/>
      </c>
      <c r="M147" s="318" t="str">
        <f t="shared" si="145"/>
        <v/>
      </c>
      <c r="N147" s="318" t="str">
        <f t="shared" si="145"/>
        <v/>
      </c>
      <c r="O147" s="318" t="str">
        <f t="shared" si="145"/>
        <v/>
      </c>
      <c r="P147" s="318" t="str">
        <f t="shared" si="145"/>
        <v/>
      </c>
      <c r="Q147" s="318" t="str">
        <f t="shared" si="145"/>
        <v/>
      </c>
      <c r="R147" s="318" t="str">
        <f t="shared" si="145"/>
        <v/>
      </c>
      <c r="S147" s="318" t="str">
        <f t="shared" si="145"/>
        <v/>
      </c>
      <c r="T147" s="318" t="str">
        <f t="shared" si="126"/>
        <v/>
      </c>
      <c r="U147" s="318" t="str">
        <f t="shared" si="147"/>
        <v/>
      </c>
      <c r="V147" s="318" t="str">
        <f t="shared" si="147"/>
        <v/>
      </c>
      <c r="W147" s="318" t="str">
        <f t="shared" si="147"/>
        <v/>
      </c>
      <c r="X147" s="318" t="str">
        <f t="shared" si="147"/>
        <v/>
      </c>
      <c r="Y147" s="318" t="str">
        <f t="shared" si="147"/>
        <v/>
      </c>
      <c r="Z147" s="318" t="str">
        <f t="shared" si="147"/>
        <v/>
      </c>
      <c r="AA147" s="318" t="str">
        <f t="shared" si="147"/>
        <v/>
      </c>
      <c r="AB147" s="318" t="str">
        <f t="shared" si="147"/>
        <v/>
      </c>
      <c r="AC147" s="318" t="str">
        <f t="shared" si="147"/>
        <v/>
      </c>
      <c r="AD147" s="318" t="str">
        <f t="shared" si="147"/>
        <v/>
      </c>
      <c r="AE147" s="318" t="str">
        <f t="shared" si="142"/>
        <v/>
      </c>
      <c r="AF147" s="318" t="str">
        <f t="shared" si="142"/>
        <v/>
      </c>
      <c r="AG147" s="318" t="str">
        <f t="shared" si="142"/>
        <v/>
      </c>
      <c r="AH147" s="318" t="str">
        <f t="shared" si="142"/>
        <v/>
      </c>
      <c r="AI147" s="318" t="str">
        <f t="shared" si="142"/>
        <v/>
      </c>
      <c r="AJ147" s="318" t="str">
        <f t="shared" si="142"/>
        <v/>
      </c>
      <c r="AK147" s="318" t="str">
        <f t="shared" si="142"/>
        <v/>
      </c>
      <c r="AL147" s="318" t="str">
        <f t="shared" si="142"/>
        <v/>
      </c>
      <c r="AM147" s="318" t="str">
        <f t="shared" si="142"/>
        <v/>
      </c>
      <c r="AN147" s="318" t="str">
        <f t="shared" si="142"/>
        <v/>
      </c>
      <c r="AO147" s="318" t="str">
        <f t="shared" si="143"/>
        <v/>
      </c>
      <c r="AP147" s="318" t="str">
        <f t="shared" si="143"/>
        <v/>
      </c>
      <c r="AQ147" s="318" t="str">
        <f t="shared" si="143"/>
        <v/>
      </c>
      <c r="AR147" s="318" t="str">
        <f t="shared" si="143"/>
        <v/>
      </c>
      <c r="AS147" s="318" t="str">
        <f t="shared" si="143"/>
        <v/>
      </c>
      <c r="AT147" s="318" t="str">
        <f t="shared" si="143"/>
        <v/>
      </c>
      <c r="AU147" s="318" t="str">
        <f t="shared" si="143"/>
        <v/>
      </c>
      <c r="AV147" s="318" t="str">
        <f t="shared" si="143"/>
        <v/>
      </c>
      <c r="AW147" s="318" t="str">
        <f t="shared" si="143"/>
        <v/>
      </c>
      <c r="AX147" s="318" t="str">
        <f t="shared" si="143"/>
        <v/>
      </c>
      <c r="AY147" s="318" t="str">
        <f t="shared" si="144"/>
        <v/>
      </c>
      <c r="AZ147" s="321" t="str">
        <f t="shared" si="144"/>
        <v/>
      </c>
      <c r="BA147" s="321" t="str">
        <f t="shared" si="144"/>
        <v/>
      </c>
      <c r="BB147" s="321" t="str">
        <f t="shared" si="144"/>
        <v/>
      </c>
      <c r="BC147" s="321" t="str">
        <f t="shared" si="144"/>
        <v/>
      </c>
      <c r="BD147" s="321" t="str">
        <f t="shared" si="144"/>
        <v/>
      </c>
      <c r="BE147" s="321" t="str">
        <f t="shared" si="144"/>
        <v/>
      </c>
      <c r="BF147" s="321" t="str">
        <f t="shared" si="144"/>
        <v/>
      </c>
      <c r="BG147" s="321" t="str">
        <f t="shared" si="144"/>
        <v/>
      </c>
      <c r="BH147" s="321" t="str">
        <f t="shared" si="144"/>
        <v/>
      </c>
      <c r="BI147" s="321">
        <f t="shared" si="144"/>
        <v>2.4987804805501002E-2</v>
      </c>
      <c r="BJ147" s="321">
        <f t="shared" si="144"/>
        <v>5.0599999999999999E-2</v>
      </c>
      <c r="BK147" s="321">
        <f t="shared" si="144"/>
        <v>5.0599999999999999E-2</v>
      </c>
      <c r="BL147" s="322">
        <f t="shared" si="144"/>
        <v>5.0599999999999999E-2</v>
      </c>
      <c r="BM147" s="296"/>
    </row>
    <row r="148" spans="1:65" x14ac:dyDescent="0.25">
      <c r="A148" s="69"/>
      <c r="B148" s="297">
        <f t="shared" si="120"/>
        <v>2061</v>
      </c>
      <c r="C148" s="269" t="str">
        <f t="shared" si="134"/>
        <v/>
      </c>
      <c r="D148" s="318" t="str">
        <f t="shared" si="146"/>
        <v/>
      </c>
      <c r="E148" s="318" t="str">
        <f t="shared" si="146"/>
        <v/>
      </c>
      <c r="F148" s="318" t="str">
        <f t="shared" si="146"/>
        <v/>
      </c>
      <c r="G148" s="318" t="str">
        <f t="shared" si="146"/>
        <v/>
      </c>
      <c r="H148" s="318" t="str">
        <f t="shared" si="146"/>
        <v/>
      </c>
      <c r="I148" s="318" t="str">
        <f t="shared" si="146"/>
        <v/>
      </c>
      <c r="J148" s="318" t="str">
        <f t="shared" si="146"/>
        <v/>
      </c>
      <c r="K148" s="318" t="str">
        <f t="shared" si="146"/>
        <v/>
      </c>
      <c r="L148" s="318" t="str">
        <f t="shared" si="146"/>
        <v/>
      </c>
      <c r="M148" s="318" t="str">
        <f t="shared" si="145"/>
        <v/>
      </c>
      <c r="N148" s="318" t="str">
        <f t="shared" si="145"/>
        <v/>
      </c>
      <c r="O148" s="318" t="str">
        <f t="shared" si="145"/>
        <v/>
      </c>
      <c r="P148" s="318" t="str">
        <f t="shared" si="145"/>
        <v/>
      </c>
      <c r="Q148" s="318" t="str">
        <f t="shared" si="145"/>
        <v/>
      </c>
      <c r="R148" s="318" t="str">
        <f t="shared" si="145"/>
        <v/>
      </c>
      <c r="S148" s="318" t="str">
        <f t="shared" si="145"/>
        <v/>
      </c>
      <c r="T148" s="318" t="str">
        <f t="shared" si="126"/>
        <v/>
      </c>
      <c r="U148" s="318" t="str">
        <f t="shared" si="147"/>
        <v/>
      </c>
      <c r="V148" s="318" t="str">
        <f t="shared" si="147"/>
        <v/>
      </c>
      <c r="W148" s="318" t="str">
        <f t="shared" si="147"/>
        <v/>
      </c>
      <c r="X148" s="318" t="str">
        <f t="shared" si="147"/>
        <v/>
      </c>
      <c r="Y148" s="318" t="str">
        <f t="shared" si="147"/>
        <v/>
      </c>
      <c r="Z148" s="318" t="str">
        <f t="shared" si="147"/>
        <v/>
      </c>
      <c r="AA148" s="318" t="str">
        <f t="shared" si="147"/>
        <v/>
      </c>
      <c r="AB148" s="318" t="str">
        <f t="shared" si="147"/>
        <v/>
      </c>
      <c r="AC148" s="318" t="str">
        <f t="shared" si="147"/>
        <v/>
      </c>
      <c r="AD148" s="318" t="str">
        <f t="shared" si="147"/>
        <v/>
      </c>
      <c r="AE148" s="318" t="str">
        <f t="shared" si="142"/>
        <v/>
      </c>
      <c r="AF148" s="318" t="str">
        <f t="shared" si="142"/>
        <v/>
      </c>
      <c r="AG148" s="318" t="str">
        <f t="shared" si="142"/>
        <v/>
      </c>
      <c r="AH148" s="318" t="str">
        <f t="shared" si="142"/>
        <v/>
      </c>
      <c r="AI148" s="318" t="str">
        <f t="shared" si="142"/>
        <v/>
      </c>
      <c r="AJ148" s="318" t="str">
        <f t="shared" si="142"/>
        <v/>
      </c>
      <c r="AK148" s="318" t="str">
        <f t="shared" si="142"/>
        <v/>
      </c>
      <c r="AL148" s="318" t="str">
        <f t="shared" si="142"/>
        <v/>
      </c>
      <c r="AM148" s="318" t="str">
        <f t="shared" si="142"/>
        <v/>
      </c>
      <c r="AN148" s="318" t="str">
        <f t="shared" si="142"/>
        <v/>
      </c>
      <c r="AO148" s="318" t="str">
        <f t="shared" si="143"/>
        <v/>
      </c>
      <c r="AP148" s="318" t="str">
        <f t="shared" si="143"/>
        <v/>
      </c>
      <c r="AQ148" s="318" t="str">
        <f t="shared" si="143"/>
        <v/>
      </c>
      <c r="AR148" s="318" t="str">
        <f t="shared" si="143"/>
        <v/>
      </c>
      <c r="AS148" s="318" t="str">
        <f t="shared" si="143"/>
        <v/>
      </c>
      <c r="AT148" s="318" t="str">
        <f t="shared" si="143"/>
        <v/>
      </c>
      <c r="AU148" s="318" t="str">
        <f t="shared" si="143"/>
        <v/>
      </c>
      <c r="AV148" s="318" t="str">
        <f t="shared" si="143"/>
        <v/>
      </c>
      <c r="AW148" s="318" t="str">
        <f t="shared" si="143"/>
        <v/>
      </c>
      <c r="AX148" s="318" t="str">
        <f t="shared" si="143"/>
        <v/>
      </c>
      <c r="AY148" s="318" t="str">
        <f t="shared" si="144"/>
        <v/>
      </c>
      <c r="AZ148" s="321" t="str">
        <f t="shared" si="144"/>
        <v/>
      </c>
      <c r="BA148" s="321" t="str">
        <f t="shared" si="144"/>
        <v/>
      </c>
      <c r="BB148" s="321" t="str">
        <f t="shared" si="144"/>
        <v/>
      </c>
      <c r="BC148" s="321" t="str">
        <f t="shared" si="144"/>
        <v/>
      </c>
      <c r="BD148" s="321" t="str">
        <f t="shared" si="144"/>
        <v/>
      </c>
      <c r="BE148" s="321" t="str">
        <f t="shared" si="144"/>
        <v/>
      </c>
      <c r="BF148" s="321" t="str">
        <f t="shared" si="144"/>
        <v/>
      </c>
      <c r="BG148" s="321" t="str">
        <f t="shared" si="144"/>
        <v/>
      </c>
      <c r="BH148" s="321" t="str">
        <f t="shared" si="144"/>
        <v/>
      </c>
      <c r="BI148" s="321" t="str">
        <f t="shared" si="144"/>
        <v/>
      </c>
      <c r="BJ148" s="321">
        <f t="shared" si="144"/>
        <v>2.4987804805501002E-2</v>
      </c>
      <c r="BK148" s="321">
        <f t="shared" si="144"/>
        <v>5.0599999999999999E-2</v>
      </c>
      <c r="BL148" s="322">
        <f t="shared" si="144"/>
        <v>5.0599999999999999E-2</v>
      </c>
      <c r="BM148" s="296"/>
    </row>
    <row r="149" spans="1:65" x14ac:dyDescent="0.25">
      <c r="A149" s="69"/>
      <c r="B149" s="297">
        <f t="shared" si="120"/>
        <v>2062</v>
      </c>
      <c r="C149" s="269" t="str">
        <f t="shared" si="134"/>
        <v/>
      </c>
      <c r="D149" s="318" t="str">
        <f t="shared" si="146"/>
        <v/>
      </c>
      <c r="E149" s="318" t="str">
        <f t="shared" si="146"/>
        <v/>
      </c>
      <c r="F149" s="318" t="str">
        <f t="shared" si="146"/>
        <v/>
      </c>
      <c r="G149" s="318" t="str">
        <f t="shared" si="146"/>
        <v/>
      </c>
      <c r="H149" s="318" t="str">
        <f t="shared" si="146"/>
        <v/>
      </c>
      <c r="I149" s="318" t="str">
        <f t="shared" si="146"/>
        <v/>
      </c>
      <c r="J149" s="318" t="str">
        <f t="shared" si="146"/>
        <v/>
      </c>
      <c r="K149" s="318" t="str">
        <f t="shared" si="146"/>
        <v/>
      </c>
      <c r="L149" s="318" t="str">
        <f t="shared" si="146"/>
        <v/>
      </c>
      <c r="M149" s="318" t="str">
        <f t="shared" si="145"/>
        <v/>
      </c>
      <c r="N149" s="318" t="str">
        <f t="shared" si="145"/>
        <v/>
      </c>
      <c r="O149" s="318" t="str">
        <f t="shared" si="145"/>
        <v/>
      </c>
      <c r="P149" s="318" t="str">
        <f t="shared" si="145"/>
        <v/>
      </c>
      <c r="Q149" s="318" t="str">
        <f t="shared" si="145"/>
        <v/>
      </c>
      <c r="R149" s="318" t="str">
        <f t="shared" si="145"/>
        <v/>
      </c>
      <c r="S149" s="318" t="str">
        <f t="shared" si="145"/>
        <v/>
      </c>
      <c r="T149" s="318" t="str">
        <f t="shared" si="126"/>
        <v/>
      </c>
      <c r="U149" s="318" t="str">
        <f t="shared" si="147"/>
        <v/>
      </c>
      <c r="V149" s="318" t="str">
        <f t="shared" si="147"/>
        <v/>
      </c>
      <c r="W149" s="318" t="str">
        <f t="shared" si="147"/>
        <v/>
      </c>
      <c r="X149" s="318" t="str">
        <f t="shared" si="147"/>
        <v/>
      </c>
      <c r="Y149" s="318" t="str">
        <f t="shared" si="147"/>
        <v/>
      </c>
      <c r="Z149" s="318" t="str">
        <f t="shared" si="147"/>
        <v/>
      </c>
      <c r="AA149" s="318" t="str">
        <f t="shared" si="147"/>
        <v/>
      </c>
      <c r="AB149" s="318" t="str">
        <f t="shared" si="147"/>
        <v/>
      </c>
      <c r="AC149" s="318" t="str">
        <f t="shared" si="147"/>
        <v/>
      </c>
      <c r="AD149" s="318" t="str">
        <f t="shared" si="147"/>
        <v/>
      </c>
      <c r="AE149" s="318" t="str">
        <f t="shared" si="142"/>
        <v/>
      </c>
      <c r="AF149" s="318" t="str">
        <f t="shared" si="142"/>
        <v/>
      </c>
      <c r="AG149" s="318" t="str">
        <f t="shared" si="142"/>
        <v/>
      </c>
      <c r="AH149" s="318" t="str">
        <f t="shared" si="142"/>
        <v/>
      </c>
      <c r="AI149" s="318" t="str">
        <f t="shared" si="142"/>
        <v/>
      </c>
      <c r="AJ149" s="318" t="str">
        <f t="shared" si="142"/>
        <v/>
      </c>
      <c r="AK149" s="318" t="str">
        <f t="shared" si="142"/>
        <v/>
      </c>
      <c r="AL149" s="318" t="str">
        <f t="shared" si="142"/>
        <v/>
      </c>
      <c r="AM149" s="318" t="str">
        <f t="shared" si="142"/>
        <v/>
      </c>
      <c r="AN149" s="318" t="str">
        <f t="shared" si="142"/>
        <v/>
      </c>
      <c r="AO149" s="318" t="str">
        <f t="shared" si="143"/>
        <v/>
      </c>
      <c r="AP149" s="318" t="str">
        <f t="shared" si="143"/>
        <v/>
      </c>
      <c r="AQ149" s="318" t="str">
        <f t="shared" si="143"/>
        <v/>
      </c>
      <c r="AR149" s="318" t="str">
        <f t="shared" si="143"/>
        <v/>
      </c>
      <c r="AS149" s="318" t="str">
        <f t="shared" si="143"/>
        <v/>
      </c>
      <c r="AT149" s="318" t="str">
        <f t="shared" si="143"/>
        <v/>
      </c>
      <c r="AU149" s="318" t="str">
        <f t="shared" si="143"/>
        <v/>
      </c>
      <c r="AV149" s="318" t="str">
        <f t="shared" si="143"/>
        <v/>
      </c>
      <c r="AW149" s="318" t="str">
        <f t="shared" si="143"/>
        <v/>
      </c>
      <c r="AX149" s="318" t="str">
        <f t="shared" si="143"/>
        <v/>
      </c>
      <c r="AY149" s="318" t="str">
        <f t="shared" si="144"/>
        <v/>
      </c>
      <c r="AZ149" s="321" t="str">
        <f t="shared" si="144"/>
        <v/>
      </c>
      <c r="BA149" s="321" t="str">
        <f t="shared" si="144"/>
        <v/>
      </c>
      <c r="BB149" s="321" t="str">
        <f t="shared" si="144"/>
        <v/>
      </c>
      <c r="BC149" s="321" t="str">
        <f t="shared" si="144"/>
        <v/>
      </c>
      <c r="BD149" s="321" t="str">
        <f t="shared" si="144"/>
        <v/>
      </c>
      <c r="BE149" s="321" t="str">
        <f t="shared" si="144"/>
        <v/>
      </c>
      <c r="BF149" s="321" t="str">
        <f t="shared" si="144"/>
        <v/>
      </c>
      <c r="BG149" s="321" t="str">
        <f t="shared" si="144"/>
        <v/>
      </c>
      <c r="BH149" s="321" t="str">
        <f t="shared" si="144"/>
        <v/>
      </c>
      <c r="BI149" s="321" t="str">
        <f t="shared" si="144"/>
        <v/>
      </c>
      <c r="BJ149" s="321" t="str">
        <f t="shared" si="144"/>
        <v/>
      </c>
      <c r="BK149" s="321">
        <f t="shared" si="144"/>
        <v>2.4987804805501002E-2</v>
      </c>
      <c r="BL149" s="322">
        <f t="shared" si="144"/>
        <v>5.0599999999999999E-2</v>
      </c>
      <c r="BM149" s="296"/>
    </row>
    <row r="150" spans="1:65" ht="15.75" thickBot="1" x14ac:dyDescent="0.3">
      <c r="A150" s="69"/>
      <c r="B150" s="276">
        <f t="shared" si="120"/>
        <v>2063</v>
      </c>
      <c r="C150" s="313" t="str">
        <f t="shared" si="134"/>
        <v/>
      </c>
      <c r="D150" s="323" t="str">
        <f t="shared" si="146"/>
        <v/>
      </c>
      <c r="E150" s="323" t="str">
        <f t="shared" si="146"/>
        <v/>
      </c>
      <c r="F150" s="323" t="str">
        <f t="shared" si="146"/>
        <v/>
      </c>
      <c r="G150" s="323" t="str">
        <f t="shared" si="146"/>
        <v/>
      </c>
      <c r="H150" s="323" t="str">
        <f t="shared" si="146"/>
        <v/>
      </c>
      <c r="I150" s="323" t="str">
        <f t="shared" si="146"/>
        <v/>
      </c>
      <c r="J150" s="323" t="str">
        <f t="shared" si="146"/>
        <v/>
      </c>
      <c r="K150" s="323" t="str">
        <f t="shared" si="146"/>
        <v/>
      </c>
      <c r="L150" s="323" t="str">
        <f t="shared" si="146"/>
        <v/>
      </c>
      <c r="M150" s="323" t="str">
        <f t="shared" si="145"/>
        <v/>
      </c>
      <c r="N150" s="323" t="str">
        <f t="shared" si="145"/>
        <v/>
      </c>
      <c r="O150" s="323" t="str">
        <f t="shared" si="145"/>
        <v/>
      </c>
      <c r="P150" s="323" t="str">
        <f t="shared" si="145"/>
        <v/>
      </c>
      <c r="Q150" s="323" t="str">
        <f t="shared" si="145"/>
        <v/>
      </c>
      <c r="R150" s="323" t="str">
        <f t="shared" si="145"/>
        <v/>
      </c>
      <c r="S150" s="323" t="str">
        <f t="shared" si="145"/>
        <v/>
      </c>
      <c r="T150" s="323" t="str">
        <f t="shared" si="126"/>
        <v/>
      </c>
      <c r="U150" s="323" t="str">
        <f t="shared" si="147"/>
        <v/>
      </c>
      <c r="V150" s="323" t="str">
        <f t="shared" si="147"/>
        <v/>
      </c>
      <c r="W150" s="323" t="str">
        <f t="shared" si="147"/>
        <v/>
      </c>
      <c r="X150" s="323" t="str">
        <f t="shared" si="147"/>
        <v/>
      </c>
      <c r="Y150" s="323" t="str">
        <f t="shared" si="147"/>
        <v/>
      </c>
      <c r="Z150" s="323" t="str">
        <f t="shared" si="147"/>
        <v/>
      </c>
      <c r="AA150" s="323" t="str">
        <f t="shared" si="147"/>
        <v/>
      </c>
      <c r="AB150" s="323" t="str">
        <f t="shared" si="147"/>
        <v/>
      </c>
      <c r="AC150" s="323" t="str">
        <f t="shared" si="147"/>
        <v/>
      </c>
      <c r="AD150" s="323" t="str">
        <f t="shared" si="147"/>
        <v/>
      </c>
      <c r="AE150" s="323" t="str">
        <f t="shared" si="142"/>
        <v/>
      </c>
      <c r="AF150" s="323" t="str">
        <f t="shared" si="142"/>
        <v/>
      </c>
      <c r="AG150" s="323" t="str">
        <f t="shared" si="142"/>
        <v/>
      </c>
      <c r="AH150" s="323" t="str">
        <f t="shared" si="142"/>
        <v/>
      </c>
      <c r="AI150" s="323" t="str">
        <f t="shared" si="142"/>
        <v/>
      </c>
      <c r="AJ150" s="323" t="str">
        <f t="shared" si="142"/>
        <v/>
      </c>
      <c r="AK150" s="323" t="str">
        <f t="shared" si="142"/>
        <v/>
      </c>
      <c r="AL150" s="323" t="str">
        <f t="shared" si="142"/>
        <v/>
      </c>
      <c r="AM150" s="323" t="str">
        <f t="shared" si="142"/>
        <v/>
      </c>
      <c r="AN150" s="323" t="str">
        <f t="shared" si="142"/>
        <v/>
      </c>
      <c r="AO150" s="323" t="str">
        <f t="shared" si="143"/>
        <v/>
      </c>
      <c r="AP150" s="323" t="str">
        <f t="shared" si="143"/>
        <v/>
      </c>
      <c r="AQ150" s="323" t="str">
        <f t="shared" si="143"/>
        <v/>
      </c>
      <c r="AR150" s="323" t="str">
        <f t="shared" si="143"/>
        <v/>
      </c>
      <c r="AS150" s="323" t="str">
        <f t="shared" si="143"/>
        <v/>
      </c>
      <c r="AT150" s="323" t="str">
        <f t="shared" si="143"/>
        <v/>
      </c>
      <c r="AU150" s="323" t="str">
        <f t="shared" si="143"/>
        <v/>
      </c>
      <c r="AV150" s="323" t="str">
        <f t="shared" si="143"/>
        <v/>
      </c>
      <c r="AW150" s="323" t="str">
        <f t="shared" si="143"/>
        <v/>
      </c>
      <c r="AX150" s="323" t="str">
        <f t="shared" si="143"/>
        <v/>
      </c>
      <c r="AY150" s="323" t="str">
        <f t="shared" si="144"/>
        <v/>
      </c>
      <c r="AZ150" s="324" t="str">
        <f t="shared" si="144"/>
        <v/>
      </c>
      <c r="BA150" s="324" t="str">
        <f t="shared" si="144"/>
        <v/>
      </c>
      <c r="BB150" s="324" t="str">
        <f t="shared" si="144"/>
        <v/>
      </c>
      <c r="BC150" s="324" t="str">
        <f t="shared" si="144"/>
        <v/>
      </c>
      <c r="BD150" s="324" t="str">
        <f t="shared" si="144"/>
        <v/>
      </c>
      <c r="BE150" s="324" t="str">
        <f t="shared" si="144"/>
        <v/>
      </c>
      <c r="BF150" s="324" t="str">
        <f t="shared" si="144"/>
        <v/>
      </c>
      <c r="BG150" s="324" t="str">
        <f t="shared" si="144"/>
        <v/>
      </c>
      <c r="BH150" s="324" t="str">
        <f t="shared" si="144"/>
        <v/>
      </c>
      <c r="BI150" s="324" t="str">
        <f t="shared" si="144"/>
        <v/>
      </c>
      <c r="BJ150" s="324" t="str">
        <f t="shared" si="144"/>
        <v/>
      </c>
      <c r="BK150" s="324" t="str">
        <f t="shared" si="144"/>
        <v/>
      </c>
      <c r="BL150" s="325">
        <f t="shared" si="144"/>
        <v>2.4987804805501002E-2</v>
      </c>
      <c r="BM150" s="296"/>
    </row>
    <row r="151" spans="1:65" x14ac:dyDescent="0.25">
      <c r="A151" s="294"/>
      <c r="B151" s="294"/>
      <c r="C151" s="294"/>
      <c r="D151" s="294"/>
      <c r="E151" s="294"/>
      <c r="F151" s="294"/>
      <c r="G151" s="294"/>
      <c r="H151" s="294"/>
      <c r="I151" s="294"/>
      <c r="J151" s="294"/>
      <c r="K151" s="294"/>
      <c r="L151" s="294"/>
      <c r="M151" s="294"/>
      <c r="N151" s="294"/>
      <c r="O151" s="294"/>
      <c r="P151" s="294"/>
      <c r="Q151" s="294"/>
      <c r="R151" s="294"/>
      <c r="S151" s="294"/>
      <c r="T151" s="294"/>
      <c r="U151" s="294"/>
      <c r="V151" s="294"/>
      <c r="W151" s="294"/>
      <c r="X151" s="294"/>
      <c r="Y151" s="294"/>
      <c r="Z151" s="294"/>
      <c r="AA151" s="294"/>
      <c r="AB151" s="294"/>
      <c r="AC151" s="294"/>
      <c r="AD151" s="294"/>
      <c r="AE151" s="294"/>
      <c r="AF151" s="294"/>
      <c r="AG151" s="294"/>
      <c r="AH151" s="294"/>
      <c r="AI151" s="294"/>
      <c r="AJ151" s="294"/>
      <c r="AK151" s="294"/>
      <c r="AL151" s="294"/>
      <c r="AM151" s="294"/>
      <c r="AN151" s="294"/>
      <c r="AO151" s="294"/>
      <c r="AP151" s="294"/>
      <c r="AQ151" s="294"/>
      <c r="AR151" s="294"/>
      <c r="AS151" s="294"/>
      <c r="AT151" s="294"/>
      <c r="AU151" s="294"/>
      <c r="AV151" s="294"/>
      <c r="AW151" s="294"/>
      <c r="AX151" s="294"/>
      <c r="AY151" s="294"/>
      <c r="AZ151" s="294"/>
      <c r="BA151" s="294"/>
      <c r="BB151" s="294"/>
      <c r="BC151" s="294"/>
      <c r="BD151" s="294"/>
      <c r="BE151" s="294"/>
      <c r="BF151" s="294"/>
      <c r="BG151" s="294"/>
      <c r="BH151" s="294"/>
      <c r="BI151" s="294"/>
      <c r="BJ151" s="294"/>
      <c r="BK151" s="294"/>
      <c r="BL151" s="294"/>
      <c r="BM151" s="294"/>
    </row>
    <row r="152" spans="1:65" x14ac:dyDescent="0.25">
      <c r="A152" s="294"/>
      <c r="B152" s="294"/>
      <c r="C152" s="294"/>
      <c r="D152" s="294"/>
      <c r="E152" s="294"/>
      <c r="F152" s="294"/>
      <c r="G152" s="294"/>
      <c r="H152" s="294"/>
      <c r="I152" s="294"/>
      <c r="J152" s="294"/>
      <c r="K152" s="294"/>
      <c r="L152" s="294"/>
      <c r="M152" s="294"/>
      <c r="N152" s="294"/>
      <c r="O152" s="294"/>
      <c r="P152" s="294"/>
      <c r="Q152" s="294"/>
      <c r="R152" s="294"/>
      <c r="S152" s="294"/>
      <c r="T152" s="294"/>
      <c r="U152" s="294"/>
      <c r="V152" s="294"/>
      <c r="W152" s="294"/>
      <c r="X152" s="294"/>
      <c r="Y152" s="294"/>
      <c r="Z152" s="294"/>
      <c r="AA152" s="294"/>
      <c r="AB152" s="294"/>
      <c r="AC152" s="294"/>
      <c r="AD152" s="294"/>
      <c r="AE152" s="294"/>
      <c r="AF152" s="294"/>
      <c r="AG152" s="294"/>
      <c r="AH152" s="294"/>
      <c r="AI152" s="294"/>
      <c r="AJ152" s="294"/>
      <c r="AK152" s="294"/>
      <c r="AL152" s="294"/>
      <c r="AM152" s="294"/>
      <c r="AN152" s="294"/>
      <c r="AO152" s="294"/>
      <c r="AP152" s="294"/>
      <c r="AQ152" s="294"/>
      <c r="AR152" s="294"/>
      <c r="AS152" s="294"/>
      <c r="AT152" s="294"/>
      <c r="AU152" s="294"/>
      <c r="AV152" s="294"/>
      <c r="AW152" s="294"/>
      <c r="AX152" s="294"/>
      <c r="AY152" s="294"/>
      <c r="AZ152" s="294"/>
      <c r="BA152" s="294"/>
      <c r="BB152" s="294"/>
      <c r="BC152" s="294"/>
      <c r="BD152" s="294"/>
      <c r="BE152" s="294"/>
      <c r="BF152" s="294"/>
      <c r="BG152" s="294"/>
      <c r="BH152" s="294"/>
      <c r="BI152" s="294"/>
      <c r="BJ152" s="294"/>
      <c r="BK152" s="294"/>
      <c r="BL152" s="294"/>
      <c r="BM152" s="294"/>
    </row>
    <row r="153" spans="1:65" x14ac:dyDescent="0.25">
      <c r="A153" s="294"/>
      <c r="B153" s="294"/>
      <c r="C153" s="294"/>
      <c r="D153" s="294"/>
      <c r="E153" s="294"/>
      <c r="F153" s="294"/>
      <c r="G153" s="294"/>
      <c r="H153" s="294"/>
      <c r="I153" s="294"/>
      <c r="J153" s="294"/>
      <c r="K153" s="294"/>
      <c r="L153" s="294"/>
      <c r="M153" s="294"/>
      <c r="N153" s="294"/>
      <c r="O153" s="294"/>
      <c r="P153" s="294"/>
      <c r="Q153" s="294"/>
      <c r="R153" s="294"/>
      <c r="S153" s="294"/>
      <c r="T153" s="294"/>
      <c r="U153" s="294"/>
      <c r="V153" s="294"/>
      <c r="W153" s="294"/>
      <c r="X153" s="294"/>
      <c r="Y153" s="294"/>
      <c r="Z153" s="294"/>
      <c r="AA153" s="294"/>
      <c r="AB153" s="294"/>
      <c r="AC153" s="294"/>
      <c r="AD153" s="294"/>
      <c r="AE153" s="294"/>
      <c r="AF153" s="294"/>
      <c r="AG153" s="294"/>
      <c r="AH153" s="294"/>
      <c r="AI153" s="294"/>
      <c r="AJ153" s="294"/>
      <c r="AK153" s="294"/>
      <c r="AL153" s="294"/>
      <c r="AM153" s="294"/>
      <c r="AN153" s="294"/>
      <c r="AO153" s="294"/>
      <c r="AP153" s="294"/>
      <c r="AQ153" s="294"/>
      <c r="AR153" s="294"/>
      <c r="AS153" s="294"/>
      <c r="AT153" s="294"/>
      <c r="AU153" s="294"/>
      <c r="AV153" s="294"/>
      <c r="AW153" s="294"/>
      <c r="AX153" s="294"/>
      <c r="AY153" s="294"/>
      <c r="AZ153" s="294"/>
      <c r="BA153" s="294"/>
      <c r="BB153" s="294"/>
      <c r="BC153" s="294"/>
      <c r="BD153" s="294"/>
      <c r="BE153" s="294"/>
      <c r="BF153" s="294"/>
      <c r="BG153" s="294"/>
      <c r="BH153" s="294"/>
      <c r="BI153" s="294"/>
      <c r="BJ153" s="294"/>
      <c r="BK153" s="294"/>
      <c r="BL153" s="294"/>
      <c r="BM153" s="294"/>
    </row>
    <row r="154" spans="1:65" x14ac:dyDescent="0.25">
      <c r="A154" s="294"/>
      <c r="B154" s="294"/>
      <c r="C154" s="294"/>
      <c r="D154" s="294"/>
      <c r="E154" s="294"/>
      <c r="F154" s="294"/>
      <c r="G154" s="294"/>
      <c r="H154" s="294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4"/>
      <c r="Y154" s="294"/>
      <c r="Z154" s="294"/>
      <c r="AA154" s="294"/>
      <c r="AB154" s="294"/>
      <c r="AC154" s="294"/>
      <c r="AD154" s="294"/>
      <c r="AE154" s="294"/>
      <c r="AF154" s="294"/>
      <c r="AG154" s="294"/>
      <c r="AH154" s="294"/>
      <c r="AI154" s="294"/>
      <c r="AJ154" s="294"/>
      <c r="AK154" s="294"/>
      <c r="AL154" s="294"/>
      <c r="AM154" s="294"/>
      <c r="AN154" s="294"/>
      <c r="AO154" s="294"/>
      <c r="AP154" s="294"/>
      <c r="AQ154" s="294"/>
      <c r="AR154" s="294"/>
      <c r="AS154" s="294"/>
      <c r="AT154" s="294"/>
      <c r="AU154" s="294"/>
      <c r="AV154" s="294"/>
      <c r="AW154" s="294"/>
      <c r="AX154" s="294"/>
      <c r="AY154" s="294"/>
      <c r="AZ154" s="294"/>
      <c r="BA154" s="294"/>
      <c r="BB154" s="294"/>
      <c r="BC154" s="294"/>
      <c r="BD154" s="294"/>
      <c r="BE154" s="294"/>
      <c r="BF154" s="294"/>
      <c r="BG154" s="294"/>
      <c r="BH154" s="294"/>
      <c r="BI154" s="294"/>
      <c r="BJ154" s="294"/>
      <c r="BK154" s="294"/>
      <c r="BL154" s="294"/>
      <c r="BM154" s="294"/>
    </row>
    <row r="155" spans="1:65" x14ac:dyDescent="0.25">
      <c r="A155" s="294"/>
      <c r="B155" s="294"/>
      <c r="C155" s="294"/>
      <c r="D155" s="294"/>
      <c r="E155" s="294"/>
      <c r="F155" s="294"/>
      <c r="G155" s="294"/>
      <c r="H155" s="294"/>
      <c r="I155" s="294"/>
      <c r="J155" s="294"/>
      <c r="K155" s="294"/>
      <c r="L155" s="294"/>
      <c r="M155" s="294"/>
      <c r="N155" s="294"/>
      <c r="O155" s="294"/>
      <c r="P155" s="294"/>
      <c r="Q155" s="294"/>
      <c r="R155" s="294"/>
      <c r="S155" s="294"/>
      <c r="T155" s="294"/>
      <c r="U155" s="294"/>
      <c r="V155" s="294"/>
      <c r="W155" s="294"/>
      <c r="X155" s="294"/>
      <c r="Y155" s="294"/>
      <c r="Z155" s="294"/>
      <c r="AA155" s="294"/>
      <c r="AB155" s="294"/>
      <c r="AC155" s="294"/>
      <c r="AD155" s="294"/>
      <c r="AE155" s="294"/>
      <c r="AF155" s="294"/>
      <c r="AG155" s="294"/>
      <c r="AH155" s="294"/>
      <c r="AI155" s="294"/>
      <c r="AJ155" s="294"/>
      <c r="AK155" s="294"/>
      <c r="AL155" s="294"/>
      <c r="AM155" s="294"/>
      <c r="AN155" s="294"/>
      <c r="AO155" s="294"/>
      <c r="AP155" s="294"/>
      <c r="AQ155" s="294"/>
      <c r="AR155" s="294"/>
      <c r="AS155" s="294"/>
      <c r="AT155" s="294"/>
      <c r="AU155" s="294"/>
      <c r="AV155" s="294"/>
      <c r="AW155" s="294"/>
      <c r="AX155" s="294"/>
      <c r="AY155" s="294"/>
      <c r="AZ155" s="294"/>
      <c r="BA155" s="294"/>
      <c r="BB155" s="294"/>
      <c r="BC155" s="294"/>
      <c r="BD155" s="294"/>
      <c r="BE155" s="294"/>
      <c r="BF155" s="294"/>
      <c r="BG155" s="294"/>
      <c r="BH155" s="294"/>
      <c r="BI155" s="294"/>
      <c r="BJ155" s="294"/>
      <c r="BK155" s="294"/>
      <c r="BL155" s="294"/>
      <c r="BM155" s="294"/>
    </row>
    <row r="156" spans="1:65" x14ac:dyDescent="0.25">
      <c r="A156" s="294"/>
      <c r="B156" s="294"/>
      <c r="C156" s="294"/>
      <c r="D156" s="294"/>
      <c r="E156" s="294"/>
      <c r="F156" s="294"/>
      <c r="G156" s="294"/>
      <c r="H156" s="294"/>
      <c r="I156" s="294"/>
      <c r="J156" s="294"/>
      <c r="K156" s="294"/>
      <c r="L156" s="294"/>
      <c r="M156" s="294"/>
      <c r="N156" s="294"/>
      <c r="O156" s="294"/>
      <c r="P156" s="294"/>
      <c r="Q156" s="294"/>
      <c r="R156" s="294"/>
      <c r="S156" s="294"/>
      <c r="T156" s="294"/>
      <c r="U156" s="294"/>
      <c r="V156" s="294"/>
      <c r="W156" s="294"/>
      <c r="X156" s="294"/>
      <c r="Y156" s="294"/>
      <c r="Z156" s="294"/>
      <c r="AA156" s="294"/>
      <c r="AB156" s="294"/>
      <c r="AC156" s="294"/>
      <c r="AD156" s="294"/>
      <c r="AE156" s="294"/>
      <c r="AF156" s="294"/>
      <c r="AG156" s="294"/>
      <c r="AH156" s="294"/>
      <c r="AI156" s="294"/>
      <c r="AJ156" s="294"/>
      <c r="AK156" s="294"/>
      <c r="AL156" s="294"/>
      <c r="AM156" s="294"/>
      <c r="AN156" s="294"/>
      <c r="AO156" s="294"/>
      <c r="AP156" s="294"/>
      <c r="AQ156" s="294"/>
      <c r="AR156" s="294"/>
      <c r="AS156" s="294"/>
      <c r="AT156" s="294"/>
      <c r="AU156" s="294"/>
      <c r="AV156" s="294"/>
      <c r="AW156" s="294"/>
      <c r="AX156" s="294"/>
      <c r="AY156" s="294"/>
      <c r="AZ156" s="294"/>
      <c r="BA156" s="294"/>
      <c r="BB156" s="294"/>
      <c r="BC156" s="294"/>
      <c r="BD156" s="294"/>
      <c r="BE156" s="294"/>
      <c r="BF156" s="294"/>
      <c r="BG156" s="294"/>
      <c r="BH156" s="294"/>
      <c r="BI156" s="294"/>
      <c r="BJ156" s="294"/>
      <c r="BK156" s="294"/>
      <c r="BL156" s="294"/>
      <c r="BM156" s="294"/>
    </row>
    <row r="157" spans="1:65" x14ac:dyDescent="0.25">
      <c r="A157" s="294"/>
      <c r="B157" s="294"/>
      <c r="C157" s="294"/>
      <c r="D157" s="294"/>
      <c r="E157" s="294"/>
      <c r="F157" s="294"/>
      <c r="G157" s="294"/>
      <c r="H157" s="294"/>
      <c r="I157" s="294"/>
      <c r="J157" s="294"/>
      <c r="K157" s="294"/>
      <c r="L157" s="294"/>
      <c r="M157" s="294"/>
      <c r="N157" s="294"/>
      <c r="O157" s="294"/>
      <c r="P157" s="294"/>
      <c r="Q157" s="294"/>
      <c r="R157" s="294"/>
      <c r="S157" s="294"/>
      <c r="T157" s="294"/>
      <c r="U157" s="294"/>
      <c r="V157" s="294"/>
      <c r="W157" s="294"/>
      <c r="X157" s="294"/>
      <c r="Y157" s="294"/>
      <c r="Z157" s="294"/>
      <c r="AA157" s="294"/>
      <c r="AB157" s="294"/>
      <c r="AC157" s="294"/>
      <c r="AD157" s="294"/>
      <c r="AE157" s="294"/>
      <c r="AF157" s="294"/>
      <c r="AG157" s="294"/>
      <c r="AH157" s="294"/>
      <c r="AI157" s="294"/>
      <c r="AJ157" s="294"/>
      <c r="AK157" s="294"/>
      <c r="AL157" s="294"/>
      <c r="AM157" s="294"/>
      <c r="AN157" s="294"/>
      <c r="AO157" s="294"/>
      <c r="AP157" s="294"/>
      <c r="AQ157" s="294"/>
      <c r="AR157" s="294"/>
      <c r="AS157" s="294"/>
      <c r="AT157" s="294"/>
      <c r="AU157" s="294"/>
      <c r="AV157" s="294"/>
      <c r="AW157" s="294"/>
      <c r="AX157" s="294"/>
      <c r="AY157" s="294"/>
      <c r="AZ157" s="294"/>
      <c r="BA157" s="294"/>
      <c r="BB157" s="294"/>
      <c r="BC157" s="294"/>
      <c r="BD157" s="294"/>
      <c r="BE157" s="294"/>
      <c r="BF157" s="294"/>
      <c r="BG157" s="294"/>
      <c r="BH157" s="294"/>
      <c r="BI157" s="294"/>
      <c r="BJ157" s="294"/>
      <c r="BK157" s="294"/>
      <c r="BL157" s="294"/>
      <c r="BM157" s="294"/>
    </row>
    <row r="158" spans="1:65" x14ac:dyDescent="0.25">
      <c r="A158" s="294"/>
      <c r="B158" s="294"/>
      <c r="C158" s="294"/>
      <c r="D158" s="294"/>
      <c r="E158" s="294"/>
      <c r="F158" s="294"/>
      <c r="G158" s="294"/>
      <c r="H158" s="294"/>
      <c r="I158" s="294"/>
      <c r="J158" s="294"/>
      <c r="K158" s="294"/>
      <c r="L158" s="294"/>
      <c r="M158" s="294"/>
      <c r="N158" s="294"/>
      <c r="O158" s="294"/>
      <c r="P158" s="294"/>
      <c r="Q158" s="294"/>
      <c r="R158" s="294"/>
      <c r="S158" s="294"/>
      <c r="T158" s="294"/>
      <c r="U158" s="294"/>
      <c r="V158" s="294"/>
      <c r="W158" s="294"/>
      <c r="X158" s="294"/>
      <c r="Y158" s="294"/>
      <c r="Z158" s="294"/>
      <c r="AA158" s="294"/>
      <c r="AB158" s="294"/>
      <c r="AC158" s="294"/>
      <c r="AD158" s="294"/>
      <c r="AE158" s="294"/>
      <c r="AF158" s="294"/>
      <c r="AG158" s="294"/>
      <c r="AH158" s="294"/>
      <c r="AI158" s="294"/>
      <c r="AJ158" s="294"/>
      <c r="AK158" s="294"/>
      <c r="AL158" s="294"/>
      <c r="AM158" s="294"/>
      <c r="AN158" s="294"/>
      <c r="AO158" s="294"/>
      <c r="AP158" s="294"/>
      <c r="AQ158" s="294"/>
      <c r="AR158" s="294"/>
      <c r="AS158" s="294"/>
      <c r="AT158" s="294"/>
      <c r="AU158" s="294"/>
      <c r="AV158" s="294"/>
      <c r="AW158" s="294"/>
      <c r="AX158" s="294"/>
      <c r="AY158" s="294"/>
      <c r="AZ158" s="294"/>
      <c r="BA158" s="294"/>
      <c r="BB158" s="294"/>
      <c r="BC158" s="294"/>
      <c r="BD158" s="294"/>
      <c r="BE158" s="294"/>
      <c r="BF158" s="294"/>
      <c r="BG158" s="294"/>
      <c r="BH158" s="294"/>
      <c r="BI158" s="294"/>
      <c r="BJ158" s="294"/>
      <c r="BK158" s="294"/>
      <c r="BL158" s="294"/>
      <c r="BM158" s="294"/>
    </row>
    <row r="159" spans="1:65" x14ac:dyDescent="0.25">
      <c r="A159" s="294"/>
      <c r="B159" s="294"/>
      <c r="C159" s="294"/>
      <c r="D159" s="294"/>
      <c r="E159" s="294"/>
      <c r="F159" s="294"/>
      <c r="G159" s="294"/>
      <c r="H159" s="294"/>
      <c r="I159" s="294"/>
      <c r="J159" s="294"/>
      <c r="K159" s="294"/>
      <c r="L159" s="294"/>
      <c r="M159" s="294"/>
      <c r="N159" s="294"/>
      <c r="O159" s="294"/>
      <c r="P159" s="294"/>
      <c r="Q159" s="294"/>
      <c r="R159" s="294"/>
      <c r="S159" s="294"/>
      <c r="T159" s="294"/>
      <c r="U159" s="294"/>
      <c r="V159" s="294"/>
      <c r="W159" s="294"/>
      <c r="X159" s="294"/>
      <c r="Y159" s="294"/>
      <c r="Z159" s="294"/>
      <c r="AA159" s="294"/>
      <c r="AB159" s="294"/>
      <c r="AC159" s="294"/>
      <c r="AD159" s="294"/>
      <c r="AE159" s="294"/>
      <c r="AF159" s="294"/>
      <c r="AG159" s="294"/>
      <c r="AH159" s="294"/>
      <c r="AI159" s="294"/>
      <c r="AJ159" s="294"/>
      <c r="AK159" s="294"/>
      <c r="AL159" s="294"/>
      <c r="AM159" s="294"/>
      <c r="AN159" s="294"/>
      <c r="AO159" s="294"/>
      <c r="AP159" s="294"/>
      <c r="AQ159" s="294"/>
      <c r="AR159" s="294"/>
      <c r="AS159" s="294"/>
      <c r="AT159" s="294"/>
      <c r="AU159" s="294"/>
      <c r="AV159" s="294"/>
      <c r="AW159" s="294"/>
      <c r="AX159" s="294"/>
      <c r="AY159" s="294"/>
      <c r="AZ159" s="294"/>
      <c r="BA159" s="294"/>
      <c r="BB159" s="294"/>
      <c r="BC159" s="294"/>
      <c r="BD159" s="294"/>
      <c r="BE159" s="294"/>
      <c r="BF159" s="294"/>
      <c r="BG159" s="294"/>
      <c r="BH159" s="294"/>
      <c r="BI159" s="294"/>
      <c r="BJ159" s="294"/>
      <c r="BK159" s="294"/>
      <c r="BL159" s="294"/>
      <c r="BM159" s="294"/>
    </row>
    <row r="160" spans="1:65" x14ac:dyDescent="0.25">
      <c r="A160" s="294"/>
      <c r="B160" s="294"/>
      <c r="C160" s="294"/>
      <c r="D160" s="294"/>
      <c r="E160" s="294"/>
      <c r="F160" s="294"/>
      <c r="G160" s="294"/>
      <c r="H160" s="294"/>
      <c r="I160" s="294"/>
      <c r="J160" s="294"/>
      <c r="K160" s="294"/>
      <c r="L160" s="294"/>
      <c r="M160" s="294"/>
      <c r="N160" s="294"/>
      <c r="O160" s="294"/>
      <c r="P160" s="294"/>
      <c r="Q160" s="294"/>
      <c r="R160" s="294"/>
      <c r="S160" s="294"/>
      <c r="T160" s="294"/>
      <c r="U160" s="294"/>
      <c r="V160" s="294"/>
      <c r="W160" s="294"/>
      <c r="X160" s="294"/>
      <c r="Y160" s="294"/>
      <c r="Z160" s="294"/>
      <c r="AA160" s="294"/>
      <c r="AB160" s="294"/>
      <c r="AC160" s="294"/>
      <c r="AD160" s="294"/>
      <c r="AE160" s="294"/>
      <c r="AF160" s="294"/>
      <c r="AG160" s="294"/>
      <c r="AH160" s="294"/>
      <c r="AI160" s="294"/>
      <c r="AJ160" s="294"/>
      <c r="AK160" s="294"/>
      <c r="AL160" s="294"/>
      <c r="AM160" s="294"/>
      <c r="AN160" s="294"/>
      <c r="AO160" s="294"/>
      <c r="AP160" s="294"/>
      <c r="AQ160" s="294"/>
      <c r="AR160" s="294"/>
      <c r="AS160" s="294"/>
      <c r="AT160" s="294"/>
      <c r="AU160" s="294"/>
      <c r="AV160" s="294"/>
      <c r="AW160" s="294"/>
      <c r="AX160" s="294"/>
      <c r="AY160" s="294"/>
      <c r="AZ160" s="294"/>
      <c r="BA160" s="294"/>
      <c r="BB160" s="294"/>
      <c r="BC160" s="294"/>
      <c r="BD160" s="294"/>
      <c r="BE160" s="294"/>
      <c r="BF160" s="294"/>
      <c r="BG160" s="294"/>
      <c r="BH160" s="294"/>
      <c r="BI160" s="294"/>
      <c r="BJ160" s="294"/>
      <c r="BK160" s="294"/>
      <c r="BL160" s="294"/>
      <c r="BM160" s="294"/>
    </row>
    <row r="161" spans="1:65" x14ac:dyDescent="0.25">
      <c r="A161" s="294"/>
      <c r="B161" s="294"/>
      <c r="C161" s="294"/>
      <c r="D161" s="294"/>
      <c r="E161" s="294"/>
      <c r="F161" s="294"/>
      <c r="G161" s="294"/>
      <c r="H161" s="294"/>
      <c r="I161" s="294"/>
      <c r="J161" s="294"/>
      <c r="K161" s="294"/>
      <c r="L161" s="294"/>
      <c r="M161" s="294"/>
      <c r="N161" s="294"/>
      <c r="O161" s="294"/>
      <c r="P161" s="294"/>
      <c r="Q161" s="294"/>
      <c r="R161" s="294"/>
      <c r="S161" s="294"/>
      <c r="T161" s="294"/>
      <c r="U161" s="294"/>
      <c r="V161" s="294"/>
      <c r="W161" s="294"/>
      <c r="X161" s="294"/>
      <c r="Y161" s="294"/>
      <c r="Z161" s="294"/>
      <c r="AA161" s="294"/>
      <c r="AB161" s="294"/>
      <c r="AC161" s="294"/>
      <c r="AD161" s="294"/>
      <c r="AE161" s="294"/>
      <c r="AF161" s="294"/>
      <c r="AG161" s="294"/>
      <c r="AH161" s="294"/>
      <c r="AI161" s="294"/>
      <c r="AJ161" s="294"/>
      <c r="AK161" s="294"/>
      <c r="AL161" s="294"/>
      <c r="AM161" s="294"/>
      <c r="AN161" s="294"/>
      <c r="AO161" s="294"/>
      <c r="AP161" s="294"/>
      <c r="AQ161" s="294"/>
      <c r="AR161" s="294"/>
      <c r="AS161" s="294"/>
      <c r="AT161" s="294"/>
      <c r="AU161" s="294"/>
      <c r="AV161" s="294"/>
      <c r="AW161" s="294"/>
      <c r="AX161" s="294"/>
      <c r="AY161" s="294"/>
      <c r="AZ161" s="294"/>
      <c r="BA161" s="294"/>
      <c r="BB161" s="294"/>
      <c r="BC161" s="294"/>
      <c r="BD161" s="294"/>
      <c r="BE161" s="294"/>
      <c r="BF161" s="294"/>
      <c r="BG161" s="294"/>
      <c r="BH161" s="294"/>
      <c r="BI161" s="294"/>
      <c r="BJ161" s="294"/>
      <c r="BK161" s="294"/>
      <c r="BL161" s="294"/>
      <c r="BM161" s="294"/>
    </row>
    <row r="162" spans="1:65" x14ac:dyDescent="0.25">
      <c r="A162" s="294"/>
      <c r="B162" s="294"/>
      <c r="C162" s="294"/>
      <c r="D162" s="294"/>
      <c r="E162" s="294"/>
      <c r="F162" s="294"/>
      <c r="G162" s="294"/>
      <c r="H162" s="294"/>
      <c r="I162" s="294"/>
      <c r="J162" s="294"/>
      <c r="K162" s="294"/>
      <c r="L162" s="294"/>
      <c r="M162" s="294"/>
      <c r="N162" s="294"/>
      <c r="O162" s="294"/>
      <c r="P162" s="294"/>
      <c r="Q162" s="294"/>
      <c r="R162" s="294"/>
      <c r="S162" s="294"/>
      <c r="T162" s="294"/>
      <c r="U162" s="294"/>
      <c r="V162" s="294"/>
      <c r="W162" s="294"/>
      <c r="X162" s="294"/>
      <c r="Y162" s="294"/>
      <c r="Z162" s="294"/>
      <c r="AA162" s="294"/>
      <c r="AB162" s="294"/>
      <c r="AC162" s="294"/>
      <c r="AD162" s="294"/>
      <c r="AE162" s="294"/>
      <c r="AF162" s="294"/>
      <c r="AG162" s="294"/>
      <c r="AH162" s="294"/>
      <c r="AI162" s="294"/>
      <c r="AJ162" s="294"/>
      <c r="AK162" s="294"/>
      <c r="AL162" s="294"/>
      <c r="AM162" s="294"/>
      <c r="AN162" s="294"/>
      <c r="AO162" s="294"/>
      <c r="AP162" s="294"/>
      <c r="AQ162" s="294"/>
      <c r="AR162" s="294"/>
      <c r="AS162" s="294"/>
      <c r="AT162" s="294"/>
      <c r="AU162" s="294"/>
      <c r="AV162" s="294"/>
      <c r="AW162" s="294"/>
      <c r="AX162" s="294"/>
      <c r="AY162" s="294"/>
      <c r="AZ162" s="294"/>
      <c r="BA162" s="294"/>
      <c r="BB162" s="294"/>
      <c r="BC162" s="294"/>
      <c r="BD162" s="294"/>
      <c r="BE162" s="294"/>
      <c r="BF162" s="294"/>
      <c r="BG162" s="294"/>
      <c r="BH162" s="294"/>
      <c r="BI162" s="294"/>
      <c r="BJ162" s="294"/>
      <c r="BK162" s="294"/>
      <c r="BL162" s="294"/>
      <c r="BM162" s="294"/>
    </row>
    <row r="163" spans="1:65" x14ac:dyDescent="0.25">
      <c r="A163" s="294"/>
      <c r="B163" s="294"/>
      <c r="C163" s="294"/>
      <c r="D163" s="294"/>
      <c r="E163" s="294"/>
      <c r="F163" s="294"/>
      <c r="G163" s="294"/>
      <c r="H163" s="294"/>
      <c r="I163" s="294"/>
      <c r="J163" s="294"/>
      <c r="K163" s="294"/>
      <c r="L163" s="294"/>
      <c r="M163" s="294"/>
      <c r="N163" s="294"/>
      <c r="O163" s="294"/>
      <c r="P163" s="294"/>
      <c r="Q163" s="294"/>
      <c r="R163" s="294"/>
      <c r="S163" s="294"/>
      <c r="T163" s="294"/>
      <c r="U163" s="294"/>
      <c r="V163" s="294"/>
      <c r="W163" s="294"/>
      <c r="X163" s="294"/>
      <c r="Y163" s="294"/>
      <c r="Z163" s="294"/>
      <c r="AA163" s="294"/>
      <c r="AB163" s="294"/>
      <c r="AC163" s="294"/>
      <c r="AD163" s="294"/>
      <c r="AE163" s="294"/>
      <c r="AF163" s="294"/>
      <c r="AG163" s="294"/>
      <c r="AH163" s="294"/>
      <c r="AI163" s="294"/>
      <c r="AJ163" s="294"/>
      <c r="AK163" s="294"/>
      <c r="AL163" s="294"/>
      <c r="AM163" s="294"/>
      <c r="AN163" s="294"/>
      <c r="AO163" s="294"/>
      <c r="AP163" s="294"/>
      <c r="AQ163" s="294"/>
      <c r="AR163" s="294"/>
      <c r="AS163" s="294"/>
      <c r="AT163" s="294"/>
      <c r="AU163" s="294"/>
      <c r="AV163" s="294"/>
      <c r="AW163" s="294"/>
      <c r="AX163" s="294"/>
      <c r="AY163" s="294"/>
      <c r="AZ163" s="294"/>
      <c r="BA163" s="294"/>
      <c r="BB163" s="294"/>
      <c r="BC163" s="294"/>
      <c r="BD163" s="294"/>
      <c r="BE163" s="294"/>
      <c r="BF163" s="294"/>
      <c r="BG163" s="294"/>
      <c r="BH163" s="294"/>
      <c r="BI163" s="294"/>
      <c r="BJ163" s="294"/>
      <c r="BK163" s="294"/>
      <c r="BL163" s="294"/>
      <c r="BM163" s="294"/>
    </row>
    <row r="164" spans="1:65" x14ac:dyDescent="0.25">
      <c r="A164" s="294"/>
      <c r="B164" s="294"/>
      <c r="C164" s="294"/>
      <c r="D164" s="294"/>
      <c r="E164" s="294"/>
      <c r="F164" s="294"/>
      <c r="G164" s="294"/>
      <c r="H164" s="294"/>
      <c r="I164" s="294"/>
      <c r="J164" s="294"/>
      <c r="K164" s="294"/>
      <c r="L164" s="294"/>
      <c r="M164" s="294"/>
      <c r="N164" s="294"/>
      <c r="O164" s="294"/>
      <c r="P164" s="294"/>
      <c r="Q164" s="294"/>
      <c r="R164" s="294"/>
      <c r="S164" s="294"/>
      <c r="T164" s="294"/>
      <c r="U164" s="294"/>
      <c r="V164" s="294"/>
      <c r="W164" s="294"/>
      <c r="X164" s="294"/>
      <c r="Y164" s="294"/>
      <c r="Z164" s="294"/>
      <c r="AA164" s="294"/>
      <c r="AB164" s="294"/>
      <c r="AC164" s="294"/>
      <c r="AD164" s="294"/>
      <c r="AE164" s="294"/>
      <c r="AF164" s="294"/>
      <c r="AG164" s="294"/>
      <c r="AH164" s="294"/>
      <c r="AI164" s="294"/>
      <c r="AJ164" s="294"/>
      <c r="AK164" s="294"/>
      <c r="AL164" s="294"/>
      <c r="AM164" s="294"/>
      <c r="AN164" s="294"/>
      <c r="AO164" s="294"/>
      <c r="AP164" s="294"/>
      <c r="AQ164" s="294"/>
      <c r="AR164" s="294"/>
      <c r="AS164" s="294"/>
      <c r="AT164" s="294"/>
      <c r="AU164" s="294"/>
      <c r="AV164" s="294"/>
      <c r="AW164" s="294"/>
      <c r="AX164" s="294"/>
      <c r="AY164" s="294"/>
      <c r="AZ164" s="294"/>
      <c r="BA164" s="294"/>
      <c r="BB164" s="294"/>
      <c r="BC164" s="294"/>
      <c r="BD164" s="294"/>
      <c r="BE164" s="294"/>
      <c r="BF164" s="294"/>
      <c r="BG164" s="294"/>
      <c r="BH164" s="294"/>
      <c r="BI164" s="294"/>
      <c r="BJ164" s="294"/>
      <c r="BK164" s="294"/>
      <c r="BL164" s="294"/>
      <c r="BM164" s="294"/>
    </row>
    <row r="165" spans="1:65" x14ac:dyDescent="0.25">
      <c r="A165" s="294"/>
      <c r="B165" s="294"/>
      <c r="C165" s="294"/>
      <c r="D165" s="294"/>
      <c r="E165" s="294"/>
      <c r="F165" s="294"/>
      <c r="G165" s="294"/>
      <c r="H165" s="294"/>
      <c r="I165" s="294"/>
      <c r="J165" s="294"/>
      <c r="K165" s="294"/>
      <c r="L165" s="294"/>
      <c r="M165" s="294"/>
      <c r="N165" s="294"/>
      <c r="O165" s="294"/>
      <c r="P165" s="294"/>
      <c r="Q165" s="294"/>
      <c r="R165" s="294"/>
      <c r="S165" s="294"/>
      <c r="T165" s="294"/>
      <c r="U165" s="294"/>
      <c r="V165" s="294"/>
      <c r="W165" s="294"/>
      <c r="X165" s="294"/>
      <c r="Y165" s="294"/>
      <c r="Z165" s="294"/>
      <c r="AA165" s="294"/>
      <c r="AB165" s="294"/>
      <c r="AC165" s="294"/>
      <c r="AD165" s="294"/>
      <c r="AE165" s="294"/>
      <c r="AF165" s="294"/>
      <c r="AG165" s="294"/>
      <c r="AH165" s="294"/>
      <c r="AI165" s="294"/>
      <c r="AJ165" s="294"/>
      <c r="AK165" s="294"/>
      <c r="AL165" s="294"/>
      <c r="AM165" s="294"/>
      <c r="AN165" s="294"/>
      <c r="AO165" s="294"/>
      <c r="AP165" s="294"/>
      <c r="AQ165" s="294"/>
      <c r="AR165" s="294"/>
      <c r="AS165" s="294"/>
      <c r="AT165" s="294"/>
      <c r="AU165" s="294"/>
      <c r="AV165" s="294"/>
      <c r="AW165" s="294"/>
      <c r="AX165" s="294"/>
      <c r="AY165" s="294"/>
      <c r="AZ165" s="294"/>
      <c r="BA165" s="294"/>
      <c r="BB165" s="294"/>
      <c r="BC165" s="294"/>
      <c r="BD165" s="294"/>
      <c r="BE165" s="294"/>
      <c r="BF165" s="294"/>
      <c r="BG165" s="294"/>
      <c r="BH165" s="294"/>
      <c r="BI165" s="294"/>
      <c r="BJ165" s="294"/>
      <c r="BK165" s="294"/>
      <c r="BL165" s="294"/>
      <c r="BM165" s="294"/>
    </row>
    <row r="166" spans="1:65" x14ac:dyDescent="0.25">
      <c r="A166" s="294"/>
      <c r="B166" s="294"/>
      <c r="C166" s="294"/>
      <c r="D166" s="294"/>
      <c r="E166" s="294"/>
      <c r="F166" s="294"/>
      <c r="G166" s="294"/>
      <c r="H166" s="294"/>
      <c r="I166" s="294"/>
      <c r="J166" s="294"/>
      <c r="K166" s="294"/>
      <c r="L166" s="294"/>
      <c r="M166" s="294"/>
      <c r="N166" s="294"/>
      <c r="O166" s="294"/>
      <c r="P166" s="294"/>
      <c r="Q166" s="294"/>
      <c r="R166" s="294"/>
      <c r="S166" s="294"/>
      <c r="T166" s="294"/>
      <c r="U166" s="294"/>
      <c r="V166" s="294"/>
      <c r="W166" s="294"/>
      <c r="X166" s="294"/>
      <c r="Y166" s="294"/>
      <c r="Z166" s="294"/>
      <c r="AA166" s="294"/>
      <c r="AB166" s="294"/>
      <c r="AC166" s="294"/>
      <c r="AD166" s="294"/>
      <c r="AE166" s="294"/>
      <c r="AF166" s="294"/>
      <c r="AG166" s="294"/>
      <c r="AH166" s="294"/>
      <c r="AI166" s="294"/>
      <c r="AJ166" s="294"/>
      <c r="AK166" s="294"/>
      <c r="AL166" s="294"/>
      <c r="AM166" s="294"/>
      <c r="AN166" s="294"/>
      <c r="AO166" s="294"/>
      <c r="AP166" s="294"/>
      <c r="AQ166" s="294"/>
      <c r="AR166" s="294"/>
      <c r="AS166" s="294"/>
      <c r="AT166" s="294"/>
      <c r="AU166" s="294"/>
      <c r="AV166" s="294"/>
      <c r="AW166" s="294"/>
      <c r="AX166" s="294"/>
      <c r="AY166" s="294"/>
      <c r="AZ166" s="294"/>
      <c r="BA166" s="294"/>
      <c r="BB166" s="294"/>
      <c r="BC166" s="294"/>
      <c r="BD166" s="294"/>
      <c r="BE166" s="294"/>
      <c r="BF166" s="294"/>
      <c r="BG166" s="294"/>
      <c r="BH166" s="294"/>
      <c r="BI166" s="294"/>
      <c r="BJ166" s="294"/>
      <c r="BK166" s="294"/>
      <c r="BL166" s="294"/>
      <c r="BM166" s="294"/>
    </row>
    <row r="167" spans="1:65" x14ac:dyDescent="0.25">
      <c r="A167" s="294"/>
      <c r="B167" s="294"/>
      <c r="C167" s="294"/>
      <c r="D167" s="294"/>
      <c r="E167" s="294"/>
      <c r="F167" s="294"/>
      <c r="G167" s="294"/>
      <c r="H167" s="294"/>
      <c r="I167" s="294"/>
      <c r="J167" s="294"/>
      <c r="K167" s="294"/>
      <c r="L167" s="294"/>
      <c r="M167" s="294"/>
      <c r="N167" s="294"/>
      <c r="O167" s="294"/>
      <c r="P167" s="294"/>
      <c r="Q167" s="294"/>
      <c r="R167" s="294"/>
      <c r="S167" s="294"/>
      <c r="T167" s="294"/>
      <c r="U167" s="294"/>
      <c r="V167" s="294"/>
      <c r="W167" s="294"/>
      <c r="X167" s="294"/>
      <c r="Y167" s="294"/>
      <c r="Z167" s="294"/>
      <c r="AA167" s="294"/>
      <c r="AB167" s="294"/>
      <c r="AC167" s="294"/>
      <c r="AD167" s="294"/>
      <c r="AE167" s="294"/>
      <c r="AF167" s="294"/>
      <c r="AG167" s="294"/>
      <c r="AH167" s="294"/>
      <c r="AI167" s="294"/>
      <c r="AJ167" s="294"/>
      <c r="AK167" s="294"/>
      <c r="AL167" s="294"/>
      <c r="AM167" s="294"/>
      <c r="AN167" s="294"/>
      <c r="AO167" s="294"/>
      <c r="AP167" s="294"/>
      <c r="AQ167" s="294"/>
      <c r="AR167" s="294"/>
      <c r="AS167" s="294"/>
      <c r="AT167" s="294"/>
      <c r="AU167" s="294"/>
      <c r="AV167" s="294"/>
      <c r="AW167" s="294"/>
      <c r="AX167" s="294"/>
      <c r="AY167" s="294"/>
      <c r="AZ167" s="294"/>
      <c r="BA167" s="294"/>
      <c r="BB167" s="294"/>
      <c r="BC167" s="294"/>
      <c r="BD167" s="294"/>
      <c r="BE167" s="294"/>
      <c r="BF167" s="294"/>
      <c r="BG167" s="294"/>
      <c r="BH167" s="294"/>
      <c r="BI167" s="294"/>
      <c r="BJ167" s="294"/>
      <c r="BK167" s="294"/>
      <c r="BL167" s="294"/>
      <c r="BM167" s="294"/>
    </row>
    <row r="168" spans="1:65" x14ac:dyDescent="0.25">
      <c r="A168" s="294"/>
      <c r="B168" s="294"/>
      <c r="C168" s="294"/>
      <c r="D168" s="294"/>
      <c r="E168" s="294"/>
      <c r="F168" s="294"/>
      <c r="G168" s="294"/>
      <c r="H168" s="294"/>
      <c r="I168" s="294"/>
      <c r="J168" s="294"/>
      <c r="K168" s="294"/>
      <c r="L168" s="294"/>
      <c r="M168" s="294"/>
      <c r="N168" s="294"/>
      <c r="O168" s="294"/>
      <c r="P168" s="294"/>
      <c r="Q168" s="294"/>
      <c r="R168" s="294"/>
      <c r="S168" s="294"/>
      <c r="T168" s="294"/>
      <c r="U168" s="294"/>
      <c r="V168" s="294"/>
      <c r="W168" s="294"/>
      <c r="X168" s="294"/>
      <c r="Y168" s="294"/>
      <c r="Z168" s="294"/>
      <c r="AA168" s="294"/>
      <c r="AB168" s="294"/>
      <c r="AC168" s="294"/>
      <c r="AD168" s="294"/>
      <c r="AE168" s="294"/>
      <c r="AF168" s="294"/>
      <c r="AG168" s="294"/>
      <c r="AH168" s="294"/>
      <c r="AI168" s="294"/>
      <c r="AJ168" s="294"/>
      <c r="AK168" s="294"/>
      <c r="AL168" s="294"/>
      <c r="AM168" s="294"/>
      <c r="AN168" s="294"/>
      <c r="AO168" s="294"/>
      <c r="AP168" s="294"/>
      <c r="AQ168" s="294"/>
      <c r="AR168" s="294"/>
      <c r="AS168" s="294"/>
      <c r="AT168" s="294"/>
      <c r="AU168" s="294"/>
      <c r="AV168" s="294"/>
      <c r="AW168" s="294"/>
      <c r="AX168" s="294"/>
      <c r="AY168" s="294"/>
      <c r="AZ168" s="294"/>
      <c r="BA168" s="294"/>
      <c r="BB168" s="294"/>
      <c r="BC168" s="294"/>
      <c r="BD168" s="294"/>
      <c r="BE168" s="294"/>
      <c r="BF168" s="294"/>
      <c r="BG168" s="294"/>
      <c r="BH168" s="294"/>
      <c r="BI168" s="294"/>
      <c r="BJ168" s="294"/>
      <c r="BK168" s="294"/>
      <c r="BL168" s="294"/>
      <c r="BM168" s="294"/>
    </row>
    <row r="169" spans="1:65" x14ac:dyDescent="0.25">
      <c r="A169" s="294"/>
      <c r="B169" s="294"/>
      <c r="C169" s="294"/>
      <c r="D169" s="294"/>
      <c r="E169" s="294"/>
      <c r="F169" s="294"/>
      <c r="G169" s="294"/>
      <c r="H169" s="294"/>
      <c r="I169" s="294"/>
      <c r="J169" s="294"/>
      <c r="K169" s="294"/>
      <c r="L169" s="294"/>
      <c r="M169" s="294"/>
      <c r="N169" s="294"/>
      <c r="O169" s="294"/>
      <c r="P169" s="294"/>
      <c r="Q169" s="294"/>
      <c r="R169" s="294"/>
      <c r="S169" s="294"/>
      <c r="T169" s="294"/>
      <c r="U169" s="294"/>
      <c r="V169" s="294"/>
      <c r="W169" s="294"/>
      <c r="X169" s="294"/>
      <c r="Y169" s="294"/>
      <c r="Z169" s="294"/>
      <c r="AA169" s="294"/>
      <c r="AB169" s="294"/>
      <c r="AC169" s="294"/>
      <c r="AD169" s="294"/>
      <c r="AE169" s="294"/>
      <c r="AF169" s="294"/>
      <c r="AG169" s="294"/>
      <c r="AH169" s="294"/>
      <c r="AI169" s="294"/>
      <c r="AJ169" s="294"/>
      <c r="AK169" s="294"/>
      <c r="AL169" s="294"/>
      <c r="AM169" s="294"/>
      <c r="AN169" s="294"/>
      <c r="AO169" s="294"/>
      <c r="AP169" s="294"/>
      <c r="AQ169" s="294"/>
      <c r="AR169" s="294"/>
      <c r="AS169" s="294"/>
      <c r="AT169" s="294"/>
      <c r="AU169" s="294"/>
      <c r="AV169" s="294"/>
      <c r="AW169" s="294"/>
      <c r="AX169" s="294"/>
      <c r="AY169" s="294"/>
      <c r="AZ169" s="294"/>
      <c r="BA169" s="294"/>
      <c r="BB169" s="294"/>
      <c r="BC169" s="294"/>
      <c r="BD169" s="294"/>
      <c r="BE169" s="294"/>
      <c r="BF169" s="294"/>
      <c r="BG169" s="294"/>
      <c r="BH169" s="294"/>
      <c r="BI169" s="294"/>
      <c r="BJ169" s="294"/>
      <c r="BK169" s="294"/>
      <c r="BL169" s="294"/>
      <c r="BM169" s="294"/>
    </row>
    <row r="170" spans="1:65" x14ac:dyDescent="0.25">
      <c r="A170" s="294"/>
      <c r="B170" s="294"/>
      <c r="C170" s="294"/>
      <c r="D170" s="294"/>
      <c r="E170" s="294"/>
      <c r="F170" s="294"/>
      <c r="G170" s="294"/>
      <c r="H170" s="294"/>
      <c r="I170" s="294"/>
      <c r="J170" s="294"/>
      <c r="K170" s="294"/>
      <c r="L170" s="294"/>
      <c r="M170" s="294"/>
      <c r="N170" s="294"/>
      <c r="O170" s="294"/>
      <c r="P170" s="294"/>
      <c r="Q170" s="294"/>
      <c r="R170" s="294"/>
      <c r="S170" s="294"/>
      <c r="T170" s="294"/>
      <c r="U170" s="294"/>
      <c r="V170" s="294"/>
      <c r="W170" s="294"/>
      <c r="X170" s="294"/>
      <c r="Y170" s="294"/>
      <c r="Z170" s="294"/>
      <c r="AA170" s="294"/>
      <c r="AB170" s="294"/>
      <c r="AC170" s="294"/>
      <c r="AD170" s="294"/>
      <c r="AE170" s="294"/>
      <c r="AF170" s="294"/>
      <c r="AG170" s="294"/>
      <c r="AH170" s="294"/>
      <c r="AI170" s="294"/>
      <c r="AJ170" s="294"/>
      <c r="AK170" s="294"/>
      <c r="AL170" s="294"/>
      <c r="AM170" s="294"/>
      <c r="AN170" s="294"/>
      <c r="AO170" s="294"/>
      <c r="AP170" s="294"/>
      <c r="AQ170" s="294"/>
      <c r="AR170" s="294"/>
      <c r="AS170" s="294"/>
      <c r="AT170" s="294"/>
      <c r="AU170" s="294"/>
      <c r="AV170" s="294"/>
      <c r="AW170" s="294"/>
      <c r="AX170" s="294"/>
      <c r="AY170" s="294"/>
      <c r="AZ170" s="294"/>
      <c r="BA170" s="294"/>
      <c r="BB170" s="294"/>
      <c r="BC170" s="294"/>
      <c r="BD170" s="294"/>
      <c r="BE170" s="294"/>
      <c r="BF170" s="294"/>
      <c r="BG170" s="294"/>
      <c r="BH170" s="294"/>
      <c r="BI170" s="294"/>
      <c r="BJ170" s="294"/>
      <c r="BK170" s="294"/>
      <c r="BL170" s="294"/>
      <c r="BM170" s="294"/>
    </row>
    <row r="171" spans="1:65" x14ac:dyDescent="0.25">
      <c r="A171" s="294"/>
      <c r="B171" s="294"/>
      <c r="C171" s="294"/>
      <c r="D171" s="294"/>
      <c r="E171" s="294"/>
      <c r="F171" s="294"/>
      <c r="G171" s="294"/>
      <c r="H171" s="294"/>
      <c r="I171" s="294"/>
      <c r="J171" s="294"/>
      <c r="K171" s="294"/>
      <c r="L171" s="294"/>
      <c r="M171" s="294"/>
      <c r="N171" s="294"/>
      <c r="O171" s="294"/>
      <c r="P171" s="294"/>
      <c r="Q171" s="294"/>
      <c r="R171" s="294"/>
      <c r="S171" s="294"/>
      <c r="T171" s="294"/>
      <c r="U171" s="294"/>
      <c r="V171" s="294"/>
      <c r="W171" s="294"/>
      <c r="X171" s="294"/>
      <c r="Y171" s="294"/>
      <c r="Z171" s="294"/>
      <c r="AA171" s="294"/>
      <c r="AB171" s="294"/>
      <c r="AC171" s="294"/>
      <c r="AD171" s="294"/>
      <c r="AE171" s="294"/>
      <c r="AF171" s="294"/>
      <c r="AG171" s="294"/>
      <c r="AH171" s="294"/>
      <c r="AI171" s="294"/>
      <c r="AJ171" s="294"/>
      <c r="AK171" s="294"/>
      <c r="AL171" s="294"/>
      <c r="AM171" s="294"/>
      <c r="AN171" s="294"/>
      <c r="AO171" s="294"/>
      <c r="AP171" s="294"/>
      <c r="AQ171" s="294"/>
      <c r="AR171" s="294"/>
      <c r="AS171" s="294"/>
      <c r="AT171" s="294"/>
      <c r="AU171" s="294"/>
      <c r="AV171" s="294"/>
      <c r="AW171" s="294"/>
      <c r="AX171" s="294"/>
      <c r="AY171" s="294"/>
      <c r="AZ171" s="294"/>
      <c r="BA171" s="294"/>
      <c r="BB171" s="294"/>
      <c r="BC171" s="294"/>
      <c r="BD171" s="294"/>
      <c r="BE171" s="294"/>
      <c r="BF171" s="294"/>
      <c r="BG171" s="294"/>
      <c r="BH171" s="294"/>
      <c r="BI171" s="294"/>
      <c r="BJ171" s="294"/>
      <c r="BK171" s="294"/>
      <c r="BL171" s="294"/>
      <c r="BM171" s="294"/>
    </row>
    <row r="172" spans="1:65" x14ac:dyDescent="0.25">
      <c r="A172" s="294"/>
      <c r="B172" s="294"/>
      <c r="C172" s="294"/>
      <c r="D172" s="294"/>
      <c r="E172" s="294"/>
      <c r="F172" s="294"/>
      <c r="G172" s="294"/>
      <c r="H172" s="294"/>
      <c r="I172" s="294"/>
      <c r="J172" s="294"/>
      <c r="K172" s="294"/>
      <c r="L172" s="294"/>
      <c r="M172" s="294"/>
      <c r="N172" s="294"/>
      <c r="O172" s="294"/>
      <c r="P172" s="294"/>
      <c r="Q172" s="294"/>
      <c r="R172" s="294"/>
      <c r="S172" s="294"/>
      <c r="T172" s="294"/>
      <c r="U172" s="294"/>
      <c r="V172" s="294"/>
      <c r="W172" s="294"/>
      <c r="X172" s="294"/>
      <c r="Y172" s="294"/>
      <c r="Z172" s="294"/>
      <c r="AA172" s="294"/>
      <c r="AB172" s="294"/>
      <c r="AC172" s="294"/>
      <c r="AD172" s="294"/>
      <c r="AE172" s="294"/>
      <c r="AF172" s="294"/>
      <c r="AG172" s="294"/>
      <c r="AH172" s="294"/>
      <c r="AI172" s="294"/>
      <c r="AJ172" s="294"/>
      <c r="AK172" s="294"/>
      <c r="AL172" s="294"/>
      <c r="AM172" s="294"/>
      <c r="AN172" s="294"/>
      <c r="AO172" s="294"/>
      <c r="AP172" s="294"/>
      <c r="AQ172" s="294"/>
      <c r="AR172" s="294"/>
      <c r="AS172" s="294"/>
      <c r="AT172" s="294"/>
      <c r="AU172" s="294"/>
      <c r="AV172" s="294"/>
      <c r="AW172" s="294"/>
      <c r="AX172" s="294"/>
      <c r="AY172" s="294"/>
      <c r="AZ172" s="294"/>
      <c r="BA172" s="294"/>
      <c r="BB172" s="294"/>
      <c r="BC172" s="294"/>
      <c r="BD172" s="294"/>
      <c r="BE172" s="294"/>
      <c r="BF172" s="294"/>
      <c r="BG172" s="294"/>
      <c r="BH172" s="294"/>
      <c r="BI172" s="294"/>
      <c r="BJ172" s="294"/>
      <c r="BK172" s="294"/>
      <c r="BL172" s="294"/>
      <c r="BM172" s="294"/>
    </row>
    <row r="173" spans="1:65" x14ac:dyDescent="0.25">
      <c r="A173" s="294"/>
      <c r="B173" s="294"/>
      <c r="C173" s="294"/>
      <c r="D173" s="294"/>
      <c r="E173" s="294"/>
      <c r="F173" s="294"/>
      <c r="G173" s="294"/>
      <c r="H173" s="294"/>
      <c r="I173" s="294"/>
      <c r="J173" s="294"/>
      <c r="K173" s="294"/>
      <c r="L173" s="294"/>
      <c r="M173" s="294"/>
      <c r="N173" s="294"/>
      <c r="O173" s="294"/>
      <c r="P173" s="294"/>
      <c r="Q173" s="294"/>
      <c r="R173" s="294"/>
      <c r="S173" s="294"/>
      <c r="T173" s="294"/>
      <c r="U173" s="294"/>
      <c r="V173" s="294"/>
      <c r="W173" s="294"/>
      <c r="X173" s="294"/>
      <c r="Y173" s="294"/>
      <c r="Z173" s="294"/>
      <c r="AA173" s="294"/>
      <c r="AB173" s="294"/>
      <c r="AC173" s="294"/>
      <c r="AD173" s="294"/>
      <c r="AE173" s="294"/>
      <c r="AF173" s="294"/>
      <c r="AG173" s="294"/>
      <c r="AH173" s="294"/>
      <c r="AI173" s="294"/>
      <c r="AJ173" s="294"/>
      <c r="AK173" s="294"/>
      <c r="AL173" s="294"/>
      <c r="AM173" s="294"/>
      <c r="AN173" s="294"/>
      <c r="AO173" s="294"/>
      <c r="AP173" s="294"/>
      <c r="AQ173" s="294"/>
      <c r="AR173" s="294"/>
      <c r="AS173" s="294"/>
      <c r="AT173" s="294"/>
      <c r="AU173" s="294"/>
      <c r="AV173" s="294"/>
      <c r="AW173" s="294"/>
      <c r="AX173" s="294"/>
      <c r="AY173" s="294"/>
      <c r="AZ173" s="294"/>
      <c r="BA173" s="294"/>
      <c r="BB173" s="294"/>
      <c r="BC173" s="294"/>
      <c r="BD173" s="294"/>
      <c r="BE173" s="294"/>
      <c r="BF173" s="294"/>
      <c r="BG173" s="294"/>
      <c r="BH173" s="294"/>
      <c r="BI173" s="294"/>
      <c r="BJ173" s="294"/>
      <c r="BK173" s="294"/>
      <c r="BL173" s="294"/>
      <c r="BM173" s="294"/>
    </row>
    <row r="174" spans="1:65" x14ac:dyDescent="0.25">
      <c r="A174" s="294"/>
      <c r="B174" s="294"/>
      <c r="C174" s="294"/>
      <c r="D174" s="294"/>
      <c r="E174" s="294"/>
      <c r="F174" s="294"/>
      <c r="G174" s="294"/>
      <c r="H174" s="294"/>
      <c r="I174" s="294"/>
      <c r="J174" s="294"/>
      <c r="K174" s="294"/>
      <c r="L174" s="294"/>
      <c r="M174" s="294"/>
      <c r="N174" s="294"/>
      <c r="O174" s="294"/>
      <c r="P174" s="294"/>
      <c r="Q174" s="294"/>
      <c r="R174" s="294"/>
      <c r="S174" s="294"/>
      <c r="T174" s="294"/>
      <c r="U174" s="294"/>
      <c r="V174" s="294"/>
      <c r="W174" s="294"/>
      <c r="X174" s="294"/>
      <c r="Y174" s="294"/>
      <c r="Z174" s="294"/>
      <c r="AA174" s="294"/>
      <c r="AB174" s="294"/>
      <c r="AC174" s="294"/>
      <c r="AD174" s="294"/>
      <c r="AE174" s="294"/>
      <c r="AF174" s="294"/>
      <c r="AG174" s="294"/>
      <c r="AH174" s="294"/>
      <c r="AI174" s="294"/>
      <c r="AJ174" s="294"/>
      <c r="AK174" s="294"/>
      <c r="AL174" s="294"/>
      <c r="AM174" s="294"/>
      <c r="AN174" s="294"/>
      <c r="AO174" s="294"/>
      <c r="AP174" s="294"/>
      <c r="AQ174" s="294"/>
      <c r="AR174" s="294"/>
      <c r="AS174" s="294"/>
      <c r="AT174" s="294"/>
      <c r="AU174" s="294"/>
      <c r="AV174" s="294"/>
      <c r="AW174" s="294"/>
      <c r="AX174" s="294"/>
      <c r="AY174" s="294"/>
      <c r="AZ174" s="294"/>
      <c r="BA174" s="294"/>
      <c r="BB174" s="294"/>
      <c r="BC174" s="294"/>
      <c r="BD174" s="294"/>
      <c r="BE174" s="294"/>
      <c r="BF174" s="294"/>
      <c r="BG174" s="294"/>
      <c r="BH174" s="294"/>
      <c r="BI174" s="294"/>
      <c r="BJ174" s="294"/>
      <c r="BK174" s="294"/>
      <c r="BL174" s="294"/>
      <c r="BM174" s="294"/>
    </row>
    <row r="175" spans="1:65" x14ac:dyDescent="0.25">
      <c r="A175" s="294"/>
      <c r="B175" s="294"/>
      <c r="C175" s="294"/>
      <c r="D175" s="294"/>
      <c r="E175" s="294"/>
      <c r="F175" s="294"/>
      <c r="G175" s="294"/>
      <c r="H175" s="294"/>
      <c r="I175" s="294"/>
      <c r="J175" s="294"/>
      <c r="K175" s="294"/>
      <c r="L175" s="294"/>
      <c r="M175" s="294"/>
      <c r="N175" s="294"/>
      <c r="O175" s="294"/>
      <c r="P175" s="294"/>
      <c r="Q175" s="294"/>
      <c r="R175" s="294"/>
      <c r="S175" s="294"/>
      <c r="T175" s="294"/>
      <c r="U175" s="294"/>
      <c r="V175" s="294"/>
      <c r="W175" s="294"/>
      <c r="X175" s="294"/>
      <c r="Y175" s="294"/>
      <c r="Z175" s="294"/>
      <c r="AA175" s="294"/>
      <c r="AB175" s="294"/>
      <c r="AC175" s="294"/>
      <c r="AD175" s="294"/>
      <c r="AE175" s="294"/>
      <c r="AF175" s="294"/>
      <c r="AG175" s="294"/>
      <c r="AH175" s="294"/>
      <c r="AI175" s="294"/>
      <c r="AJ175" s="294"/>
      <c r="AK175" s="294"/>
      <c r="AL175" s="294"/>
      <c r="AM175" s="294"/>
      <c r="AN175" s="294"/>
      <c r="AO175" s="294"/>
      <c r="AP175" s="294"/>
      <c r="AQ175" s="294"/>
      <c r="AR175" s="294"/>
      <c r="AS175" s="294"/>
      <c r="AT175" s="294"/>
      <c r="AU175" s="294"/>
      <c r="AV175" s="294"/>
      <c r="AW175" s="294"/>
      <c r="AX175" s="294"/>
      <c r="AY175" s="294"/>
      <c r="AZ175" s="294"/>
      <c r="BA175" s="294"/>
      <c r="BB175" s="294"/>
      <c r="BC175" s="294"/>
      <c r="BD175" s="294"/>
      <c r="BE175" s="294"/>
      <c r="BF175" s="294"/>
      <c r="BG175" s="294"/>
      <c r="BH175" s="294"/>
      <c r="BI175" s="294"/>
      <c r="BJ175" s="294"/>
      <c r="BK175" s="294"/>
      <c r="BL175" s="294"/>
      <c r="BM175" s="294"/>
    </row>
    <row r="176" spans="1:65" x14ac:dyDescent="0.25">
      <c r="A176" s="294"/>
      <c r="B176" s="294"/>
      <c r="C176" s="294"/>
      <c r="D176" s="294"/>
      <c r="E176" s="294"/>
      <c r="F176" s="294"/>
      <c r="G176" s="294"/>
      <c r="H176" s="294"/>
      <c r="I176" s="294"/>
      <c r="J176" s="294"/>
      <c r="K176" s="294"/>
      <c r="L176" s="294"/>
      <c r="M176" s="294"/>
      <c r="N176" s="294"/>
      <c r="O176" s="294"/>
      <c r="P176" s="294"/>
      <c r="Q176" s="294"/>
      <c r="R176" s="294"/>
      <c r="S176" s="294"/>
      <c r="T176" s="294"/>
      <c r="U176" s="294"/>
      <c r="V176" s="294"/>
      <c r="W176" s="294"/>
      <c r="X176" s="294"/>
      <c r="Y176" s="294"/>
      <c r="Z176" s="294"/>
      <c r="AA176" s="294"/>
      <c r="AB176" s="294"/>
      <c r="AC176" s="294"/>
      <c r="AD176" s="294"/>
      <c r="AE176" s="294"/>
      <c r="AF176" s="294"/>
      <c r="AG176" s="294"/>
      <c r="AH176" s="294"/>
      <c r="AI176" s="294"/>
      <c r="AJ176" s="294"/>
      <c r="AK176" s="294"/>
      <c r="AL176" s="294"/>
      <c r="AM176" s="294"/>
      <c r="AN176" s="294"/>
      <c r="AO176" s="294"/>
      <c r="AP176" s="294"/>
      <c r="AQ176" s="294"/>
      <c r="AR176" s="294"/>
      <c r="AS176" s="294"/>
      <c r="AT176" s="294"/>
      <c r="AU176" s="294"/>
      <c r="AV176" s="294"/>
      <c r="AW176" s="294"/>
      <c r="AX176" s="294"/>
      <c r="AY176" s="294"/>
      <c r="AZ176" s="294"/>
      <c r="BA176" s="294"/>
      <c r="BB176" s="294"/>
      <c r="BC176" s="294"/>
      <c r="BD176" s="294"/>
      <c r="BE176" s="294"/>
      <c r="BF176" s="294"/>
      <c r="BG176" s="294"/>
      <c r="BH176" s="294"/>
      <c r="BI176" s="294"/>
      <c r="BJ176" s="294"/>
      <c r="BK176" s="294"/>
      <c r="BL176" s="294"/>
      <c r="BM176" s="294"/>
    </row>
    <row r="177" spans="1:65" x14ac:dyDescent="0.25">
      <c r="A177" s="294"/>
      <c r="B177" s="294"/>
      <c r="C177" s="294"/>
      <c r="D177" s="294"/>
      <c r="E177" s="294"/>
      <c r="F177" s="294"/>
      <c r="G177" s="294"/>
      <c r="H177" s="294"/>
      <c r="I177" s="294"/>
      <c r="J177" s="294"/>
      <c r="K177" s="294"/>
      <c r="L177" s="294"/>
      <c r="M177" s="294"/>
      <c r="N177" s="294"/>
      <c r="O177" s="294"/>
      <c r="P177" s="294"/>
      <c r="Q177" s="294"/>
      <c r="R177" s="294"/>
      <c r="S177" s="294"/>
      <c r="T177" s="294"/>
      <c r="U177" s="294"/>
      <c r="V177" s="294"/>
      <c r="W177" s="294"/>
      <c r="X177" s="294"/>
      <c r="Y177" s="294"/>
      <c r="Z177" s="294"/>
      <c r="AA177" s="294"/>
      <c r="AB177" s="294"/>
      <c r="AC177" s="294"/>
      <c r="AD177" s="294"/>
      <c r="AE177" s="294"/>
      <c r="AF177" s="294"/>
      <c r="AG177" s="294"/>
      <c r="AH177" s="294"/>
      <c r="AI177" s="294"/>
      <c r="AJ177" s="294"/>
      <c r="AK177" s="294"/>
      <c r="AL177" s="294"/>
      <c r="AM177" s="294"/>
      <c r="AN177" s="294"/>
      <c r="AO177" s="294"/>
      <c r="AP177" s="294"/>
      <c r="AQ177" s="294"/>
      <c r="AR177" s="294"/>
      <c r="AS177" s="294"/>
      <c r="AT177" s="294"/>
      <c r="AU177" s="294"/>
      <c r="AV177" s="294"/>
      <c r="AW177" s="294"/>
      <c r="AX177" s="294"/>
      <c r="AY177" s="294"/>
      <c r="AZ177" s="294"/>
      <c r="BA177" s="294"/>
      <c r="BB177" s="294"/>
      <c r="BC177" s="294"/>
      <c r="BD177" s="294"/>
      <c r="BE177" s="294"/>
      <c r="BF177" s="294"/>
      <c r="BG177" s="294"/>
      <c r="BH177" s="294"/>
      <c r="BI177" s="294"/>
      <c r="BJ177" s="294"/>
      <c r="BK177" s="294"/>
      <c r="BL177" s="294"/>
      <c r="BM177" s="294"/>
    </row>
    <row r="178" spans="1:65" x14ac:dyDescent="0.25">
      <c r="A178" s="294"/>
      <c r="B178" s="294"/>
      <c r="C178" s="294"/>
      <c r="D178" s="294"/>
      <c r="E178" s="294"/>
      <c r="F178" s="294"/>
      <c r="G178" s="294"/>
      <c r="H178" s="294"/>
      <c r="I178" s="294"/>
      <c r="J178" s="294"/>
      <c r="K178" s="294"/>
      <c r="L178" s="294"/>
      <c r="M178" s="294"/>
      <c r="N178" s="294"/>
      <c r="O178" s="294"/>
      <c r="P178" s="294"/>
      <c r="Q178" s="294"/>
      <c r="R178" s="294"/>
      <c r="S178" s="294"/>
      <c r="T178" s="294"/>
      <c r="U178" s="294"/>
      <c r="V178" s="294"/>
      <c r="W178" s="294"/>
      <c r="X178" s="294"/>
      <c r="Y178" s="294"/>
      <c r="Z178" s="294"/>
      <c r="AA178" s="294"/>
      <c r="AB178" s="294"/>
      <c r="AC178" s="294"/>
      <c r="AD178" s="294"/>
      <c r="AE178" s="294"/>
      <c r="AF178" s="294"/>
      <c r="AG178" s="294"/>
      <c r="AH178" s="294"/>
      <c r="AI178" s="294"/>
      <c r="AJ178" s="294"/>
      <c r="AK178" s="294"/>
      <c r="AL178" s="294"/>
      <c r="AM178" s="294"/>
      <c r="AN178" s="294"/>
      <c r="AO178" s="294"/>
      <c r="AP178" s="294"/>
      <c r="AQ178" s="294"/>
      <c r="AR178" s="294"/>
      <c r="AS178" s="294"/>
      <c r="AT178" s="294"/>
      <c r="AU178" s="294"/>
      <c r="AV178" s="294"/>
      <c r="AW178" s="294"/>
      <c r="AX178" s="294"/>
      <c r="AY178" s="294"/>
      <c r="AZ178" s="294"/>
      <c r="BA178" s="294"/>
      <c r="BB178" s="294"/>
      <c r="BC178" s="294"/>
      <c r="BD178" s="294"/>
      <c r="BE178" s="294"/>
      <c r="BF178" s="294"/>
      <c r="BG178" s="294"/>
      <c r="BH178" s="294"/>
      <c r="BI178" s="294"/>
      <c r="BJ178" s="294"/>
      <c r="BK178" s="294"/>
      <c r="BL178" s="294"/>
      <c r="BM178" s="294"/>
    </row>
    <row r="179" spans="1:65" x14ac:dyDescent="0.25">
      <c r="A179" s="294"/>
      <c r="B179" s="294"/>
      <c r="C179" s="294"/>
      <c r="D179" s="294"/>
      <c r="E179" s="294"/>
      <c r="F179" s="294"/>
      <c r="G179" s="294"/>
      <c r="H179" s="294"/>
      <c r="I179" s="294"/>
      <c r="J179" s="294"/>
      <c r="K179" s="294"/>
      <c r="L179" s="294"/>
      <c r="M179" s="294"/>
      <c r="N179" s="294"/>
      <c r="O179" s="294"/>
      <c r="P179" s="294"/>
      <c r="Q179" s="294"/>
      <c r="R179" s="294"/>
      <c r="S179" s="294"/>
      <c r="T179" s="294"/>
      <c r="U179" s="294"/>
      <c r="V179" s="294"/>
      <c r="W179" s="294"/>
      <c r="X179" s="294"/>
      <c r="Y179" s="294"/>
      <c r="Z179" s="294"/>
      <c r="AA179" s="294"/>
      <c r="AB179" s="294"/>
      <c r="AC179" s="294"/>
      <c r="AD179" s="294"/>
      <c r="AE179" s="294"/>
      <c r="AF179" s="294"/>
      <c r="AG179" s="294"/>
      <c r="AH179" s="294"/>
      <c r="AI179" s="294"/>
      <c r="AJ179" s="294"/>
      <c r="AK179" s="294"/>
      <c r="AL179" s="294"/>
      <c r="AM179" s="294"/>
      <c r="AN179" s="294"/>
      <c r="AO179" s="294"/>
      <c r="AP179" s="294"/>
      <c r="AQ179" s="294"/>
      <c r="AR179" s="294"/>
      <c r="AS179" s="294"/>
      <c r="AT179" s="294"/>
      <c r="AU179" s="294"/>
      <c r="AV179" s="294"/>
      <c r="AW179" s="294"/>
      <c r="AX179" s="294"/>
      <c r="AY179" s="294"/>
      <c r="AZ179" s="294"/>
      <c r="BA179" s="294"/>
      <c r="BB179" s="294"/>
      <c r="BC179" s="294"/>
      <c r="BD179" s="294"/>
      <c r="BE179" s="294"/>
      <c r="BF179" s="294"/>
      <c r="BG179" s="294"/>
      <c r="BH179" s="294"/>
      <c r="BI179" s="294"/>
      <c r="BJ179" s="294"/>
      <c r="BK179" s="294"/>
      <c r="BL179" s="294"/>
      <c r="BM179" s="294"/>
    </row>
    <row r="180" spans="1:65" x14ac:dyDescent="0.25">
      <c r="A180" s="294"/>
      <c r="B180" s="294"/>
      <c r="C180" s="294"/>
      <c r="D180" s="294"/>
      <c r="E180" s="294"/>
      <c r="F180" s="294"/>
      <c r="G180" s="294"/>
      <c r="H180" s="294"/>
      <c r="I180" s="294"/>
      <c r="J180" s="294"/>
      <c r="K180" s="294"/>
      <c r="L180" s="294"/>
      <c r="M180" s="294"/>
      <c r="N180" s="294"/>
      <c r="O180" s="294"/>
      <c r="P180" s="294"/>
      <c r="Q180" s="294"/>
      <c r="R180" s="294"/>
      <c r="S180" s="294"/>
      <c r="T180" s="294"/>
      <c r="U180" s="294"/>
      <c r="V180" s="294"/>
      <c r="W180" s="294"/>
      <c r="X180" s="294"/>
      <c r="Y180" s="294"/>
      <c r="Z180" s="294"/>
      <c r="AA180" s="294"/>
      <c r="AB180" s="294"/>
      <c r="AC180" s="294"/>
      <c r="AD180" s="294"/>
      <c r="AE180" s="294"/>
      <c r="AF180" s="294"/>
      <c r="AG180" s="294"/>
      <c r="AH180" s="294"/>
      <c r="AI180" s="294"/>
      <c r="AJ180" s="294"/>
      <c r="AK180" s="294"/>
      <c r="AL180" s="294"/>
      <c r="AM180" s="294"/>
      <c r="AN180" s="294"/>
      <c r="AO180" s="294"/>
      <c r="AP180" s="294"/>
      <c r="AQ180" s="294"/>
      <c r="AR180" s="294"/>
      <c r="AS180" s="294"/>
      <c r="AT180" s="294"/>
      <c r="AU180" s="294"/>
      <c r="AV180" s="294"/>
      <c r="AW180" s="294"/>
      <c r="AX180" s="294"/>
      <c r="AY180" s="294"/>
      <c r="AZ180" s="294"/>
      <c r="BA180" s="294"/>
      <c r="BB180" s="294"/>
      <c r="BC180" s="294"/>
      <c r="BD180" s="294"/>
      <c r="BE180" s="294"/>
      <c r="BF180" s="294"/>
      <c r="BG180" s="294"/>
      <c r="BH180" s="294"/>
      <c r="BI180" s="294"/>
      <c r="BJ180" s="294"/>
      <c r="BK180" s="294"/>
      <c r="BL180" s="294"/>
      <c r="BM180" s="294"/>
    </row>
    <row r="181" spans="1:65" x14ac:dyDescent="0.25">
      <c r="A181" s="294"/>
      <c r="B181" s="294"/>
      <c r="C181" s="294"/>
      <c r="D181" s="294"/>
      <c r="E181" s="294"/>
      <c r="F181" s="294"/>
      <c r="G181" s="294"/>
      <c r="H181" s="294"/>
      <c r="I181" s="294"/>
      <c r="J181" s="294"/>
      <c r="K181" s="294"/>
      <c r="L181" s="294"/>
      <c r="M181" s="294"/>
      <c r="N181" s="294"/>
      <c r="O181" s="294"/>
      <c r="P181" s="294"/>
      <c r="Q181" s="294"/>
      <c r="R181" s="294"/>
      <c r="S181" s="294"/>
      <c r="T181" s="294"/>
      <c r="U181" s="294"/>
      <c r="V181" s="294"/>
      <c r="W181" s="294"/>
      <c r="X181" s="294"/>
      <c r="Y181" s="294"/>
      <c r="Z181" s="294"/>
      <c r="AA181" s="294"/>
      <c r="AB181" s="294"/>
      <c r="AC181" s="294"/>
      <c r="AD181" s="294"/>
      <c r="AE181" s="294"/>
      <c r="AF181" s="294"/>
      <c r="AG181" s="294"/>
      <c r="AH181" s="294"/>
      <c r="AI181" s="294"/>
      <c r="AJ181" s="294"/>
      <c r="AK181" s="294"/>
      <c r="AL181" s="294"/>
      <c r="AM181" s="294"/>
      <c r="AN181" s="294"/>
      <c r="AO181" s="294"/>
      <c r="AP181" s="294"/>
      <c r="AQ181" s="294"/>
      <c r="AR181" s="294"/>
      <c r="AS181" s="294"/>
      <c r="AT181" s="294"/>
      <c r="AU181" s="294"/>
      <c r="AV181" s="294"/>
      <c r="AW181" s="294"/>
      <c r="AX181" s="294"/>
      <c r="AY181" s="294"/>
      <c r="AZ181" s="294"/>
      <c r="BA181" s="294"/>
      <c r="BB181" s="294"/>
      <c r="BC181" s="294"/>
      <c r="BD181" s="294"/>
      <c r="BE181" s="294"/>
      <c r="BF181" s="294"/>
      <c r="BG181" s="294"/>
      <c r="BH181" s="294"/>
      <c r="BI181" s="294"/>
      <c r="BJ181" s="294"/>
      <c r="BK181" s="294"/>
      <c r="BL181" s="294"/>
      <c r="BM181" s="294"/>
    </row>
    <row r="182" spans="1:65" x14ac:dyDescent="0.25">
      <c r="A182" s="294"/>
      <c r="B182" s="294"/>
      <c r="C182" s="294"/>
      <c r="D182" s="294"/>
      <c r="E182" s="294"/>
      <c r="F182" s="294"/>
      <c r="G182" s="294"/>
      <c r="H182" s="294"/>
      <c r="I182" s="294"/>
      <c r="J182" s="294"/>
      <c r="K182" s="294"/>
      <c r="L182" s="294"/>
      <c r="M182" s="294"/>
      <c r="N182" s="294"/>
      <c r="O182" s="294"/>
      <c r="P182" s="294"/>
      <c r="Q182" s="294"/>
      <c r="R182" s="294"/>
      <c r="S182" s="294"/>
      <c r="T182" s="294"/>
      <c r="U182" s="294"/>
      <c r="V182" s="294"/>
      <c r="W182" s="294"/>
      <c r="X182" s="294"/>
      <c r="Y182" s="294"/>
      <c r="Z182" s="294"/>
      <c r="AA182" s="294"/>
      <c r="AB182" s="294"/>
      <c r="AC182" s="294"/>
      <c r="AD182" s="294"/>
      <c r="AE182" s="294"/>
      <c r="AF182" s="294"/>
      <c r="AG182" s="294"/>
      <c r="AH182" s="294"/>
      <c r="AI182" s="294"/>
      <c r="AJ182" s="294"/>
      <c r="AK182" s="294"/>
      <c r="AL182" s="294"/>
      <c r="AM182" s="294"/>
      <c r="AN182" s="294"/>
      <c r="AO182" s="294"/>
      <c r="AP182" s="294"/>
      <c r="AQ182" s="294"/>
      <c r="AR182" s="294"/>
      <c r="AS182" s="294"/>
      <c r="AT182" s="294"/>
      <c r="AU182" s="294"/>
      <c r="AV182" s="294"/>
      <c r="AW182" s="294"/>
      <c r="AX182" s="294"/>
      <c r="AY182" s="294"/>
      <c r="AZ182" s="294"/>
      <c r="BA182" s="294"/>
      <c r="BB182" s="294"/>
      <c r="BC182" s="294"/>
      <c r="BD182" s="294"/>
      <c r="BE182" s="294"/>
      <c r="BF182" s="294"/>
      <c r="BG182" s="294"/>
      <c r="BH182" s="294"/>
      <c r="BI182" s="294"/>
      <c r="BJ182" s="294"/>
      <c r="BK182" s="294"/>
      <c r="BL182" s="294"/>
      <c r="BM182" s="294"/>
    </row>
    <row r="183" spans="1:65" x14ac:dyDescent="0.25">
      <c r="A183" s="294"/>
      <c r="B183" s="294"/>
      <c r="C183" s="294"/>
      <c r="D183" s="294"/>
      <c r="E183" s="294"/>
      <c r="F183" s="294"/>
      <c r="G183" s="294"/>
      <c r="H183" s="294"/>
      <c r="I183" s="294"/>
      <c r="J183" s="294"/>
      <c r="K183" s="294"/>
      <c r="L183" s="294"/>
      <c r="M183" s="294"/>
      <c r="N183" s="294"/>
      <c r="O183" s="294"/>
      <c r="P183" s="294"/>
      <c r="Q183" s="294"/>
      <c r="R183" s="294"/>
      <c r="S183" s="294"/>
      <c r="T183" s="294"/>
      <c r="U183" s="294"/>
      <c r="V183" s="294"/>
      <c r="W183" s="294"/>
      <c r="X183" s="294"/>
      <c r="Y183" s="294"/>
      <c r="Z183" s="294"/>
      <c r="AA183" s="294"/>
      <c r="AB183" s="294"/>
      <c r="AC183" s="294"/>
      <c r="AD183" s="294"/>
      <c r="AE183" s="294"/>
      <c r="AF183" s="294"/>
      <c r="AG183" s="294"/>
      <c r="AH183" s="294"/>
      <c r="AI183" s="294"/>
      <c r="AJ183" s="294"/>
      <c r="AK183" s="294"/>
      <c r="AL183" s="294"/>
      <c r="AM183" s="294"/>
      <c r="AN183" s="294"/>
      <c r="AO183" s="294"/>
      <c r="AP183" s="294"/>
      <c r="AQ183" s="294"/>
      <c r="AR183" s="294"/>
      <c r="AS183" s="294"/>
      <c r="AT183" s="294"/>
      <c r="AU183" s="294"/>
      <c r="AV183" s="294"/>
      <c r="AW183" s="294"/>
      <c r="AX183" s="294"/>
      <c r="AY183" s="294"/>
      <c r="AZ183" s="294"/>
      <c r="BA183" s="294"/>
      <c r="BB183" s="294"/>
      <c r="BC183" s="294"/>
      <c r="BD183" s="294"/>
      <c r="BE183" s="294"/>
      <c r="BF183" s="294"/>
      <c r="BG183" s="294"/>
      <c r="BH183" s="294"/>
      <c r="BI183" s="294"/>
      <c r="BJ183" s="294"/>
      <c r="BK183" s="294"/>
      <c r="BL183" s="294"/>
      <c r="BM183" s="294"/>
    </row>
    <row r="184" spans="1:65" x14ac:dyDescent="0.25">
      <c r="A184" s="294"/>
      <c r="B184" s="294"/>
      <c r="C184" s="294"/>
      <c r="D184" s="294"/>
      <c r="E184" s="294"/>
      <c r="F184" s="294"/>
      <c r="G184" s="294"/>
      <c r="H184" s="294"/>
      <c r="I184" s="294"/>
      <c r="J184" s="294"/>
      <c r="K184" s="294"/>
      <c r="L184" s="294"/>
      <c r="M184" s="294"/>
      <c r="N184" s="294"/>
      <c r="O184" s="294"/>
      <c r="P184" s="294"/>
      <c r="Q184" s="294"/>
      <c r="R184" s="294"/>
      <c r="S184" s="294"/>
      <c r="T184" s="294"/>
      <c r="U184" s="294"/>
      <c r="V184" s="294"/>
      <c r="W184" s="294"/>
      <c r="X184" s="294"/>
      <c r="Y184" s="294"/>
      <c r="Z184" s="294"/>
      <c r="AA184" s="294"/>
      <c r="AB184" s="294"/>
      <c r="AC184" s="294"/>
      <c r="AD184" s="294"/>
      <c r="AE184" s="294"/>
      <c r="AF184" s="294"/>
      <c r="AG184" s="294"/>
      <c r="AH184" s="294"/>
      <c r="AI184" s="294"/>
      <c r="AJ184" s="294"/>
      <c r="AK184" s="294"/>
      <c r="AL184" s="294"/>
      <c r="AM184" s="294"/>
      <c r="AN184" s="294"/>
      <c r="AO184" s="294"/>
      <c r="AP184" s="294"/>
      <c r="AQ184" s="294"/>
      <c r="AR184" s="294"/>
      <c r="AS184" s="294"/>
      <c r="AT184" s="294"/>
      <c r="AU184" s="294"/>
      <c r="AV184" s="294"/>
      <c r="AW184" s="294"/>
      <c r="AX184" s="294"/>
      <c r="AY184" s="294"/>
      <c r="AZ184" s="294"/>
      <c r="BA184" s="294"/>
      <c r="BB184" s="294"/>
      <c r="BC184" s="294"/>
      <c r="BD184" s="294"/>
      <c r="BE184" s="294"/>
      <c r="BF184" s="294"/>
      <c r="BG184" s="294"/>
      <c r="BH184" s="294"/>
      <c r="BI184" s="294"/>
      <c r="BJ184" s="294"/>
      <c r="BK184" s="294"/>
      <c r="BL184" s="294"/>
      <c r="BM184" s="294"/>
    </row>
    <row r="185" spans="1:65" x14ac:dyDescent="0.25">
      <c r="A185" s="294"/>
      <c r="B185" s="294"/>
      <c r="C185" s="294"/>
      <c r="D185" s="294"/>
      <c r="E185" s="294"/>
      <c r="F185" s="294"/>
      <c r="G185" s="294"/>
      <c r="H185" s="294"/>
      <c r="I185" s="294"/>
      <c r="J185" s="294"/>
      <c r="K185" s="294"/>
      <c r="L185" s="294"/>
      <c r="M185" s="294"/>
      <c r="N185" s="294"/>
      <c r="O185" s="294"/>
      <c r="P185" s="294"/>
      <c r="Q185" s="294"/>
      <c r="R185" s="294"/>
      <c r="S185" s="294"/>
      <c r="T185" s="294"/>
      <c r="U185" s="294"/>
      <c r="V185" s="294"/>
      <c r="W185" s="294"/>
      <c r="X185" s="294"/>
      <c r="Y185" s="294"/>
      <c r="Z185" s="294"/>
      <c r="AA185" s="294"/>
      <c r="AB185" s="294"/>
      <c r="AC185" s="294"/>
      <c r="AD185" s="294"/>
      <c r="AE185" s="294"/>
      <c r="AF185" s="294"/>
      <c r="AG185" s="294"/>
      <c r="AH185" s="294"/>
      <c r="AI185" s="294"/>
      <c r="AJ185" s="294"/>
      <c r="AK185" s="294"/>
      <c r="AL185" s="294"/>
      <c r="AM185" s="294"/>
      <c r="AN185" s="294"/>
      <c r="AO185" s="294"/>
      <c r="AP185" s="294"/>
      <c r="AQ185" s="294"/>
      <c r="AR185" s="294"/>
      <c r="AS185" s="294"/>
      <c r="AT185" s="294"/>
      <c r="AU185" s="294"/>
      <c r="AV185" s="294"/>
      <c r="AW185" s="294"/>
      <c r="AX185" s="294"/>
      <c r="AY185" s="294"/>
      <c r="AZ185" s="294"/>
      <c r="BA185" s="294"/>
      <c r="BB185" s="294"/>
      <c r="BC185" s="294"/>
      <c r="BD185" s="294"/>
      <c r="BE185" s="294"/>
      <c r="BF185" s="294"/>
      <c r="BG185" s="294"/>
      <c r="BH185" s="294"/>
      <c r="BI185" s="294"/>
      <c r="BJ185" s="294"/>
      <c r="BK185" s="294"/>
      <c r="BL185" s="294"/>
      <c r="BM185" s="294"/>
    </row>
    <row r="186" spans="1:65" x14ac:dyDescent="0.25">
      <c r="A186" s="294"/>
      <c r="B186" s="294"/>
      <c r="C186" s="294"/>
      <c r="D186" s="294"/>
      <c r="E186" s="294"/>
      <c r="F186" s="294"/>
      <c r="G186" s="294"/>
      <c r="H186" s="294"/>
      <c r="I186" s="294"/>
      <c r="J186" s="294"/>
      <c r="K186" s="294"/>
      <c r="L186" s="294"/>
      <c r="M186" s="294"/>
      <c r="N186" s="294"/>
      <c r="O186" s="294"/>
      <c r="P186" s="294"/>
      <c r="Q186" s="294"/>
      <c r="R186" s="294"/>
      <c r="S186" s="294"/>
      <c r="T186" s="294"/>
      <c r="U186" s="294"/>
      <c r="V186" s="294"/>
      <c r="W186" s="294"/>
      <c r="X186" s="294"/>
      <c r="Y186" s="294"/>
      <c r="Z186" s="294"/>
      <c r="AA186" s="294"/>
      <c r="AB186" s="294"/>
      <c r="AC186" s="294"/>
      <c r="AD186" s="294"/>
      <c r="AE186" s="294"/>
      <c r="AF186" s="294"/>
      <c r="AG186" s="294"/>
      <c r="AH186" s="294"/>
      <c r="AI186" s="294"/>
      <c r="AJ186" s="294"/>
      <c r="AK186" s="294"/>
      <c r="AL186" s="294"/>
      <c r="AM186" s="294"/>
      <c r="AN186" s="294"/>
      <c r="AO186" s="294"/>
      <c r="AP186" s="294"/>
      <c r="AQ186" s="294"/>
      <c r="AR186" s="294"/>
      <c r="AS186" s="294"/>
      <c r="AT186" s="294"/>
      <c r="AU186" s="294"/>
      <c r="AV186" s="294"/>
      <c r="AW186" s="294"/>
      <c r="AX186" s="294"/>
      <c r="AY186" s="294"/>
      <c r="AZ186" s="294"/>
      <c r="BA186" s="294"/>
      <c r="BB186" s="294"/>
      <c r="BC186" s="294"/>
      <c r="BD186" s="294"/>
      <c r="BE186" s="294"/>
      <c r="BF186" s="294"/>
      <c r="BG186" s="294"/>
      <c r="BH186" s="294"/>
      <c r="BI186" s="294"/>
      <c r="BJ186" s="294"/>
      <c r="BK186" s="294"/>
      <c r="BL186" s="294"/>
      <c r="BM186" s="294"/>
    </row>
    <row r="187" spans="1:65" x14ac:dyDescent="0.25">
      <c r="A187" s="294"/>
      <c r="B187" s="294"/>
      <c r="C187" s="294"/>
      <c r="D187" s="294"/>
      <c r="E187" s="294"/>
      <c r="F187" s="294"/>
      <c r="G187" s="294"/>
      <c r="H187" s="294"/>
      <c r="I187" s="294"/>
      <c r="J187" s="294"/>
      <c r="K187" s="294"/>
      <c r="L187" s="294"/>
      <c r="M187" s="294"/>
      <c r="N187" s="294"/>
      <c r="O187" s="294"/>
      <c r="P187" s="294"/>
      <c r="Q187" s="294"/>
      <c r="R187" s="294"/>
      <c r="S187" s="294"/>
      <c r="T187" s="294"/>
      <c r="U187" s="294"/>
      <c r="V187" s="294"/>
      <c r="W187" s="294"/>
      <c r="X187" s="294"/>
      <c r="Y187" s="294"/>
      <c r="Z187" s="294"/>
      <c r="AA187" s="294"/>
      <c r="AB187" s="294"/>
      <c r="AC187" s="294"/>
      <c r="AD187" s="294"/>
      <c r="AE187" s="294"/>
      <c r="AF187" s="294"/>
      <c r="AG187" s="294"/>
      <c r="AH187" s="294"/>
      <c r="AI187" s="294"/>
      <c r="AJ187" s="294"/>
      <c r="AK187" s="294"/>
      <c r="AL187" s="294"/>
      <c r="AM187" s="294"/>
      <c r="AN187" s="294"/>
      <c r="AO187" s="294"/>
      <c r="AP187" s="294"/>
      <c r="AQ187" s="294"/>
      <c r="AR187" s="294"/>
      <c r="AS187" s="294"/>
      <c r="AT187" s="294"/>
      <c r="AU187" s="294"/>
      <c r="AV187" s="294"/>
      <c r="AW187" s="294"/>
      <c r="AX187" s="294"/>
      <c r="AY187" s="294"/>
      <c r="AZ187" s="294"/>
      <c r="BA187" s="294"/>
      <c r="BB187" s="294"/>
      <c r="BC187" s="294"/>
      <c r="BD187" s="294"/>
      <c r="BE187" s="294"/>
      <c r="BF187" s="294"/>
      <c r="BG187" s="294"/>
      <c r="BH187" s="294"/>
      <c r="BI187" s="294"/>
      <c r="BJ187" s="294"/>
      <c r="BK187" s="294"/>
      <c r="BL187" s="294"/>
      <c r="BM187" s="294"/>
    </row>
    <row r="188" spans="1:65" x14ac:dyDescent="0.25">
      <c r="A188" s="294"/>
      <c r="B188" s="294"/>
      <c r="C188" s="294"/>
      <c r="D188" s="294"/>
      <c r="E188" s="294"/>
      <c r="F188" s="294"/>
      <c r="G188" s="294"/>
      <c r="H188" s="294"/>
      <c r="I188" s="294"/>
      <c r="J188" s="294"/>
      <c r="K188" s="294"/>
      <c r="L188" s="294"/>
      <c r="M188" s="294"/>
      <c r="N188" s="294"/>
      <c r="O188" s="294"/>
      <c r="P188" s="294"/>
      <c r="Q188" s="294"/>
      <c r="R188" s="294"/>
      <c r="S188" s="294"/>
      <c r="T188" s="294"/>
      <c r="U188" s="294"/>
      <c r="V188" s="294"/>
      <c r="W188" s="294"/>
      <c r="X188" s="294"/>
      <c r="Y188" s="294"/>
      <c r="Z188" s="294"/>
      <c r="AA188" s="294"/>
      <c r="AB188" s="294"/>
      <c r="AC188" s="294"/>
      <c r="AD188" s="294"/>
      <c r="AE188" s="294"/>
      <c r="AF188" s="294"/>
      <c r="AG188" s="294"/>
      <c r="AH188" s="294"/>
      <c r="AI188" s="294"/>
      <c r="AJ188" s="294"/>
      <c r="AK188" s="294"/>
      <c r="AL188" s="294"/>
      <c r="AM188" s="294"/>
      <c r="AN188" s="294"/>
      <c r="AO188" s="294"/>
      <c r="AP188" s="294"/>
      <c r="AQ188" s="294"/>
      <c r="AR188" s="294"/>
      <c r="AS188" s="294"/>
      <c r="AT188" s="294"/>
      <c r="AU188" s="294"/>
      <c r="AV188" s="294"/>
      <c r="AW188" s="294"/>
      <c r="AX188" s="294"/>
      <c r="AY188" s="294"/>
      <c r="AZ188" s="294"/>
      <c r="BA188" s="294"/>
      <c r="BB188" s="294"/>
      <c r="BC188" s="294"/>
      <c r="BD188" s="294"/>
      <c r="BE188" s="294"/>
      <c r="BF188" s="294"/>
      <c r="BG188" s="294"/>
      <c r="BH188" s="294"/>
      <c r="BI188" s="294"/>
      <c r="BJ188" s="294"/>
      <c r="BK188" s="294"/>
      <c r="BL188" s="294"/>
      <c r="BM188" s="294"/>
    </row>
    <row r="189" spans="1:65" x14ac:dyDescent="0.25">
      <c r="A189" s="294"/>
      <c r="B189" s="294"/>
      <c r="C189" s="294"/>
      <c r="D189" s="294"/>
      <c r="E189" s="294"/>
      <c r="F189" s="294"/>
      <c r="G189" s="294"/>
      <c r="H189" s="294"/>
      <c r="I189" s="294"/>
      <c r="J189" s="294"/>
      <c r="K189" s="294"/>
      <c r="L189" s="294"/>
      <c r="M189" s="294"/>
      <c r="N189" s="294"/>
      <c r="O189" s="294"/>
      <c r="P189" s="294"/>
      <c r="Q189" s="294"/>
      <c r="R189" s="294"/>
      <c r="S189" s="294"/>
      <c r="T189" s="294"/>
      <c r="U189" s="294"/>
      <c r="V189" s="294"/>
      <c r="W189" s="294"/>
      <c r="X189" s="294"/>
      <c r="Y189" s="294"/>
      <c r="Z189" s="294"/>
      <c r="AA189" s="294"/>
      <c r="AB189" s="294"/>
      <c r="AC189" s="294"/>
      <c r="AD189" s="294"/>
      <c r="AE189" s="294"/>
      <c r="AF189" s="294"/>
      <c r="AG189" s="294"/>
      <c r="AH189" s="294"/>
      <c r="AI189" s="294"/>
      <c r="AJ189" s="294"/>
      <c r="AK189" s="294"/>
      <c r="AL189" s="294"/>
      <c r="AM189" s="294"/>
      <c r="AN189" s="294"/>
      <c r="AO189" s="294"/>
      <c r="AP189" s="294"/>
      <c r="AQ189" s="294"/>
      <c r="AR189" s="294"/>
      <c r="AS189" s="294"/>
      <c r="AT189" s="294"/>
      <c r="AU189" s="294"/>
      <c r="AV189" s="294"/>
      <c r="AW189" s="294"/>
      <c r="AX189" s="294"/>
      <c r="AY189" s="294"/>
      <c r="AZ189" s="294"/>
      <c r="BA189" s="294"/>
      <c r="BB189" s="294"/>
      <c r="BC189" s="294"/>
      <c r="BD189" s="294"/>
      <c r="BE189" s="294"/>
      <c r="BF189" s="294"/>
      <c r="BG189" s="294"/>
      <c r="BH189" s="294"/>
      <c r="BI189" s="294"/>
      <c r="BJ189" s="294"/>
      <c r="BK189" s="294"/>
      <c r="BL189" s="294"/>
      <c r="BM189" s="294"/>
    </row>
    <row r="190" spans="1:65" x14ac:dyDescent="0.25">
      <c r="A190" s="294"/>
      <c r="B190" s="294"/>
      <c r="C190" s="294"/>
      <c r="D190" s="294"/>
      <c r="E190" s="294"/>
      <c r="F190" s="294"/>
      <c r="G190" s="294"/>
      <c r="H190" s="294"/>
      <c r="I190" s="294"/>
      <c r="J190" s="294"/>
      <c r="K190" s="294"/>
      <c r="L190" s="294"/>
      <c r="M190" s="294"/>
      <c r="N190" s="294"/>
      <c r="O190" s="294"/>
      <c r="P190" s="294"/>
      <c r="Q190" s="294"/>
      <c r="R190" s="294"/>
      <c r="S190" s="294"/>
      <c r="T190" s="294"/>
      <c r="U190" s="294"/>
      <c r="V190" s="294"/>
      <c r="W190" s="294"/>
      <c r="X190" s="294"/>
      <c r="Y190" s="294"/>
      <c r="Z190" s="294"/>
      <c r="AA190" s="294"/>
      <c r="AB190" s="294"/>
      <c r="AC190" s="294"/>
      <c r="AD190" s="294"/>
      <c r="AE190" s="294"/>
      <c r="AF190" s="294"/>
      <c r="AG190" s="294"/>
      <c r="AH190" s="294"/>
      <c r="AI190" s="294"/>
      <c r="AJ190" s="294"/>
      <c r="AK190" s="294"/>
      <c r="AL190" s="294"/>
      <c r="AM190" s="294"/>
      <c r="AN190" s="294"/>
      <c r="AO190" s="294"/>
      <c r="AP190" s="294"/>
      <c r="AQ190" s="294"/>
      <c r="AR190" s="294"/>
      <c r="AS190" s="294"/>
      <c r="AT190" s="294"/>
      <c r="AU190" s="294"/>
      <c r="AV190" s="294"/>
      <c r="AW190" s="294"/>
      <c r="AX190" s="294"/>
      <c r="AY190" s="294"/>
      <c r="AZ190" s="294"/>
      <c r="BA190" s="294"/>
      <c r="BB190" s="294"/>
      <c r="BC190" s="294"/>
      <c r="BD190" s="294"/>
      <c r="BE190" s="294"/>
      <c r="BF190" s="294"/>
      <c r="BG190" s="294"/>
      <c r="BH190" s="294"/>
      <c r="BI190" s="294"/>
      <c r="BJ190" s="294"/>
      <c r="BK190" s="294"/>
      <c r="BL190" s="294"/>
      <c r="BM190" s="294"/>
    </row>
    <row r="191" spans="1:65" x14ac:dyDescent="0.25">
      <c r="A191" s="294"/>
      <c r="B191" s="294"/>
      <c r="C191" s="294"/>
      <c r="D191" s="294"/>
      <c r="E191" s="294"/>
      <c r="F191" s="294"/>
      <c r="G191" s="294"/>
      <c r="H191" s="294"/>
      <c r="I191" s="294"/>
      <c r="J191" s="294"/>
      <c r="K191" s="294"/>
      <c r="L191" s="294"/>
      <c r="M191" s="294"/>
      <c r="N191" s="294"/>
      <c r="O191" s="294"/>
      <c r="P191" s="294"/>
      <c r="Q191" s="294"/>
      <c r="R191" s="294"/>
      <c r="S191" s="294"/>
      <c r="T191" s="294"/>
      <c r="U191" s="294"/>
      <c r="V191" s="294"/>
      <c r="W191" s="294"/>
      <c r="X191" s="294"/>
      <c r="Y191" s="294"/>
      <c r="Z191" s="294"/>
      <c r="AA191" s="294"/>
      <c r="AB191" s="294"/>
      <c r="AC191" s="294"/>
      <c r="AD191" s="294"/>
      <c r="AE191" s="294"/>
      <c r="AF191" s="294"/>
      <c r="AG191" s="294"/>
      <c r="AH191" s="294"/>
      <c r="AI191" s="294"/>
      <c r="AJ191" s="294"/>
      <c r="AK191" s="294"/>
      <c r="AL191" s="294"/>
      <c r="AM191" s="294"/>
      <c r="AN191" s="294"/>
      <c r="AO191" s="294"/>
      <c r="AP191" s="294"/>
      <c r="AQ191" s="294"/>
      <c r="AR191" s="294"/>
      <c r="AS191" s="294"/>
      <c r="AT191" s="294"/>
      <c r="AU191" s="294"/>
      <c r="AV191" s="294"/>
      <c r="AW191" s="294"/>
      <c r="AX191" s="294"/>
      <c r="AY191" s="294"/>
      <c r="AZ191" s="294"/>
      <c r="BA191" s="294"/>
      <c r="BB191" s="294"/>
      <c r="BC191" s="294"/>
      <c r="BD191" s="294"/>
      <c r="BE191" s="294"/>
      <c r="BF191" s="294"/>
      <c r="BG191" s="294"/>
      <c r="BH191" s="294"/>
      <c r="BI191" s="294"/>
      <c r="BJ191" s="294"/>
      <c r="BK191" s="294"/>
      <c r="BL191" s="294"/>
      <c r="BM191" s="294"/>
    </row>
    <row r="192" spans="1:65" x14ac:dyDescent="0.25">
      <c r="A192" s="294"/>
      <c r="B192" s="294"/>
      <c r="C192" s="294"/>
      <c r="D192" s="294"/>
      <c r="E192" s="294"/>
      <c r="F192" s="294"/>
      <c r="G192" s="294"/>
      <c r="H192" s="294"/>
      <c r="I192" s="294"/>
      <c r="J192" s="294"/>
      <c r="K192" s="294"/>
      <c r="L192" s="294"/>
      <c r="M192" s="294"/>
      <c r="N192" s="294"/>
      <c r="O192" s="294"/>
      <c r="P192" s="294"/>
      <c r="Q192" s="294"/>
      <c r="R192" s="294"/>
      <c r="S192" s="294"/>
      <c r="T192" s="294"/>
      <c r="U192" s="294"/>
      <c r="V192" s="294"/>
      <c r="W192" s="294"/>
      <c r="X192" s="294"/>
      <c r="Y192" s="294"/>
      <c r="Z192" s="294"/>
      <c r="AA192" s="294"/>
      <c r="AB192" s="294"/>
      <c r="AC192" s="294"/>
      <c r="AD192" s="294"/>
      <c r="AE192" s="294"/>
      <c r="AF192" s="294"/>
      <c r="AG192" s="294"/>
      <c r="AH192" s="294"/>
      <c r="AI192" s="294"/>
      <c r="AJ192" s="294"/>
      <c r="AK192" s="294"/>
      <c r="AL192" s="294"/>
      <c r="AM192" s="294"/>
      <c r="AN192" s="294"/>
      <c r="AO192" s="294"/>
      <c r="AP192" s="294"/>
      <c r="AQ192" s="294"/>
      <c r="AR192" s="294"/>
      <c r="AS192" s="294"/>
      <c r="AT192" s="294"/>
      <c r="AU192" s="294"/>
      <c r="AV192" s="294"/>
      <c r="AW192" s="294"/>
      <c r="AX192" s="294"/>
      <c r="AY192" s="294"/>
      <c r="AZ192" s="294"/>
      <c r="BA192" s="294"/>
      <c r="BB192" s="294"/>
      <c r="BC192" s="294"/>
      <c r="BD192" s="294"/>
      <c r="BE192" s="294"/>
      <c r="BF192" s="294"/>
      <c r="BG192" s="294"/>
      <c r="BH192" s="294"/>
      <c r="BI192" s="294"/>
      <c r="BJ192" s="294"/>
      <c r="BK192" s="294"/>
      <c r="BL192" s="294"/>
      <c r="BM192" s="294"/>
    </row>
    <row r="193" spans="1:65" x14ac:dyDescent="0.25">
      <c r="A193" s="294"/>
      <c r="B193" s="294"/>
      <c r="C193" s="294"/>
      <c r="D193" s="294"/>
      <c r="E193" s="294"/>
      <c r="F193" s="294"/>
      <c r="G193" s="294"/>
      <c r="H193" s="294"/>
      <c r="I193" s="294"/>
      <c r="J193" s="294"/>
      <c r="K193" s="294"/>
      <c r="L193" s="294"/>
      <c r="M193" s="294"/>
      <c r="N193" s="294"/>
      <c r="O193" s="294"/>
      <c r="P193" s="294"/>
      <c r="Q193" s="294"/>
      <c r="R193" s="294"/>
      <c r="S193" s="294"/>
      <c r="T193" s="294"/>
      <c r="U193" s="294"/>
      <c r="V193" s="294"/>
      <c r="W193" s="294"/>
      <c r="X193" s="294"/>
      <c r="Y193" s="294"/>
      <c r="Z193" s="294"/>
      <c r="AA193" s="294"/>
      <c r="AB193" s="294"/>
      <c r="AC193" s="294"/>
      <c r="AD193" s="294"/>
      <c r="AE193" s="294"/>
      <c r="AF193" s="294"/>
      <c r="AG193" s="294"/>
      <c r="AH193" s="294"/>
      <c r="AI193" s="294"/>
      <c r="AJ193" s="294"/>
      <c r="AK193" s="294"/>
      <c r="AL193" s="294"/>
      <c r="AM193" s="294"/>
      <c r="AN193" s="294"/>
      <c r="AO193" s="294"/>
      <c r="AP193" s="294"/>
      <c r="AQ193" s="294"/>
      <c r="AR193" s="294"/>
      <c r="AS193" s="294"/>
      <c r="AT193" s="294"/>
      <c r="AU193" s="294"/>
      <c r="AV193" s="294"/>
      <c r="AW193" s="294"/>
      <c r="AX193" s="294"/>
      <c r="AY193" s="294"/>
      <c r="AZ193" s="294"/>
      <c r="BA193" s="294"/>
      <c r="BB193" s="294"/>
      <c r="BC193" s="294"/>
      <c r="BD193" s="294"/>
      <c r="BE193" s="294"/>
      <c r="BF193" s="294"/>
      <c r="BG193" s="294"/>
      <c r="BH193" s="294"/>
      <c r="BI193" s="294"/>
      <c r="BJ193" s="294"/>
      <c r="BK193" s="294"/>
      <c r="BL193" s="294"/>
      <c r="BM193" s="294"/>
    </row>
    <row r="194" spans="1:65" x14ac:dyDescent="0.25">
      <c r="A194" s="294"/>
      <c r="B194" s="294"/>
      <c r="C194" s="294"/>
      <c r="D194" s="294"/>
      <c r="E194" s="294"/>
      <c r="F194" s="294"/>
      <c r="G194" s="294"/>
      <c r="H194" s="294"/>
      <c r="I194" s="294"/>
      <c r="J194" s="294"/>
      <c r="K194" s="294"/>
      <c r="L194" s="294"/>
      <c r="M194" s="294"/>
      <c r="N194" s="294"/>
      <c r="O194" s="294"/>
      <c r="P194" s="294"/>
      <c r="Q194" s="294"/>
      <c r="R194" s="294"/>
      <c r="S194" s="294"/>
      <c r="T194" s="294"/>
      <c r="U194" s="294"/>
      <c r="V194" s="294"/>
      <c r="W194" s="294"/>
      <c r="X194" s="294"/>
      <c r="Y194" s="294"/>
      <c r="Z194" s="294"/>
      <c r="AA194" s="294"/>
      <c r="AB194" s="294"/>
      <c r="AC194" s="294"/>
      <c r="AD194" s="294"/>
      <c r="AE194" s="294"/>
      <c r="AF194" s="294"/>
      <c r="AG194" s="294"/>
      <c r="AH194" s="294"/>
      <c r="AI194" s="294"/>
      <c r="AJ194" s="294"/>
      <c r="AK194" s="294"/>
      <c r="AL194" s="294"/>
      <c r="AM194" s="294"/>
      <c r="AN194" s="294"/>
      <c r="AO194" s="294"/>
      <c r="AP194" s="294"/>
      <c r="AQ194" s="294"/>
      <c r="AR194" s="294"/>
      <c r="AS194" s="294"/>
      <c r="AT194" s="294"/>
      <c r="AU194" s="294"/>
      <c r="AV194" s="294"/>
      <c r="AW194" s="294"/>
      <c r="AX194" s="294"/>
      <c r="AY194" s="294"/>
      <c r="AZ194" s="294"/>
      <c r="BA194" s="294"/>
      <c r="BB194" s="294"/>
      <c r="BC194" s="294"/>
      <c r="BD194" s="294"/>
      <c r="BE194" s="294"/>
      <c r="BF194" s="294"/>
      <c r="BG194" s="294"/>
      <c r="BH194" s="294"/>
      <c r="BI194" s="294"/>
      <c r="BJ194" s="294"/>
      <c r="BK194" s="294"/>
      <c r="BL194" s="294"/>
      <c r="BM194" s="294"/>
    </row>
    <row r="195" spans="1:65" x14ac:dyDescent="0.25">
      <c r="A195" s="294"/>
      <c r="B195" s="294"/>
      <c r="C195" s="294"/>
      <c r="D195" s="294"/>
      <c r="E195" s="294"/>
      <c r="F195" s="294"/>
      <c r="G195" s="294"/>
      <c r="H195" s="294"/>
      <c r="I195" s="294"/>
      <c r="J195" s="294"/>
      <c r="K195" s="294"/>
      <c r="L195" s="294"/>
      <c r="M195" s="294"/>
      <c r="N195" s="294"/>
      <c r="O195" s="294"/>
      <c r="P195" s="294"/>
      <c r="Q195" s="294"/>
      <c r="R195" s="294"/>
      <c r="S195" s="294"/>
      <c r="T195" s="294"/>
      <c r="U195" s="294"/>
      <c r="V195" s="294"/>
      <c r="W195" s="294"/>
      <c r="X195" s="294"/>
      <c r="Y195" s="294"/>
      <c r="Z195" s="294"/>
      <c r="AA195" s="294"/>
      <c r="AB195" s="294"/>
      <c r="AC195" s="294"/>
      <c r="AD195" s="294"/>
      <c r="AE195" s="294"/>
      <c r="AF195" s="294"/>
      <c r="AG195" s="294"/>
      <c r="AH195" s="294"/>
      <c r="AI195" s="294"/>
      <c r="AJ195" s="294"/>
      <c r="AK195" s="294"/>
      <c r="AL195" s="294"/>
      <c r="AM195" s="294"/>
      <c r="AN195" s="294"/>
      <c r="AO195" s="294"/>
      <c r="AP195" s="294"/>
      <c r="AQ195" s="294"/>
      <c r="AR195" s="294"/>
      <c r="AS195" s="294"/>
      <c r="AT195" s="294"/>
      <c r="AU195" s="294"/>
      <c r="AV195" s="294"/>
      <c r="AW195" s="294"/>
      <c r="AX195" s="294"/>
      <c r="AY195" s="294"/>
      <c r="AZ195" s="294"/>
      <c r="BA195" s="294"/>
      <c r="BB195" s="294"/>
      <c r="BC195" s="294"/>
      <c r="BD195" s="294"/>
      <c r="BE195" s="294"/>
      <c r="BF195" s="294"/>
      <c r="BG195" s="294"/>
      <c r="BH195" s="294"/>
      <c r="BI195" s="294"/>
      <c r="BJ195" s="294"/>
      <c r="BK195" s="294"/>
      <c r="BL195" s="294"/>
      <c r="BM195" s="294"/>
    </row>
    <row r="196" spans="1:65" x14ac:dyDescent="0.25">
      <c r="A196" s="294"/>
      <c r="B196" s="294"/>
      <c r="C196" s="294"/>
      <c r="D196" s="294"/>
      <c r="E196" s="294"/>
      <c r="F196" s="294"/>
      <c r="G196" s="294"/>
      <c r="H196" s="294"/>
      <c r="I196" s="294"/>
      <c r="J196" s="294"/>
      <c r="K196" s="294"/>
      <c r="L196" s="294"/>
      <c r="M196" s="294"/>
      <c r="N196" s="294"/>
      <c r="O196" s="294"/>
      <c r="P196" s="294"/>
      <c r="Q196" s="294"/>
      <c r="R196" s="294"/>
      <c r="S196" s="294"/>
      <c r="T196" s="294"/>
      <c r="U196" s="294"/>
      <c r="V196" s="294"/>
      <c r="W196" s="294"/>
      <c r="X196" s="294"/>
      <c r="Y196" s="294"/>
      <c r="Z196" s="294"/>
      <c r="AA196" s="294"/>
      <c r="AB196" s="294"/>
      <c r="AC196" s="294"/>
      <c r="AD196" s="294"/>
      <c r="AE196" s="294"/>
      <c r="AF196" s="294"/>
      <c r="AG196" s="294"/>
      <c r="AH196" s="294"/>
      <c r="AI196" s="294"/>
      <c r="AJ196" s="294"/>
      <c r="AK196" s="294"/>
      <c r="AL196" s="294"/>
      <c r="AM196" s="294"/>
      <c r="AN196" s="294"/>
      <c r="AO196" s="294"/>
      <c r="AP196" s="294"/>
      <c r="AQ196" s="294"/>
      <c r="AR196" s="294"/>
      <c r="AS196" s="294"/>
      <c r="AT196" s="294"/>
      <c r="AU196" s="294"/>
      <c r="AV196" s="294"/>
      <c r="AW196" s="294"/>
      <c r="AX196" s="294"/>
      <c r="AY196" s="294"/>
      <c r="AZ196" s="294"/>
      <c r="BA196" s="294"/>
      <c r="BB196" s="294"/>
      <c r="BC196" s="294"/>
      <c r="BD196" s="294"/>
      <c r="BE196" s="294"/>
      <c r="BF196" s="294"/>
      <c r="BG196" s="294"/>
      <c r="BH196" s="294"/>
      <c r="BI196" s="294"/>
      <c r="BJ196" s="294"/>
      <c r="BK196" s="294"/>
      <c r="BL196" s="294"/>
      <c r="BM196" s="294"/>
    </row>
    <row r="197" spans="1:65" x14ac:dyDescent="0.25">
      <c r="A197" s="294"/>
      <c r="B197" s="294"/>
      <c r="C197" s="294"/>
      <c r="D197" s="294"/>
      <c r="E197" s="294"/>
      <c r="F197" s="294"/>
      <c r="G197" s="294"/>
      <c r="H197" s="294"/>
      <c r="I197" s="294"/>
      <c r="J197" s="294"/>
      <c r="K197" s="294"/>
      <c r="L197" s="294"/>
      <c r="M197" s="294"/>
      <c r="N197" s="294"/>
      <c r="O197" s="294"/>
      <c r="P197" s="294"/>
      <c r="Q197" s="294"/>
      <c r="R197" s="294"/>
      <c r="S197" s="294"/>
      <c r="T197" s="294"/>
      <c r="U197" s="294"/>
      <c r="V197" s="294"/>
      <c r="W197" s="294"/>
      <c r="X197" s="294"/>
      <c r="Y197" s="294"/>
      <c r="Z197" s="294"/>
      <c r="AA197" s="294"/>
      <c r="AB197" s="294"/>
      <c r="AC197" s="294"/>
      <c r="AD197" s="294"/>
      <c r="AE197" s="294"/>
      <c r="AF197" s="294"/>
      <c r="AG197" s="294"/>
      <c r="AH197" s="294"/>
      <c r="AI197" s="294"/>
      <c r="AJ197" s="294"/>
      <c r="AK197" s="294"/>
      <c r="AL197" s="294"/>
      <c r="AM197" s="294"/>
      <c r="AN197" s="294"/>
      <c r="AO197" s="294"/>
      <c r="AP197" s="294"/>
      <c r="AQ197" s="294"/>
      <c r="AR197" s="294"/>
      <c r="AS197" s="294"/>
      <c r="AT197" s="294"/>
      <c r="AU197" s="294"/>
      <c r="AV197" s="294"/>
      <c r="AW197" s="294"/>
      <c r="AX197" s="294"/>
      <c r="AY197" s="294"/>
      <c r="AZ197" s="294"/>
      <c r="BA197" s="294"/>
      <c r="BB197" s="294"/>
      <c r="BC197" s="294"/>
      <c r="BD197" s="294"/>
      <c r="BE197" s="294"/>
      <c r="BF197" s="294"/>
      <c r="BG197" s="294"/>
      <c r="BH197" s="294"/>
      <c r="BI197" s="294"/>
      <c r="BJ197" s="294"/>
      <c r="BK197" s="294"/>
      <c r="BL197" s="294"/>
      <c r="BM197" s="294"/>
    </row>
    <row r="198" spans="1:65" x14ac:dyDescent="0.25">
      <c r="A198" s="294"/>
      <c r="B198" s="294"/>
      <c r="C198" s="294"/>
      <c r="D198" s="294"/>
      <c r="E198" s="294"/>
      <c r="F198" s="294"/>
      <c r="G198" s="294"/>
      <c r="H198" s="294"/>
      <c r="I198" s="294"/>
      <c r="J198" s="294"/>
      <c r="K198" s="294"/>
      <c r="L198" s="294"/>
      <c r="M198" s="294"/>
      <c r="N198" s="294"/>
      <c r="O198" s="294"/>
      <c r="P198" s="294"/>
      <c r="Q198" s="294"/>
      <c r="R198" s="294"/>
      <c r="S198" s="294"/>
      <c r="T198" s="294"/>
      <c r="U198" s="294"/>
      <c r="V198" s="294"/>
      <c r="W198" s="294"/>
      <c r="X198" s="294"/>
      <c r="Y198" s="294"/>
      <c r="Z198" s="294"/>
      <c r="AA198" s="294"/>
      <c r="AB198" s="294"/>
      <c r="AC198" s="294"/>
      <c r="AD198" s="294"/>
      <c r="AE198" s="294"/>
      <c r="AF198" s="294"/>
      <c r="AG198" s="294"/>
      <c r="AH198" s="294"/>
      <c r="AI198" s="294"/>
      <c r="AJ198" s="294"/>
      <c r="AK198" s="294"/>
      <c r="AL198" s="294"/>
      <c r="AM198" s="294"/>
      <c r="AN198" s="294"/>
      <c r="AO198" s="294"/>
      <c r="AP198" s="294"/>
      <c r="AQ198" s="294"/>
      <c r="AR198" s="294"/>
      <c r="AS198" s="294"/>
      <c r="AT198" s="294"/>
      <c r="AU198" s="294"/>
      <c r="AV198" s="294"/>
      <c r="AW198" s="294"/>
      <c r="AX198" s="294"/>
      <c r="AY198" s="294"/>
      <c r="AZ198" s="294"/>
      <c r="BA198" s="294"/>
      <c r="BB198" s="294"/>
      <c r="BC198" s="294"/>
      <c r="BD198" s="294"/>
      <c r="BE198" s="294"/>
      <c r="BF198" s="294"/>
      <c r="BG198" s="294"/>
      <c r="BH198" s="294"/>
      <c r="BI198" s="294"/>
      <c r="BJ198" s="294"/>
      <c r="BK198" s="294"/>
      <c r="BL198" s="294"/>
      <c r="BM198" s="294"/>
    </row>
    <row r="199" spans="1:65" x14ac:dyDescent="0.25">
      <c r="A199" s="294"/>
      <c r="B199" s="294"/>
      <c r="C199" s="294"/>
      <c r="D199" s="294"/>
      <c r="E199" s="294"/>
      <c r="F199" s="294"/>
      <c r="G199" s="294"/>
      <c r="H199" s="294"/>
      <c r="I199" s="294"/>
      <c r="J199" s="294"/>
      <c r="K199" s="294"/>
      <c r="L199" s="294"/>
      <c r="M199" s="294"/>
      <c r="N199" s="294"/>
      <c r="O199" s="294"/>
      <c r="P199" s="294"/>
      <c r="Q199" s="294"/>
      <c r="R199" s="294"/>
      <c r="S199" s="294"/>
      <c r="T199" s="294"/>
      <c r="U199" s="294"/>
      <c r="V199" s="294"/>
      <c r="W199" s="294"/>
      <c r="X199" s="294"/>
      <c r="Y199" s="294"/>
      <c r="Z199" s="294"/>
      <c r="AA199" s="294"/>
      <c r="AB199" s="294"/>
      <c r="AC199" s="294"/>
      <c r="AD199" s="294"/>
      <c r="AE199" s="294"/>
      <c r="AF199" s="294"/>
      <c r="AG199" s="294"/>
      <c r="AH199" s="294"/>
      <c r="AI199" s="294"/>
      <c r="AJ199" s="294"/>
      <c r="AK199" s="294"/>
      <c r="AL199" s="294"/>
      <c r="AM199" s="294"/>
      <c r="AN199" s="294"/>
      <c r="AO199" s="294"/>
      <c r="AP199" s="294"/>
      <c r="AQ199" s="294"/>
      <c r="AR199" s="294"/>
      <c r="AS199" s="294"/>
      <c r="AT199" s="294"/>
      <c r="AU199" s="294"/>
      <c r="AV199" s="294"/>
      <c r="AW199" s="294"/>
      <c r="AX199" s="294"/>
      <c r="AY199" s="294"/>
      <c r="AZ199" s="294"/>
      <c r="BA199" s="294"/>
      <c r="BB199" s="294"/>
      <c r="BC199" s="294"/>
      <c r="BD199" s="294"/>
      <c r="BE199" s="294"/>
      <c r="BF199" s="294"/>
      <c r="BG199" s="294"/>
      <c r="BH199" s="294"/>
      <c r="BI199" s="294"/>
      <c r="BJ199" s="294"/>
      <c r="BK199" s="294"/>
      <c r="BL199" s="294"/>
      <c r="BM199" s="294"/>
    </row>
    <row r="200" spans="1:65" x14ac:dyDescent="0.25">
      <c r="A200" s="294"/>
      <c r="B200" s="294"/>
      <c r="C200" s="294"/>
      <c r="D200" s="294"/>
      <c r="E200" s="294"/>
      <c r="F200" s="294"/>
      <c r="G200" s="294"/>
      <c r="H200" s="294"/>
      <c r="I200" s="294"/>
      <c r="J200" s="294"/>
      <c r="K200" s="294"/>
      <c r="L200" s="294"/>
      <c r="M200" s="294"/>
      <c r="N200" s="294"/>
      <c r="O200" s="294"/>
      <c r="P200" s="294"/>
      <c r="Q200" s="294"/>
      <c r="R200" s="294"/>
      <c r="S200" s="294"/>
      <c r="T200" s="294"/>
      <c r="U200" s="294"/>
      <c r="V200" s="294"/>
      <c r="W200" s="294"/>
      <c r="X200" s="294"/>
      <c r="Y200" s="294"/>
      <c r="Z200" s="294"/>
      <c r="AA200" s="294"/>
      <c r="AB200" s="294"/>
      <c r="AC200" s="294"/>
      <c r="AD200" s="294"/>
      <c r="AE200" s="294"/>
      <c r="AF200" s="294"/>
      <c r="AG200" s="294"/>
      <c r="AH200" s="294"/>
      <c r="AI200" s="294"/>
      <c r="AJ200" s="294"/>
      <c r="AK200" s="294"/>
      <c r="AL200" s="294"/>
      <c r="AM200" s="294"/>
      <c r="AN200" s="294"/>
      <c r="AO200" s="294"/>
      <c r="AP200" s="294"/>
      <c r="AQ200" s="294"/>
      <c r="AR200" s="294"/>
      <c r="AS200" s="294"/>
      <c r="AT200" s="294"/>
      <c r="AU200" s="294"/>
      <c r="AV200" s="294"/>
      <c r="AW200" s="294"/>
      <c r="AX200" s="294"/>
      <c r="AY200" s="294"/>
      <c r="AZ200" s="294"/>
      <c r="BA200" s="294"/>
      <c r="BB200" s="294"/>
      <c r="BC200" s="294"/>
      <c r="BD200" s="294"/>
      <c r="BE200" s="294"/>
      <c r="BF200" s="294"/>
      <c r="BG200" s="294"/>
      <c r="BH200" s="294"/>
      <c r="BI200" s="294"/>
      <c r="BJ200" s="294"/>
      <c r="BK200" s="294"/>
      <c r="BL200" s="294"/>
      <c r="BM200" s="294"/>
    </row>
    <row r="201" spans="1:65" x14ac:dyDescent="0.25">
      <c r="A201" s="294"/>
      <c r="B201" s="294"/>
      <c r="C201" s="294"/>
      <c r="D201" s="294"/>
      <c r="E201" s="294"/>
      <c r="F201" s="294"/>
      <c r="G201" s="294"/>
      <c r="H201" s="294"/>
      <c r="I201" s="294"/>
      <c r="J201" s="294"/>
      <c r="K201" s="294"/>
      <c r="L201" s="294"/>
      <c r="M201" s="294"/>
      <c r="N201" s="294"/>
      <c r="O201" s="294"/>
      <c r="P201" s="294"/>
      <c r="Q201" s="294"/>
      <c r="R201" s="294"/>
      <c r="S201" s="294"/>
      <c r="T201" s="294"/>
      <c r="U201" s="294"/>
      <c r="V201" s="294"/>
      <c r="W201" s="294"/>
      <c r="X201" s="294"/>
      <c r="Y201" s="294"/>
      <c r="Z201" s="294"/>
      <c r="AA201" s="294"/>
      <c r="AB201" s="294"/>
      <c r="AC201" s="294"/>
      <c r="AD201" s="294"/>
      <c r="AE201" s="294"/>
      <c r="AF201" s="294"/>
      <c r="AG201" s="294"/>
      <c r="AH201" s="294"/>
      <c r="AI201" s="294"/>
      <c r="AJ201" s="294"/>
      <c r="AK201" s="294"/>
      <c r="AL201" s="294"/>
      <c r="AM201" s="294"/>
      <c r="AN201" s="294"/>
      <c r="AO201" s="294"/>
      <c r="AP201" s="294"/>
      <c r="AQ201" s="294"/>
      <c r="AR201" s="294"/>
      <c r="AS201" s="294"/>
      <c r="AT201" s="294"/>
      <c r="AU201" s="294"/>
      <c r="AV201" s="294"/>
      <c r="AW201" s="294"/>
      <c r="AX201" s="294"/>
      <c r="AY201" s="294"/>
      <c r="AZ201" s="294"/>
      <c r="BA201" s="294"/>
      <c r="BB201" s="294"/>
      <c r="BC201" s="294"/>
      <c r="BD201" s="294"/>
      <c r="BE201" s="294"/>
      <c r="BF201" s="294"/>
      <c r="BG201" s="294"/>
      <c r="BH201" s="294"/>
      <c r="BI201" s="294"/>
      <c r="BJ201" s="294"/>
      <c r="BK201" s="294"/>
      <c r="BL201" s="294"/>
      <c r="BM201" s="294"/>
    </row>
    <row r="202" spans="1:65" x14ac:dyDescent="0.25">
      <c r="A202" s="294"/>
      <c r="B202" s="294"/>
      <c r="C202" s="294"/>
      <c r="D202" s="294"/>
      <c r="E202" s="294"/>
      <c r="F202" s="294"/>
      <c r="G202" s="294"/>
      <c r="H202" s="294"/>
      <c r="I202" s="294"/>
      <c r="J202" s="294"/>
      <c r="K202" s="294"/>
      <c r="L202" s="294"/>
      <c r="M202" s="294"/>
      <c r="N202" s="294"/>
      <c r="O202" s="294"/>
      <c r="P202" s="294"/>
      <c r="Q202" s="294"/>
      <c r="R202" s="294"/>
      <c r="S202" s="294"/>
      <c r="T202" s="294"/>
      <c r="U202" s="294"/>
      <c r="V202" s="294"/>
      <c r="W202" s="294"/>
      <c r="X202" s="294"/>
      <c r="Y202" s="294"/>
      <c r="Z202" s="294"/>
      <c r="AA202" s="294"/>
      <c r="AB202" s="294"/>
      <c r="AC202" s="294"/>
      <c r="AD202" s="294"/>
      <c r="AE202" s="294"/>
      <c r="AF202" s="294"/>
      <c r="AG202" s="294"/>
      <c r="AH202" s="294"/>
      <c r="AI202" s="294"/>
      <c r="AJ202" s="294"/>
      <c r="AK202" s="294"/>
      <c r="AL202" s="294"/>
      <c r="AM202" s="294"/>
      <c r="AN202" s="294"/>
      <c r="AO202" s="294"/>
      <c r="AP202" s="294"/>
      <c r="AQ202" s="294"/>
      <c r="AR202" s="294"/>
      <c r="AS202" s="294"/>
      <c r="AT202" s="294"/>
      <c r="AU202" s="294"/>
      <c r="AV202" s="294"/>
      <c r="AW202" s="294"/>
      <c r="AX202" s="294"/>
      <c r="AY202" s="294"/>
      <c r="AZ202" s="294"/>
      <c r="BA202" s="294"/>
      <c r="BB202" s="294"/>
      <c r="BC202" s="294"/>
      <c r="BD202" s="294"/>
      <c r="BE202" s="294"/>
      <c r="BF202" s="294"/>
      <c r="BG202" s="294"/>
      <c r="BH202" s="294"/>
      <c r="BI202" s="294"/>
      <c r="BJ202" s="294"/>
      <c r="BK202" s="294"/>
      <c r="BL202" s="294"/>
      <c r="BM202" s="294"/>
    </row>
    <row r="203" spans="1:65" x14ac:dyDescent="0.25">
      <c r="A203" s="294"/>
      <c r="B203" s="294"/>
      <c r="C203" s="294"/>
      <c r="D203" s="294"/>
      <c r="E203" s="294"/>
      <c r="F203" s="294"/>
      <c r="G203" s="294"/>
      <c r="H203" s="294"/>
      <c r="I203" s="294"/>
      <c r="J203" s="294"/>
      <c r="K203" s="294"/>
      <c r="L203" s="294"/>
      <c r="M203" s="294"/>
      <c r="N203" s="294"/>
      <c r="O203" s="294"/>
      <c r="P203" s="294"/>
      <c r="Q203" s="294"/>
      <c r="R203" s="294"/>
      <c r="S203" s="294"/>
      <c r="T203" s="294"/>
      <c r="U203" s="294"/>
      <c r="V203" s="294"/>
      <c r="W203" s="294"/>
      <c r="X203" s="294"/>
      <c r="Y203" s="294"/>
      <c r="Z203" s="294"/>
      <c r="AA203" s="294"/>
      <c r="AB203" s="294"/>
      <c r="AC203" s="294"/>
      <c r="AD203" s="294"/>
      <c r="AE203" s="294"/>
      <c r="AF203" s="294"/>
      <c r="AG203" s="294"/>
      <c r="AH203" s="294"/>
      <c r="AI203" s="294"/>
      <c r="AJ203" s="294"/>
      <c r="AK203" s="294"/>
      <c r="AL203" s="294"/>
      <c r="AM203" s="294"/>
      <c r="AN203" s="294"/>
      <c r="AO203" s="294"/>
      <c r="AP203" s="294"/>
      <c r="AQ203" s="294"/>
      <c r="AR203" s="294"/>
      <c r="AS203" s="294"/>
      <c r="AT203" s="294"/>
      <c r="AU203" s="294"/>
      <c r="AV203" s="294"/>
      <c r="AW203" s="294"/>
      <c r="AX203" s="294"/>
      <c r="AY203" s="294"/>
      <c r="AZ203" s="294"/>
      <c r="BA203" s="294"/>
      <c r="BB203" s="294"/>
      <c r="BC203" s="294"/>
      <c r="BD203" s="294"/>
      <c r="BE203" s="294"/>
      <c r="BF203" s="294"/>
      <c r="BG203" s="294"/>
      <c r="BH203" s="294"/>
      <c r="BI203" s="294"/>
      <c r="BJ203" s="294"/>
      <c r="BK203" s="294"/>
      <c r="BL203" s="294"/>
      <c r="BM203" s="294"/>
    </row>
    <row r="204" spans="1:65" x14ac:dyDescent="0.25">
      <c r="A204" s="294"/>
      <c r="B204" s="294"/>
      <c r="C204" s="294"/>
      <c r="D204" s="294"/>
      <c r="E204" s="294"/>
      <c r="F204" s="294"/>
      <c r="G204" s="294"/>
      <c r="H204" s="294"/>
      <c r="I204" s="294"/>
      <c r="J204" s="294"/>
      <c r="K204" s="294"/>
      <c r="L204" s="294"/>
      <c r="M204" s="294"/>
      <c r="N204" s="294"/>
      <c r="O204" s="294"/>
      <c r="P204" s="294"/>
      <c r="Q204" s="294"/>
      <c r="R204" s="294"/>
      <c r="S204" s="294"/>
      <c r="T204" s="294"/>
      <c r="U204" s="294"/>
      <c r="V204" s="294"/>
      <c r="W204" s="294"/>
      <c r="X204" s="294"/>
      <c r="Y204" s="294"/>
      <c r="Z204" s="294"/>
      <c r="AA204" s="294"/>
      <c r="AB204" s="294"/>
      <c r="AC204" s="294"/>
      <c r="AD204" s="294"/>
      <c r="AE204" s="294"/>
      <c r="AF204" s="294"/>
      <c r="AG204" s="294"/>
      <c r="AH204" s="294"/>
      <c r="AI204" s="294"/>
      <c r="AJ204" s="294"/>
      <c r="AK204" s="294"/>
      <c r="AL204" s="294"/>
      <c r="AM204" s="294"/>
      <c r="AN204" s="294"/>
      <c r="AO204" s="294"/>
      <c r="AP204" s="294"/>
      <c r="AQ204" s="294"/>
      <c r="AR204" s="294"/>
      <c r="AS204" s="294"/>
      <c r="AT204" s="294"/>
      <c r="AU204" s="294"/>
      <c r="AV204" s="294"/>
      <c r="AW204" s="294"/>
      <c r="AX204" s="294"/>
      <c r="AY204" s="294"/>
      <c r="AZ204" s="294"/>
      <c r="BA204" s="294"/>
      <c r="BB204" s="294"/>
      <c r="BC204" s="294"/>
      <c r="BD204" s="294"/>
      <c r="BE204" s="294"/>
      <c r="BF204" s="294"/>
      <c r="BG204" s="294"/>
      <c r="BH204" s="294"/>
      <c r="BI204" s="294"/>
      <c r="BJ204" s="294"/>
      <c r="BK204" s="294"/>
      <c r="BL204" s="294"/>
      <c r="BM204" s="294"/>
    </row>
    <row r="205" spans="1:65" x14ac:dyDescent="0.25">
      <c r="A205" s="294"/>
      <c r="B205" s="294"/>
      <c r="C205" s="294"/>
      <c r="D205" s="294"/>
      <c r="E205" s="294"/>
      <c r="F205" s="294"/>
      <c r="G205" s="294"/>
      <c r="H205" s="294"/>
      <c r="I205" s="294"/>
      <c r="J205" s="294"/>
      <c r="K205" s="294"/>
      <c r="L205" s="294"/>
      <c r="M205" s="294"/>
      <c r="N205" s="294"/>
      <c r="O205" s="294"/>
      <c r="P205" s="294"/>
      <c r="Q205" s="294"/>
      <c r="R205" s="294"/>
      <c r="S205" s="294"/>
      <c r="T205" s="294"/>
      <c r="U205" s="294"/>
      <c r="V205" s="294"/>
      <c r="W205" s="294"/>
      <c r="X205" s="294"/>
      <c r="Y205" s="294"/>
      <c r="Z205" s="294"/>
      <c r="AA205" s="294"/>
      <c r="AB205" s="294"/>
      <c r="AC205" s="294"/>
      <c r="AD205" s="294"/>
      <c r="AE205" s="294"/>
      <c r="AF205" s="294"/>
      <c r="AG205" s="294"/>
      <c r="AH205" s="294"/>
      <c r="AI205" s="294"/>
      <c r="AJ205" s="294"/>
      <c r="AK205" s="294"/>
      <c r="AL205" s="294"/>
      <c r="AM205" s="294"/>
      <c r="AN205" s="294"/>
      <c r="AO205" s="294"/>
      <c r="AP205" s="294"/>
      <c r="AQ205" s="294"/>
      <c r="AR205" s="294"/>
      <c r="AS205" s="294"/>
      <c r="AT205" s="294"/>
      <c r="AU205" s="294"/>
      <c r="AV205" s="294"/>
      <c r="AW205" s="294"/>
      <c r="AX205" s="294"/>
      <c r="AY205" s="294"/>
      <c r="AZ205" s="294"/>
      <c r="BA205" s="294"/>
      <c r="BB205" s="294"/>
      <c r="BC205" s="294"/>
      <c r="BD205" s="294"/>
      <c r="BE205" s="294"/>
      <c r="BF205" s="294"/>
      <c r="BG205" s="294"/>
      <c r="BH205" s="294"/>
      <c r="BI205" s="294"/>
      <c r="BJ205" s="294"/>
      <c r="BK205" s="294"/>
      <c r="BL205" s="294"/>
      <c r="BM205" s="294"/>
    </row>
    <row r="206" spans="1:65" x14ac:dyDescent="0.25">
      <c r="A206" s="294"/>
      <c r="B206" s="294"/>
      <c r="C206" s="294"/>
      <c r="D206" s="294"/>
      <c r="E206" s="294"/>
      <c r="F206" s="294"/>
      <c r="G206" s="294"/>
      <c r="H206" s="294"/>
      <c r="I206" s="294"/>
      <c r="J206" s="294"/>
      <c r="K206" s="294"/>
      <c r="L206" s="294"/>
      <c r="M206" s="294"/>
      <c r="N206" s="294"/>
      <c r="O206" s="294"/>
      <c r="P206" s="294"/>
      <c r="Q206" s="294"/>
      <c r="R206" s="294"/>
      <c r="S206" s="294"/>
      <c r="T206" s="294"/>
      <c r="U206" s="294"/>
      <c r="V206" s="294"/>
      <c r="W206" s="294"/>
      <c r="X206" s="294"/>
      <c r="Y206" s="294"/>
      <c r="Z206" s="294"/>
      <c r="AA206" s="294"/>
      <c r="AB206" s="294"/>
      <c r="AC206" s="294"/>
      <c r="AD206" s="294"/>
      <c r="AE206" s="294"/>
      <c r="AF206" s="294"/>
      <c r="AG206" s="294"/>
      <c r="AH206" s="294"/>
      <c r="AI206" s="294"/>
      <c r="AJ206" s="294"/>
      <c r="AK206" s="294"/>
      <c r="AL206" s="294"/>
      <c r="AM206" s="294"/>
      <c r="AN206" s="294"/>
      <c r="AO206" s="294"/>
      <c r="AP206" s="294"/>
      <c r="AQ206" s="294"/>
      <c r="AR206" s="294"/>
      <c r="AS206" s="294"/>
      <c r="AT206" s="294"/>
      <c r="AU206" s="294"/>
      <c r="AV206" s="294"/>
      <c r="AW206" s="294"/>
      <c r="AX206" s="294"/>
      <c r="AY206" s="294"/>
      <c r="AZ206" s="294"/>
      <c r="BA206" s="294"/>
      <c r="BB206" s="294"/>
      <c r="BC206" s="294"/>
      <c r="BD206" s="294"/>
      <c r="BE206" s="294"/>
      <c r="BF206" s="294"/>
      <c r="BG206" s="294"/>
      <c r="BH206" s="294"/>
      <c r="BI206" s="294"/>
      <c r="BJ206" s="294"/>
      <c r="BK206" s="294"/>
      <c r="BL206" s="294"/>
      <c r="BM206" s="294"/>
    </row>
    <row r="207" spans="1:65" x14ac:dyDescent="0.25">
      <c r="A207" s="294"/>
      <c r="B207" s="294"/>
      <c r="C207" s="294"/>
      <c r="D207" s="294"/>
      <c r="E207" s="294"/>
      <c r="F207" s="294"/>
      <c r="G207" s="294"/>
      <c r="H207" s="294"/>
      <c r="I207" s="294"/>
      <c r="J207" s="294"/>
      <c r="K207" s="294"/>
      <c r="L207" s="294"/>
      <c r="M207" s="294"/>
      <c r="N207" s="294"/>
      <c r="O207" s="294"/>
      <c r="P207" s="294"/>
      <c r="Q207" s="294"/>
      <c r="R207" s="294"/>
      <c r="S207" s="294"/>
      <c r="T207" s="294"/>
      <c r="U207" s="294"/>
      <c r="V207" s="294"/>
      <c r="W207" s="294"/>
      <c r="X207" s="294"/>
      <c r="Y207" s="294"/>
      <c r="Z207" s="294"/>
      <c r="AA207" s="294"/>
      <c r="AB207" s="294"/>
      <c r="AC207" s="294"/>
      <c r="AD207" s="294"/>
      <c r="AE207" s="294"/>
      <c r="AF207" s="294"/>
      <c r="AG207" s="294"/>
      <c r="AH207" s="294"/>
      <c r="AI207" s="294"/>
      <c r="AJ207" s="294"/>
      <c r="AK207" s="294"/>
      <c r="AL207" s="294"/>
      <c r="AM207" s="294"/>
      <c r="AN207" s="294"/>
      <c r="AO207" s="294"/>
      <c r="AP207" s="294"/>
      <c r="AQ207" s="294"/>
      <c r="AR207" s="294"/>
      <c r="AS207" s="294"/>
      <c r="AT207" s="294"/>
      <c r="AU207" s="294"/>
      <c r="AV207" s="294"/>
      <c r="AW207" s="294"/>
      <c r="AX207" s="294"/>
      <c r="AY207" s="294"/>
      <c r="AZ207" s="294"/>
      <c r="BA207" s="294"/>
      <c r="BB207" s="294"/>
      <c r="BC207" s="294"/>
      <c r="BD207" s="294"/>
      <c r="BE207" s="294"/>
      <c r="BF207" s="294"/>
      <c r="BG207" s="294"/>
      <c r="BH207" s="294"/>
      <c r="BI207" s="294"/>
      <c r="BJ207" s="294"/>
      <c r="BK207" s="294"/>
      <c r="BL207" s="294"/>
      <c r="BM207" s="294"/>
    </row>
    <row r="208" spans="1:65" x14ac:dyDescent="0.25">
      <c r="A208" s="294"/>
      <c r="B208" s="294"/>
      <c r="C208" s="294"/>
      <c r="D208" s="294"/>
      <c r="E208" s="294"/>
      <c r="F208" s="294"/>
      <c r="G208" s="294"/>
      <c r="H208" s="294"/>
      <c r="I208" s="294"/>
      <c r="J208" s="294"/>
      <c r="K208" s="294"/>
      <c r="L208" s="294"/>
      <c r="M208" s="294"/>
      <c r="N208" s="294"/>
      <c r="O208" s="294"/>
      <c r="P208" s="294"/>
      <c r="Q208" s="294"/>
      <c r="R208" s="294"/>
      <c r="S208" s="294"/>
      <c r="T208" s="294"/>
      <c r="U208" s="294"/>
      <c r="V208" s="294"/>
      <c r="W208" s="294"/>
      <c r="X208" s="294"/>
      <c r="Y208" s="294"/>
      <c r="Z208" s="294"/>
      <c r="AA208" s="294"/>
      <c r="AB208" s="294"/>
      <c r="AC208" s="294"/>
      <c r="AD208" s="294"/>
      <c r="AE208" s="294"/>
      <c r="AF208" s="294"/>
      <c r="AG208" s="294"/>
      <c r="AH208" s="294"/>
      <c r="AI208" s="294"/>
      <c r="AJ208" s="294"/>
      <c r="AK208" s="294"/>
      <c r="AL208" s="294"/>
      <c r="AM208" s="294"/>
      <c r="AN208" s="294"/>
      <c r="AO208" s="294"/>
      <c r="AP208" s="294"/>
      <c r="AQ208" s="294"/>
      <c r="AR208" s="294"/>
      <c r="AS208" s="294"/>
      <c r="AT208" s="294"/>
      <c r="AU208" s="294"/>
      <c r="AV208" s="294"/>
      <c r="AW208" s="294"/>
      <c r="AX208" s="294"/>
      <c r="AY208" s="294"/>
      <c r="AZ208" s="294"/>
      <c r="BA208" s="294"/>
      <c r="BB208" s="294"/>
      <c r="BC208" s="294"/>
      <c r="BD208" s="294"/>
      <c r="BE208" s="294"/>
      <c r="BF208" s="294"/>
      <c r="BG208" s="294"/>
      <c r="BH208" s="294"/>
      <c r="BI208" s="294"/>
      <c r="BJ208" s="294"/>
      <c r="BK208" s="294"/>
      <c r="BL208" s="294"/>
      <c r="BM208" s="294"/>
    </row>
    <row r="209" spans="1:65" x14ac:dyDescent="0.25">
      <c r="A209" s="294"/>
      <c r="B209" s="294"/>
      <c r="C209" s="294"/>
      <c r="D209" s="294"/>
      <c r="E209" s="294"/>
      <c r="F209" s="294"/>
      <c r="G209" s="294"/>
      <c r="H209" s="294"/>
      <c r="I209" s="294"/>
      <c r="J209" s="294"/>
      <c r="K209" s="294"/>
      <c r="L209" s="294"/>
      <c r="M209" s="294"/>
      <c r="N209" s="294"/>
      <c r="O209" s="294"/>
      <c r="P209" s="294"/>
      <c r="Q209" s="294"/>
      <c r="R209" s="294"/>
      <c r="S209" s="294"/>
      <c r="T209" s="294"/>
      <c r="U209" s="294"/>
      <c r="V209" s="294"/>
      <c r="W209" s="294"/>
      <c r="X209" s="294"/>
      <c r="Y209" s="294"/>
      <c r="Z209" s="294"/>
      <c r="AA209" s="294"/>
      <c r="AB209" s="294"/>
      <c r="AC209" s="294"/>
      <c r="AD209" s="294"/>
      <c r="AE209" s="294"/>
      <c r="AF209" s="294"/>
      <c r="AG209" s="294"/>
      <c r="AH209" s="294"/>
      <c r="AI209" s="294"/>
      <c r="AJ209" s="294"/>
      <c r="AK209" s="294"/>
      <c r="AL209" s="294"/>
      <c r="AM209" s="294"/>
      <c r="AN209" s="294"/>
      <c r="AO209" s="294"/>
      <c r="AP209" s="294"/>
      <c r="AQ209" s="294"/>
      <c r="AR209" s="294"/>
      <c r="AS209" s="294"/>
      <c r="AT209" s="294"/>
      <c r="AU209" s="294"/>
      <c r="AV209" s="294"/>
      <c r="AW209" s="294"/>
      <c r="AX209" s="294"/>
      <c r="AY209" s="294"/>
      <c r="AZ209" s="294"/>
      <c r="BA209" s="294"/>
      <c r="BB209" s="294"/>
      <c r="BC209" s="294"/>
      <c r="BD209" s="294"/>
      <c r="BE209" s="294"/>
      <c r="BF209" s="294"/>
      <c r="BG209" s="294"/>
      <c r="BH209" s="294"/>
      <c r="BI209" s="294"/>
      <c r="BJ209" s="294"/>
      <c r="BK209" s="294"/>
      <c r="BL209" s="294"/>
      <c r="BM209" s="294"/>
    </row>
    <row r="210" spans="1:65" x14ac:dyDescent="0.25">
      <c r="A210" s="294"/>
      <c r="B210" s="294"/>
      <c r="C210" s="294"/>
      <c r="D210" s="294"/>
      <c r="E210" s="294"/>
      <c r="F210" s="294"/>
      <c r="G210" s="294"/>
      <c r="H210" s="294"/>
      <c r="I210" s="294"/>
      <c r="J210" s="294"/>
      <c r="K210" s="294"/>
      <c r="L210" s="294"/>
      <c r="M210" s="294"/>
      <c r="N210" s="294"/>
      <c r="O210" s="294"/>
      <c r="P210" s="294"/>
      <c r="Q210" s="294"/>
      <c r="R210" s="294"/>
      <c r="S210" s="294"/>
      <c r="T210" s="294"/>
      <c r="U210" s="294"/>
      <c r="V210" s="294"/>
      <c r="W210" s="294"/>
      <c r="X210" s="294"/>
      <c r="Y210" s="294"/>
      <c r="Z210" s="294"/>
      <c r="AA210" s="294"/>
      <c r="AB210" s="294"/>
      <c r="AC210" s="294"/>
      <c r="AD210" s="294"/>
      <c r="AE210" s="294"/>
      <c r="AF210" s="294"/>
      <c r="AG210" s="294"/>
      <c r="AH210" s="294"/>
      <c r="AI210" s="294"/>
      <c r="AJ210" s="294"/>
      <c r="AK210" s="294"/>
      <c r="AL210" s="294"/>
      <c r="AM210" s="294"/>
      <c r="AN210" s="294"/>
      <c r="AO210" s="294"/>
      <c r="AP210" s="294"/>
      <c r="AQ210" s="294"/>
      <c r="AR210" s="294"/>
      <c r="AS210" s="294"/>
      <c r="AT210" s="294"/>
      <c r="AU210" s="294"/>
      <c r="AV210" s="294"/>
      <c r="AW210" s="294"/>
      <c r="AX210" s="294"/>
      <c r="AY210" s="294"/>
      <c r="AZ210" s="294"/>
      <c r="BA210" s="294"/>
      <c r="BB210" s="294"/>
      <c r="BC210" s="294"/>
      <c r="BD210" s="294"/>
      <c r="BE210" s="294"/>
      <c r="BF210" s="294"/>
      <c r="BG210" s="294"/>
      <c r="BH210" s="294"/>
      <c r="BI210" s="294"/>
      <c r="BJ210" s="294"/>
      <c r="BK210" s="294"/>
      <c r="BL210" s="294"/>
      <c r="BM210" s="294"/>
    </row>
    <row r="211" spans="1:65" x14ac:dyDescent="0.25">
      <c r="A211" s="294"/>
      <c r="B211" s="294"/>
      <c r="C211" s="294"/>
      <c r="D211" s="294"/>
      <c r="E211" s="294"/>
      <c r="F211" s="294"/>
      <c r="G211" s="294"/>
      <c r="H211" s="294"/>
      <c r="I211" s="294"/>
      <c r="J211" s="294"/>
      <c r="K211" s="294"/>
      <c r="L211" s="294"/>
      <c r="M211" s="294"/>
      <c r="N211" s="294"/>
      <c r="O211" s="294"/>
      <c r="P211" s="294"/>
      <c r="Q211" s="294"/>
      <c r="R211" s="294"/>
      <c r="S211" s="294"/>
      <c r="T211" s="294"/>
      <c r="U211" s="294"/>
      <c r="V211" s="294"/>
      <c r="W211" s="294"/>
      <c r="X211" s="294"/>
      <c r="Y211" s="294"/>
      <c r="Z211" s="294"/>
      <c r="AA211" s="294"/>
      <c r="AB211" s="294"/>
      <c r="AC211" s="294"/>
      <c r="AD211" s="294"/>
      <c r="AE211" s="294"/>
      <c r="AF211" s="294"/>
      <c r="AG211" s="294"/>
      <c r="AH211" s="294"/>
      <c r="AI211" s="294"/>
      <c r="AJ211" s="294"/>
      <c r="AK211" s="294"/>
      <c r="AL211" s="294"/>
      <c r="AM211" s="294"/>
      <c r="AN211" s="294"/>
      <c r="AO211" s="294"/>
      <c r="AP211" s="294"/>
      <c r="AQ211" s="294"/>
      <c r="AR211" s="294"/>
      <c r="AS211" s="294"/>
      <c r="AT211" s="294"/>
      <c r="AU211" s="294"/>
      <c r="AV211" s="294"/>
      <c r="AW211" s="294"/>
      <c r="AX211" s="294"/>
      <c r="AY211" s="294"/>
      <c r="AZ211" s="294"/>
      <c r="BA211" s="294"/>
      <c r="BB211" s="294"/>
      <c r="BC211" s="294"/>
      <c r="BD211" s="294"/>
      <c r="BE211" s="294"/>
      <c r="BF211" s="294"/>
      <c r="BG211" s="294"/>
      <c r="BH211" s="294"/>
      <c r="BI211" s="294"/>
      <c r="BJ211" s="294"/>
      <c r="BK211" s="294"/>
      <c r="BL211" s="294"/>
      <c r="BM211" s="294"/>
    </row>
    <row r="212" spans="1:65" x14ac:dyDescent="0.25">
      <c r="A212" s="294"/>
      <c r="B212" s="294"/>
      <c r="C212" s="294"/>
      <c r="D212" s="294"/>
      <c r="E212" s="294"/>
      <c r="F212" s="294"/>
      <c r="G212" s="294"/>
      <c r="H212" s="294"/>
      <c r="I212" s="294"/>
      <c r="J212" s="294"/>
      <c r="K212" s="294"/>
      <c r="L212" s="294"/>
      <c r="M212" s="294"/>
      <c r="N212" s="294"/>
      <c r="O212" s="294"/>
      <c r="P212" s="294"/>
      <c r="Q212" s="294"/>
      <c r="R212" s="294"/>
      <c r="S212" s="294"/>
      <c r="T212" s="294"/>
      <c r="U212" s="294"/>
      <c r="V212" s="294"/>
      <c r="W212" s="294"/>
      <c r="X212" s="294"/>
      <c r="Y212" s="294"/>
      <c r="Z212" s="294"/>
      <c r="AA212" s="294"/>
      <c r="AB212" s="294"/>
      <c r="AC212" s="294"/>
      <c r="AD212" s="294"/>
      <c r="AE212" s="294"/>
      <c r="AF212" s="294"/>
      <c r="AG212" s="294"/>
      <c r="AH212" s="294"/>
      <c r="AI212" s="294"/>
      <c r="AJ212" s="294"/>
      <c r="AK212" s="294"/>
      <c r="AL212" s="294"/>
      <c r="AM212" s="294"/>
      <c r="AN212" s="294"/>
      <c r="AO212" s="294"/>
      <c r="AP212" s="294"/>
      <c r="AQ212" s="294"/>
      <c r="AR212" s="294"/>
      <c r="AS212" s="294"/>
      <c r="AT212" s="294"/>
      <c r="AU212" s="294"/>
      <c r="AV212" s="294"/>
      <c r="AW212" s="294"/>
      <c r="AX212" s="294"/>
      <c r="AY212" s="294"/>
      <c r="AZ212" s="294"/>
      <c r="BA212" s="294"/>
      <c r="BB212" s="294"/>
      <c r="BC212" s="294"/>
      <c r="BD212" s="294"/>
      <c r="BE212" s="294"/>
      <c r="BF212" s="294"/>
      <c r="BG212" s="294"/>
      <c r="BH212" s="294"/>
      <c r="BI212" s="294"/>
      <c r="BJ212" s="294"/>
      <c r="BK212" s="294"/>
      <c r="BL212" s="294"/>
      <c r="BM212" s="294"/>
    </row>
    <row r="213" spans="1:65" x14ac:dyDescent="0.25">
      <c r="A213" s="294"/>
      <c r="B213" s="294"/>
      <c r="C213" s="294"/>
      <c r="D213" s="294"/>
      <c r="E213" s="294"/>
      <c r="F213" s="294"/>
      <c r="G213" s="294"/>
      <c r="H213" s="294"/>
      <c r="I213" s="294"/>
      <c r="J213" s="294"/>
      <c r="K213" s="294"/>
      <c r="L213" s="294"/>
      <c r="M213" s="294"/>
      <c r="N213" s="294"/>
      <c r="O213" s="294"/>
      <c r="P213" s="294"/>
      <c r="Q213" s="294"/>
      <c r="R213" s="294"/>
      <c r="S213" s="294"/>
      <c r="T213" s="294"/>
      <c r="U213" s="294"/>
      <c r="V213" s="294"/>
      <c r="W213" s="294"/>
      <c r="X213" s="294"/>
      <c r="Y213" s="294"/>
      <c r="Z213" s="294"/>
      <c r="AA213" s="294"/>
      <c r="AB213" s="294"/>
      <c r="AC213" s="294"/>
      <c r="AD213" s="294"/>
      <c r="AE213" s="294"/>
      <c r="AF213" s="294"/>
      <c r="AG213" s="294"/>
      <c r="AH213" s="294"/>
      <c r="AI213" s="294"/>
      <c r="AJ213" s="294"/>
      <c r="AK213" s="294"/>
      <c r="AL213" s="294"/>
      <c r="AM213" s="294"/>
      <c r="AN213" s="294"/>
      <c r="AO213" s="294"/>
      <c r="AP213" s="294"/>
      <c r="AQ213" s="294"/>
      <c r="AR213" s="294"/>
      <c r="AS213" s="294"/>
      <c r="AT213" s="294"/>
      <c r="AU213" s="294"/>
      <c r="AV213" s="294"/>
      <c r="AW213" s="294"/>
      <c r="AX213" s="294"/>
      <c r="AY213" s="294"/>
      <c r="AZ213" s="294"/>
      <c r="BA213" s="294"/>
      <c r="BB213" s="294"/>
      <c r="BC213" s="294"/>
      <c r="BD213" s="294"/>
      <c r="BE213" s="294"/>
      <c r="BF213" s="294"/>
      <c r="BG213" s="294"/>
      <c r="BH213" s="294"/>
      <c r="BI213" s="294"/>
      <c r="BJ213" s="294"/>
      <c r="BK213" s="294"/>
      <c r="BL213" s="294"/>
      <c r="BM213" s="294"/>
    </row>
    <row r="214" spans="1:65" x14ac:dyDescent="0.25">
      <c r="A214" s="294"/>
      <c r="B214" s="294"/>
      <c r="C214" s="294"/>
      <c r="D214" s="294"/>
      <c r="E214" s="294"/>
      <c r="F214" s="294"/>
      <c r="G214" s="294"/>
      <c r="H214" s="294"/>
      <c r="I214" s="294"/>
      <c r="J214" s="294"/>
      <c r="K214" s="294"/>
      <c r="L214" s="294"/>
      <c r="M214" s="294"/>
      <c r="N214" s="294"/>
      <c r="O214" s="294"/>
      <c r="P214" s="294"/>
      <c r="Q214" s="294"/>
      <c r="R214" s="294"/>
      <c r="S214" s="294"/>
      <c r="T214" s="294"/>
      <c r="U214" s="294"/>
      <c r="V214" s="294"/>
      <c r="W214" s="294"/>
      <c r="X214" s="294"/>
      <c r="Y214" s="294"/>
      <c r="Z214" s="294"/>
      <c r="AA214" s="294"/>
      <c r="AB214" s="294"/>
      <c r="AC214" s="294"/>
      <c r="AD214" s="294"/>
      <c r="AE214" s="294"/>
      <c r="AF214" s="294"/>
      <c r="AG214" s="294"/>
      <c r="AH214" s="294"/>
      <c r="AI214" s="294"/>
      <c r="AJ214" s="294"/>
      <c r="AK214" s="294"/>
      <c r="AL214" s="294"/>
      <c r="AM214" s="294"/>
      <c r="AN214" s="294"/>
      <c r="AO214" s="294"/>
      <c r="AP214" s="294"/>
      <c r="AQ214" s="294"/>
      <c r="AR214" s="294"/>
      <c r="AS214" s="294"/>
      <c r="AT214" s="294"/>
      <c r="AU214" s="294"/>
      <c r="AV214" s="294"/>
      <c r="AW214" s="294"/>
      <c r="AX214" s="294"/>
      <c r="AY214" s="294"/>
      <c r="AZ214" s="294"/>
      <c r="BA214" s="294"/>
      <c r="BB214" s="294"/>
      <c r="BC214" s="294"/>
      <c r="BD214" s="294"/>
      <c r="BE214" s="294"/>
      <c r="BF214" s="294"/>
      <c r="BG214" s="294"/>
      <c r="BH214" s="294"/>
      <c r="BI214" s="294"/>
      <c r="BJ214" s="294"/>
      <c r="BK214" s="294"/>
      <c r="BL214" s="294"/>
      <c r="BM214" s="294"/>
    </row>
    <row r="215" spans="1:65" x14ac:dyDescent="0.25">
      <c r="A215" s="294"/>
      <c r="B215" s="294"/>
      <c r="C215" s="294"/>
      <c r="D215" s="294"/>
      <c r="E215" s="294"/>
      <c r="F215" s="294"/>
      <c r="G215" s="294"/>
      <c r="H215" s="294"/>
      <c r="I215" s="294"/>
      <c r="J215" s="294"/>
      <c r="K215" s="294"/>
      <c r="L215" s="294"/>
      <c r="M215" s="294"/>
      <c r="N215" s="294"/>
      <c r="O215" s="294"/>
      <c r="P215" s="294"/>
      <c r="Q215" s="294"/>
      <c r="R215" s="294"/>
      <c r="S215" s="294"/>
      <c r="T215" s="294"/>
      <c r="U215" s="294"/>
      <c r="V215" s="294"/>
      <c r="W215" s="294"/>
      <c r="X215" s="294"/>
      <c r="Y215" s="294"/>
      <c r="Z215" s="294"/>
      <c r="AA215" s="294"/>
      <c r="AB215" s="294"/>
      <c r="AC215" s="294"/>
      <c r="AD215" s="294"/>
      <c r="AE215" s="294"/>
      <c r="AF215" s="294"/>
      <c r="AG215" s="294"/>
      <c r="AH215" s="294"/>
      <c r="AI215" s="294"/>
      <c r="AJ215" s="294"/>
      <c r="AK215" s="294"/>
      <c r="AL215" s="294"/>
      <c r="AM215" s="294"/>
      <c r="AN215" s="294"/>
      <c r="AO215" s="294"/>
      <c r="AP215" s="294"/>
      <c r="AQ215" s="294"/>
      <c r="AR215" s="294"/>
      <c r="AS215" s="294"/>
      <c r="AT215" s="294"/>
      <c r="AU215" s="294"/>
      <c r="AV215" s="294"/>
      <c r="AW215" s="294"/>
      <c r="AX215" s="294"/>
      <c r="AY215" s="294"/>
      <c r="AZ215" s="294"/>
      <c r="BA215" s="294"/>
      <c r="BB215" s="294"/>
      <c r="BC215" s="294"/>
      <c r="BD215" s="294"/>
      <c r="BE215" s="294"/>
      <c r="BF215" s="294"/>
      <c r="BG215" s="294"/>
      <c r="BH215" s="294"/>
      <c r="BI215" s="294"/>
      <c r="BJ215" s="294"/>
      <c r="BK215" s="294"/>
      <c r="BL215" s="294"/>
      <c r="BM215" s="294"/>
    </row>
    <row r="216" spans="1:65" x14ac:dyDescent="0.25">
      <c r="A216" s="294"/>
      <c r="B216" s="294"/>
      <c r="C216" s="294"/>
      <c r="D216" s="294"/>
      <c r="E216" s="294"/>
      <c r="F216" s="294"/>
      <c r="G216" s="294"/>
      <c r="H216" s="294"/>
      <c r="I216" s="294"/>
      <c r="J216" s="294"/>
      <c r="K216" s="294"/>
      <c r="L216" s="294"/>
      <c r="M216" s="294"/>
      <c r="N216" s="294"/>
      <c r="O216" s="294"/>
      <c r="P216" s="294"/>
      <c r="Q216" s="294"/>
      <c r="R216" s="294"/>
      <c r="S216" s="294"/>
      <c r="T216" s="294"/>
      <c r="U216" s="294"/>
      <c r="V216" s="294"/>
      <c r="W216" s="294"/>
      <c r="X216" s="294"/>
      <c r="Y216" s="294"/>
      <c r="Z216" s="294"/>
      <c r="AA216" s="294"/>
      <c r="AB216" s="294"/>
      <c r="AC216" s="294"/>
      <c r="AD216" s="294"/>
      <c r="AE216" s="294"/>
      <c r="AF216" s="294"/>
      <c r="AG216" s="294"/>
      <c r="AH216" s="294"/>
      <c r="AI216" s="294"/>
      <c r="AJ216" s="294"/>
      <c r="AK216" s="294"/>
      <c r="AL216" s="294"/>
      <c r="AM216" s="294"/>
      <c r="AN216" s="294"/>
      <c r="AO216" s="294"/>
      <c r="AP216" s="294"/>
      <c r="AQ216" s="294"/>
      <c r="AR216" s="294"/>
      <c r="AS216" s="294"/>
      <c r="AT216" s="294"/>
      <c r="AU216" s="294"/>
      <c r="AV216" s="294"/>
      <c r="AW216" s="294"/>
      <c r="AX216" s="294"/>
      <c r="AY216" s="294"/>
      <c r="AZ216" s="294"/>
      <c r="BA216" s="294"/>
      <c r="BB216" s="294"/>
      <c r="BC216" s="294"/>
      <c r="BD216" s="294"/>
      <c r="BE216" s="294"/>
      <c r="BF216" s="294"/>
      <c r="BG216" s="294"/>
      <c r="BH216" s="294"/>
      <c r="BI216" s="294"/>
      <c r="BJ216" s="294"/>
      <c r="BK216" s="294"/>
      <c r="BL216" s="294"/>
      <c r="BM216" s="294"/>
    </row>
    <row r="217" spans="1:65" x14ac:dyDescent="0.25">
      <c r="A217" s="294"/>
      <c r="B217" s="294"/>
      <c r="C217" s="294"/>
      <c r="D217" s="294"/>
      <c r="E217" s="294"/>
      <c r="F217" s="294"/>
      <c r="G217" s="294"/>
      <c r="H217" s="294"/>
      <c r="I217" s="294"/>
      <c r="J217" s="294"/>
      <c r="K217" s="294"/>
      <c r="L217" s="294"/>
      <c r="M217" s="294"/>
      <c r="N217" s="294"/>
      <c r="O217" s="294"/>
      <c r="P217" s="294"/>
      <c r="Q217" s="294"/>
      <c r="R217" s="294"/>
      <c r="S217" s="294"/>
      <c r="T217" s="294"/>
      <c r="U217" s="294"/>
      <c r="V217" s="294"/>
      <c r="W217" s="294"/>
      <c r="X217" s="294"/>
      <c r="Y217" s="294"/>
      <c r="Z217" s="294"/>
      <c r="AA217" s="294"/>
      <c r="AB217" s="294"/>
      <c r="AC217" s="294"/>
      <c r="AD217" s="294"/>
      <c r="AE217" s="294"/>
      <c r="AF217" s="294"/>
      <c r="AG217" s="294"/>
      <c r="AH217" s="294"/>
      <c r="AI217" s="294"/>
      <c r="AJ217" s="294"/>
      <c r="AK217" s="294"/>
      <c r="AL217" s="294"/>
      <c r="AM217" s="294"/>
      <c r="AN217" s="294"/>
      <c r="AO217" s="294"/>
      <c r="AP217" s="294"/>
      <c r="AQ217" s="294"/>
      <c r="AR217" s="294"/>
      <c r="AS217" s="294"/>
      <c r="AT217" s="294"/>
      <c r="AU217" s="294"/>
      <c r="AV217" s="294"/>
      <c r="AW217" s="294"/>
      <c r="AX217" s="294"/>
      <c r="AY217" s="294"/>
      <c r="AZ217" s="294"/>
      <c r="BA217" s="294"/>
      <c r="BB217" s="294"/>
      <c r="BC217" s="294"/>
      <c r="BD217" s="294"/>
      <c r="BE217" s="294"/>
      <c r="BF217" s="294"/>
      <c r="BG217" s="294"/>
      <c r="BH217" s="294"/>
      <c r="BI217" s="294"/>
      <c r="BJ217" s="294"/>
      <c r="BK217" s="294"/>
      <c r="BL217" s="294"/>
      <c r="BM217" s="294"/>
    </row>
    <row r="218" spans="1:65" x14ac:dyDescent="0.25">
      <c r="A218" s="294"/>
      <c r="B218" s="294"/>
      <c r="C218" s="294"/>
      <c r="D218" s="294"/>
      <c r="E218" s="294"/>
      <c r="F218" s="294"/>
      <c r="G218" s="294"/>
      <c r="H218" s="294"/>
      <c r="I218" s="294"/>
      <c r="J218" s="294"/>
      <c r="K218" s="294"/>
      <c r="L218" s="294"/>
      <c r="M218" s="294"/>
      <c r="N218" s="294"/>
      <c r="O218" s="294"/>
      <c r="P218" s="294"/>
      <c r="Q218" s="294"/>
      <c r="R218" s="294"/>
      <c r="S218" s="294"/>
      <c r="T218" s="294"/>
      <c r="U218" s="294"/>
      <c r="V218" s="294"/>
      <c r="W218" s="294"/>
      <c r="X218" s="294"/>
      <c r="Y218" s="294"/>
      <c r="Z218" s="294"/>
      <c r="AA218" s="294"/>
      <c r="AB218" s="294"/>
      <c r="AC218" s="294"/>
      <c r="AD218" s="294"/>
      <c r="AE218" s="294"/>
      <c r="AF218" s="294"/>
      <c r="AG218" s="294"/>
      <c r="AH218" s="294"/>
      <c r="AI218" s="294"/>
      <c r="AJ218" s="294"/>
      <c r="AK218" s="294"/>
      <c r="AL218" s="294"/>
      <c r="AM218" s="294"/>
      <c r="AN218" s="294"/>
      <c r="AO218" s="294"/>
      <c r="AP218" s="294"/>
      <c r="AQ218" s="294"/>
      <c r="AR218" s="294"/>
      <c r="AS218" s="294"/>
      <c r="AT218" s="294"/>
      <c r="AU218" s="294"/>
      <c r="AV218" s="294"/>
      <c r="AW218" s="294"/>
      <c r="AX218" s="294"/>
      <c r="AY218" s="294"/>
      <c r="AZ218" s="294"/>
      <c r="BA218" s="294"/>
      <c r="BB218" s="294"/>
      <c r="BC218" s="294"/>
      <c r="BD218" s="294"/>
      <c r="BE218" s="294"/>
      <c r="BF218" s="294"/>
      <c r="BG218" s="294"/>
      <c r="BH218" s="294"/>
      <c r="BI218" s="294"/>
      <c r="BJ218" s="294"/>
      <c r="BK218" s="294"/>
      <c r="BL218" s="294"/>
      <c r="BM218" s="294"/>
    </row>
    <row r="219" spans="1:65" x14ac:dyDescent="0.25">
      <c r="A219" s="294"/>
      <c r="B219" s="294"/>
      <c r="C219" s="294"/>
      <c r="D219" s="294"/>
      <c r="E219" s="294"/>
      <c r="F219" s="294"/>
      <c r="G219" s="294"/>
      <c r="H219" s="294"/>
      <c r="I219" s="294"/>
      <c r="J219" s="294"/>
      <c r="K219" s="294"/>
      <c r="L219" s="294"/>
      <c r="M219" s="294"/>
      <c r="N219" s="294"/>
      <c r="O219" s="294"/>
      <c r="P219" s="294"/>
      <c r="Q219" s="294"/>
      <c r="R219" s="294"/>
      <c r="S219" s="294"/>
      <c r="T219" s="294"/>
      <c r="U219" s="294"/>
      <c r="V219" s="294"/>
      <c r="W219" s="294"/>
      <c r="X219" s="294"/>
      <c r="Y219" s="294"/>
      <c r="Z219" s="294"/>
      <c r="AA219" s="294"/>
      <c r="AB219" s="294"/>
      <c r="AC219" s="294"/>
      <c r="AD219" s="294"/>
      <c r="AE219" s="294"/>
      <c r="AF219" s="294"/>
      <c r="AG219" s="294"/>
      <c r="AH219" s="294"/>
      <c r="AI219" s="294"/>
      <c r="AJ219" s="294"/>
      <c r="AK219" s="294"/>
      <c r="AL219" s="294"/>
      <c r="AM219" s="294"/>
      <c r="AN219" s="294"/>
      <c r="AO219" s="294"/>
      <c r="AP219" s="294"/>
      <c r="AQ219" s="294"/>
      <c r="AR219" s="294"/>
      <c r="AS219" s="294"/>
      <c r="AT219" s="294"/>
      <c r="AU219" s="294"/>
      <c r="AV219" s="294"/>
      <c r="AW219" s="294"/>
      <c r="AX219" s="294"/>
      <c r="AY219" s="294"/>
      <c r="AZ219" s="294"/>
      <c r="BA219" s="294"/>
      <c r="BB219" s="294"/>
      <c r="BC219" s="294"/>
      <c r="BD219" s="294"/>
      <c r="BE219" s="294"/>
      <c r="BF219" s="294"/>
      <c r="BG219" s="294"/>
      <c r="BH219" s="294"/>
      <c r="BI219" s="294"/>
      <c r="BJ219" s="294"/>
      <c r="BK219" s="294"/>
      <c r="BL219" s="294"/>
      <c r="BM219" s="294"/>
    </row>
    <row r="220" spans="1:65" x14ac:dyDescent="0.25">
      <c r="A220" s="294"/>
      <c r="B220" s="294"/>
      <c r="C220" s="294"/>
      <c r="D220" s="294"/>
      <c r="E220" s="294"/>
      <c r="F220" s="294"/>
      <c r="G220" s="294"/>
      <c r="H220" s="294"/>
      <c r="I220" s="294"/>
      <c r="J220" s="294"/>
      <c r="K220" s="294"/>
      <c r="L220" s="294"/>
      <c r="M220" s="294"/>
      <c r="N220" s="294"/>
      <c r="O220" s="294"/>
      <c r="P220" s="294"/>
      <c r="Q220" s="294"/>
      <c r="R220" s="294"/>
      <c r="S220" s="294"/>
      <c r="T220" s="294"/>
      <c r="U220" s="294"/>
      <c r="V220" s="294"/>
      <c r="W220" s="294"/>
      <c r="X220" s="294"/>
      <c r="Y220" s="294"/>
      <c r="Z220" s="294"/>
      <c r="AA220" s="294"/>
      <c r="AB220" s="294"/>
      <c r="AC220" s="294"/>
      <c r="AD220" s="294"/>
      <c r="AE220" s="294"/>
      <c r="AF220" s="294"/>
      <c r="AG220" s="294"/>
      <c r="AH220" s="294"/>
      <c r="AI220" s="294"/>
      <c r="AJ220" s="294"/>
      <c r="AK220" s="294"/>
      <c r="AL220" s="294"/>
      <c r="AM220" s="294"/>
      <c r="AN220" s="294"/>
      <c r="AO220" s="294"/>
      <c r="AP220" s="294"/>
      <c r="AQ220" s="294"/>
      <c r="AR220" s="294"/>
      <c r="AS220" s="294"/>
      <c r="AT220" s="294"/>
      <c r="AU220" s="294"/>
      <c r="AV220" s="294"/>
      <c r="AW220" s="294"/>
      <c r="AX220" s="294"/>
      <c r="AY220" s="294"/>
      <c r="AZ220" s="294"/>
      <c r="BA220" s="294"/>
      <c r="BB220" s="294"/>
      <c r="BC220" s="294"/>
      <c r="BD220" s="294"/>
      <c r="BE220" s="294"/>
      <c r="BF220" s="294"/>
      <c r="BG220" s="294"/>
      <c r="BH220" s="294"/>
      <c r="BI220" s="294"/>
      <c r="BJ220" s="294"/>
      <c r="BK220" s="294"/>
      <c r="BL220" s="294"/>
      <c r="BM220" s="294"/>
    </row>
    <row r="221" spans="1:65" x14ac:dyDescent="0.25">
      <c r="A221" s="294"/>
      <c r="B221" s="294"/>
      <c r="C221" s="294"/>
      <c r="D221" s="294"/>
      <c r="E221" s="294"/>
      <c r="F221" s="294"/>
      <c r="G221" s="294"/>
      <c r="H221" s="294"/>
      <c r="I221" s="294"/>
      <c r="J221" s="294"/>
      <c r="K221" s="294"/>
      <c r="L221" s="294"/>
      <c r="M221" s="294"/>
      <c r="N221" s="294"/>
      <c r="O221" s="294"/>
      <c r="P221" s="294"/>
      <c r="Q221" s="294"/>
      <c r="R221" s="294"/>
      <c r="S221" s="294"/>
      <c r="T221" s="294"/>
      <c r="U221" s="294"/>
      <c r="V221" s="294"/>
      <c r="W221" s="294"/>
      <c r="X221" s="294"/>
      <c r="Y221" s="294"/>
      <c r="Z221" s="294"/>
      <c r="AA221" s="294"/>
      <c r="AB221" s="294"/>
      <c r="AC221" s="294"/>
      <c r="AD221" s="294"/>
      <c r="AE221" s="294"/>
      <c r="AF221" s="294"/>
      <c r="AG221" s="294"/>
      <c r="AH221" s="294"/>
      <c r="AI221" s="294"/>
      <c r="AJ221" s="294"/>
      <c r="AK221" s="294"/>
      <c r="AL221" s="294"/>
      <c r="AM221" s="294"/>
      <c r="AN221" s="294"/>
      <c r="AO221" s="294"/>
      <c r="AP221" s="294"/>
      <c r="AQ221" s="294"/>
      <c r="AR221" s="294"/>
      <c r="AS221" s="294"/>
      <c r="AT221" s="294"/>
      <c r="AU221" s="294"/>
      <c r="AV221" s="294"/>
      <c r="AW221" s="294"/>
      <c r="AX221" s="294"/>
      <c r="AY221" s="294"/>
      <c r="AZ221" s="294"/>
      <c r="BA221" s="294"/>
      <c r="BB221" s="294"/>
      <c r="BC221" s="294"/>
      <c r="BD221" s="294"/>
      <c r="BE221" s="294"/>
      <c r="BF221" s="294"/>
      <c r="BG221" s="294"/>
      <c r="BH221" s="294"/>
      <c r="BI221" s="294"/>
      <c r="BJ221" s="294"/>
      <c r="BK221" s="294"/>
      <c r="BL221" s="294"/>
      <c r="BM221" s="294"/>
    </row>
    <row r="222" spans="1:65" x14ac:dyDescent="0.25">
      <c r="A222" s="294"/>
      <c r="B222" s="294"/>
      <c r="C222" s="294"/>
      <c r="D222" s="294"/>
      <c r="E222" s="294"/>
      <c r="F222" s="294"/>
      <c r="G222" s="294"/>
      <c r="H222" s="294"/>
      <c r="I222" s="294"/>
      <c r="J222" s="294"/>
      <c r="K222" s="294"/>
      <c r="L222" s="294"/>
      <c r="M222" s="294"/>
      <c r="N222" s="294"/>
      <c r="O222" s="294"/>
      <c r="P222" s="294"/>
      <c r="Q222" s="294"/>
      <c r="R222" s="294"/>
      <c r="S222" s="294"/>
      <c r="T222" s="294"/>
      <c r="U222" s="294"/>
      <c r="V222" s="294"/>
      <c r="W222" s="294"/>
      <c r="X222" s="294"/>
      <c r="Y222" s="294"/>
      <c r="Z222" s="294"/>
      <c r="AA222" s="294"/>
      <c r="AB222" s="294"/>
      <c r="AC222" s="294"/>
      <c r="AD222" s="294"/>
      <c r="AE222" s="294"/>
      <c r="AF222" s="294"/>
      <c r="AG222" s="294"/>
      <c r="AH222" s="294"/>
      <c r="AI222" s="294"/>
      <c r="AJ222" s="294"/>
      <c r="AK222" s="294"/>
      <c r="AL222" s="294"/>
      <c r="AM222" s="294"/>
      <c r="AN222" s="294"/>
      <c r="AO222" s="294"/>
      <c r="AP222" s="294"/>
      <c r="AQ222" s="294"/>
      <c r="AR222" s="294"/>
      <c r="AS222" s="294"/>
      <c r="AT222" s="294"/>
      <c r="AU222" s="294"/>
      <c r="AV222" s="294"/>
      <c r="AW222" s="294"/>
      <c r="AX222" s="294"/>
      <c r="AY222" s="294"/>
      <c r="AZ222" s="294"/>
      <c r="BA222" s="294"/>
      <c r="BB222" s="294"/>
      <c r="BC222" s="294"/>
      <c r="BD222" s="294"/>
      <c r="BE222" s="294"/>
      <c r="BF222" s="294"/>
      <c r="BG222" s="294"/>
      <c r="BH222" s="294"/>
      <c r="BI222" s="294"/>
      <c r="BJ222" s="294"/>
      <c r="BK222" s="294"/>
      <c r="BL222" s="294"/>
      <c r="BM222" s="294"/>
    </row>
    <row r="223" spans="1:65" x14ac:dyDescent="0.25">
      <c r="A223" s="294"/>
      <c r="B223" s="294"/>
      <c r="C223" s="294"/>
      <c r="D223" s="294"/>
      <c r="E223" s="294"/>
      <c r="F223" s="294"/>
      <c r="G223" s="294"/>
      <c r="H223" s="294"/>
      <c r="I223" s="294"/>
      <c r="J223" s="294"/>
      <c r="K223" s="294"/>
      <c r="L223" s="294"/>
      <c r="M223" s="294"/>
      <c r="N223" s="294"/>
      <c r="O223" s="294"/>
      <c r="P223" s="294"/>
      <c r="Q223" s="294"/>
      <c r="R223" s="294"/>
      <c r="S223" s="294"/>
      <c r="T223" s="294"/>
      <c r="U223" s="294"/>
      <c r="V223" s="294"/>
      <c r="W223" s="294"/>
      <c r="X223" s="294"/>
      <c r="Y223" s="294"/>
      <c r="Z223" s="294"/>
      <c r="AA223" s="294"/>
      <c r="AB223" s="294"/>
      <c r="AC223" s="294"/>
      <c r="AD223" s="294"/>
      <c r="AE223" s="294"/>
      <c r="AF223" s="294"/>
      <c r="AG223" s="294"/>
      <c r="AH223" s="294"/>
      <c r="AI223" s="294"/>
      <c r="AJ223" s="294"/>
      <c r="AK223" s="294"/>
      <c r="AL223" s="294"/>
      <c r="AM223" s="294"/>
      <c r="AN223" s="294"/>
      <c r="AO223" s="294"/>
      <c r="AP223" s="294"/>
      <c r="AQ223" s="294"/>
      <c r="AR223" s="294"/>
      <c r="AS223" s="294"/>
      <c r="AT223" s="294"/>
      <c r="AU223" s="294"/>
      <c r="AV223" s="294"/>
      <c r="AW223" s="294"/>
      <c r="AX223" s="294"/>
      <c r="AY223" s="294"/>
      <c r="AZ223" s="294"/>
      <c r="BA223" s="294"/>
      <c r="BB223" s="294"/>
      <c r="BC223" s="294"/>
      <c r="BD223" s="294"/>
      <c r="BE223" s="294"/>
      <c r="BF223" s="294"/>
      <c r="BG223" s="294"/>
      <c r="BH223" s="294"/>
      <c r="BI223" s="294"/>
      <c r="BJ223" s="294"/>
      <c r="BK223" s="294"/>
      <c r="BL223" s="294"/>
      <c r="BM223" s="294"/>
    </row>
    <row r="224" spans="1:65" x14ac:dyDescent="0.25">
      <c r="A224" s="294"/>
      <c r="B224" s="294"/>
      <c r="C224" s="294"/>
      <c r="D224" s="294"/>
      <c r="E224" s="294"/>
      <c r="F224" s="294"/>
      <c r="G224" s="294"/>
      <c r="H224" s="294"/>
      <c r="I224" s="294"/>
      <c r="J224" s="294"/>
      <c r="K224" s="294"/>
      <c r="L224" s="294"/>
      <c r="M224" s="294"/>
      <c r="N224" s="294"/>
      <c r="O224" s="294"/>
      <c r="P224" s="294"/>
      <c r="Q224" s="294"/>
      <c r="R224" s="294"/>
      <c r="S224" s="294"/>
      <c r="T224" s="294"/>
      <c r="U224" s="294"/>
      <c r="V224" s="294"/>
      <c r="W224" s="294"/>
      <c r="X224" s="294"/>
      <c r="Y224" s="294"/>
      <c r="Z224" s="294"/>
      <c r="AA224" s="294"/>
      <c r="AB224" s="294"/>
      <c r="AC224" s="294"/>
      <c r="AD224" s="294"/>
      <c r="AE224" s="294"/>
      <c r="AF224" s="294"/>
      <c r="AG224" s="294"/>
      <c r="AH224" s="294"/>
      <c r="AI224" s="294"/>
      <c r="AJ224" s="294"/>
      <c r="AK224" s="294"/>
      <c r="AL224" s="294"/>
      <c r="AM224" s="294"/>
      <c r="AN224" s="294"/>
      <c r="AO224" s="294"/>
      <c r="AP224" s="294"/>
      <c r="AQ224" s="294"/>
      <c r="AR224" s="294"/>
      <c r="AS224" s="294"/>
      <c r="AT224" s="294"/>
      <c r="AU224" s="294"/>
      <c r="AV224" s="294"/>
      <c r="AW224" s="294"/>
      <c r="AX224" s="294"/>
      <c r="AY224" s="294"/>
      <c r="AZ224" s="294"/>
      <c r="BA224" s="294"/>
      <c r="BB224" s="294"/>
      <c r="BC224" s="294"/>
      <c r="BD224" s="294"/>
      <c r="BE224" s="294"/>
      <c r="BF224" s="294"/>
      <c r="BG224" s="294"/>
      <c r="BH224" s="294"/>
      <c r="BI224" s="294"/>
      <c r="BJ224" s="294"/>
      <c r="BK224" s="294"/>
      <c r="BL224" s="294"/>
      <c r="BM224" s="294"/>
    </row>
    <row r="225" spans="1:65" x14ac:dyDescent="0.25">
      <c r="A225" s="294"/>
      <c r="B225" s="294"/>
      <c r="C225" s="294"/>
      <c r="D225" s="294"/>
      <c r="E225" s="294"/>
      <c r="F225" s="294"/>
      <c r="G225" s="294"/>
      <c r="H225" s="294"/>
      <c r="I225" s="294"/>
      <c r="J225" s="294"/>
      <c r="K225" s="294"/>
      <c r="L225" s="294"/>
      <c r="M225" s="294"/>
      <c r="N225" s="294"/>
      <c r="O225" s="294"/>
      <c r="P225" s="294"/>
      <c r="Q225" s="294"/>
      <c r="R225" s="294"/>
      <c r="S225" s="294"/>
      <c r="T225" s="294"/>
      <c r="U225" s="294"/>
      <c r="V225" s="294"/>
      <c r="W225" s="294"/>
      <c r="X225" s="294"/>
      <c r="Y225" s="294"/>
      <c r="Z225" s="294"/>
      <c r="AA225" s="294"/>
      <c r="AB225" s="294"/>
      <c r="AC225" s="294"/>
      <c r="AD225" s="294"/>
      <c r="AE225" s="294"/>
      <c r="AF225" s="294"/>
      <c r="AG225" s="294"/>
      <c r="AH225" s="294"/>
      <c r="AI225" s="294"/>
      <c r="AJ225" s="294"/>
      <c r="AK225" s="294"/>
      <c r="AL225" s="294"/>
      <c r="AM225" s="294"/>
      <c r="AN225" s="294"/>
      <c r="AO225" s="294"/>
      <c r="AP225" s="294"/>
      <c r="AQ225" s="294"/>
      <c r="AR225" s="294"/>
      <c r="AS225" s="294"/>
      <c r="AT225" s="294"/>
      <c r="AU225" s="294"/>
      <c r="AV225" s="294"/>
      <c r="AW225" s="294"/>
      <c r="AX225" s="294"/>
      <c r="AY225" s="294"/>
      <c r="AZ225" s="294"/>
      <c r="BA225" s="294"/>
      <c r="BB225" s="294"/>
      <c r="BC225" s="294"/>
      <c r="BD225" s="294"/>
      <c r="BE225" s="294"/>
      <c r="BF225" s="294"/>
      <c r="BG225" s="294"/>
      <c r="BH225" s="294"/>
      <c r="BI225" s="294"/>
      <c r="BJ225" s="294"/>
      <c r="BK225" s="294"/>
      <c r="BL225" s="294"/>
      <c r="BM225" s="294"/>
    </row>
    <row r="226" spans="1:65" x14ac:dyDescent="0.25">
      <c r="A226" s="294"/>
      <c r="B226" s="294"/>
      <c r="C226" s="294"/>
      <c r="D226" s="294"/>
      <c r="E226" s="294"/>
      <c r="F226" s="294"/>
      <c r="G226" s="294"/>
      <c r="H226" s="294"/>
      <c r="I226" s="294"/>
      <c r="J226" s="294"/>
      <c r="K226" s="294"/>
      <c r="L226" s="294"/>
      <c r="M226" s="294"/>
      <c r="N226" s="294"/>
      <c r="O226" s="294"/>
      <c r="P226" s="294"/>
      <c r="Q226" s="294"/>
      <c r="R226" s="294"/>
      <c r="S226" s="294"/>
      <c r="T226" s="294"/>
      <c r="U226" s="294"/>
      <c r="V226" s="294"/>
      <c r="W226" s="294"/>
      <c r="X226" s="294"/>
      <c r="Y226" s="294"/>
      <c r="Z226" s="294"/>
      <c r="AA226" s="294"/>
      <c r="AB226" s="294"/>
      <c r="AC226" s="294"/>
      <c r="AD226" s="294"/>
      <c r="AE226" s="294"/>
      <c r="AF226" s="294"/>
      <c r="AG226" s="294"/>
      <c r="AH226" s="294"/>
      <c r="AI226" s="294"/>
      <c r="AJ226" s="294"/>
      <c r="AK226" s="294"/>
      <c r="AL226" s="294"/>
      <c r="AM226" s="294"/>
      <c r="AN226" s="294"/>
      <c r="AO226" s="294"/>
      <c r="AP226" s="294"/>
      <c r="AQ226" s="294"/>
      <c r="AR226" s="294"/>
      <c r="AS226" s="294"/>
      <c r="AT226" s="294"/>
      <c r="AU226" s="294"/>
      <c r="AV226" s="294"/>
      <c r="AW226" s="294"/>
      <c r="AX226" s="294"/>
      <c r="AY226" s="294"/>
      <c r="AZ226" s="294"/>
      <c r="BA226" s="294"/>
      <c r="BB226" s="294"/>
      <c r="BC226" s="294"/>
      <c r="BD226" s="294"/>
      <c r="BE226" s="294"/>
      <c r="BF226" s="294"/>
      <c r="BG226" s="294"/>
      <c r="BH226" s="294"/>
      <c r="BI226" s="294"/>
      <c r="BJ226" s="294"/>
      <c r="BK226" s="294"/>
      <c r="BL226" s="294"/>
      <c r="BM226" s="294"/>
    </row>
    <row r="227" spans="1:65" x14ac:dyDescent="0.25">
      <c r="A227" s="294"/>
      <c r="B227" s="294"/>
      <c r="C227" s="294"/>
      <c r="D227" s="294"/>
      <c r="E227" s="294"/>
      <c r="F227" s="294"/>
      <c r="G227" s="294"/>
      <c r="H227" s="294"/>
      <c r="I227" s="294"/>
      <c r="J227" s="294"/>
      <c r="K227" s="294"/>
      <c r="L227" s="294"/>
      <c r="M227" s="294"/>
      <c r="N227" s="294"/>
      <c r="O227" s="294"/>
      <c r="P227" s="294"/>
      <c r="Q227" s="294"/>
      <c r="R227" s="294"/>
      <c r="S227" s="294"/>
      <c r="T227" s="294"/>
      <c r="U227" s="294"/>
      <c r="V227" s="294"/>
      <c r="W227" s="294"/>
      <c r="X227" s="294"/>
      <c r="Y227" s="294"/>
      <c r="Z227" s="294"/>
      <c r="AA227" s="294"/>
      <c r="AB227" s="294"/>
      <c r="AC227" s="294"/>
      <c r="AD227" s="294"/>
      <c r="AE227" s="294"/>
      <c r="AF227" s="294"/>
      <c r="AG227" s="294"/>
      <c r="AH227" s="294"/>
      <c r="AI227" s="294"/>
      <c r="AJ227" s="294"/>
      <c r="AK227" s="294"/>
      <c r="AL227" s="294"/>
      <c r="AM227" s="294"/>
      <c r="AN227" s="294"/>
      <c r="AO227" s="294"/>
      <c r="AP227" s="294"/>
      <c r="AQ227" s="294"/>
      <c r="AR227" s="294"/>
      <c r="AS227" s="294"/>
      <c r="AT227" s="294"/>
      <c r="AU227" s="294"/>
      <c r="AV227" s="294"/>
      <c r="AW227" s="294"/>
      <c r="AX227" s="294"/>
      <c r="AY227" s="294"/>
      <c r="AZ227" s="294"/>
      <c r="BA227" s="294"/>
      <c r="BB227" s="294"/>
      <c r="BC227" s="294"/>
      <c r="BD227" s="294"/>
      <c r="BE227" s="294"/>
      <c r="BF227" s="294"/>
      <c r="BG227" s="294"/>
      <c r="BH227" s="294"/>
      <c r="BI227" s="294"/>
      <c r="BJ227" s="294"/>
      <c r="BK227" s="294"/>
      <c r="BL227" s="294"/>
      <c r="BM227" s="294"/>
    </row>
    <row r="228" spans="1:65" x14ac:dyDescent="0.25">
      <c r="A228" s="294"/>
      <c r="B228" s="294"/>
      <c r="C228" s="294"/>
      <c r="D228" s="294"/>
      <c r="E228" s="294"/>
      <c r="F228" s="294"/>
      <c r="G228" s="294"/>
      <c r="H228" s="294"/>
      <c r="I228" s="294"/>
      <c r="J228" s="294"/>
      <c r="K228" s="294"/>
      <c r="L228" s="294"/>
      <c r="M228" s="294"/>
      <c r="N228" s="294"/>
      <c r="O228" s="294"/>
      <c r="P228" s="294"/>
      <c r="Q228" s="294"/>
      <c r="R228" s="294"/>
      <c r="S228" s="294"/>
      <c r="T228" s="294"/>
      <c r="U228" s="294"/>
      <c r="V228" s="294"/>
      <c r="W228" s="294"/>
      <c r="X228" s="294"/>
      <c r="Y228" s="294"/>
      <c r="Z228" s="294"/>
      <c r="AA228" s="294"/>
      <c r="AB228" s="294"/>
      <c r="AC228" s="294"/>
      <c r="AD228" s="294"/>
      <c r="AE228" s="294"/>
      <c r="AF228" s="294"/>
      <c r="AG228" s="294"/>
      <c r="AH228" s="294"/>
      <c r="AI228" s="294"/>
      <c r="AJ228" s="294"/>
      <c r="AK228" s="294"/>
      <c r="AL228" s="294"/>
      <c r="AM228" s="294"/>
      <c r="AN228" s="294"/>
      <c r="AO228" s="294"/>
      <c r="AP228" s="294"/>
      <c r="AQ228" s="294"/>
      <c r="AR228" s="294"/>
      <c r="AS228" s="294"/>
      <c r="AT228" s="294"/>
      <c r="AU228" s="294"/>
      <c r="AV228" s="294"/>
      <c r="AW228" s="294"/>
      <c r="AX228" s="294"/>
      <c r="AY228" s="294"/>
      <c r="AZ228" s="294"/>
      <c r="BA228" s="294"/>
      <c r="BB228" s="294"/>
      <c r="BC228" s="294"/>
      <c r="BD228" s="294"/>
      <c r="BE228" s="294"/>
      <c r="BF228" s="294"/>
      <c r="BG228" s="294"/>
      <c r="BH228" s="294"/>
      <c r="BI228" s="294"/>
      <c r="BJ228" s="294"/>
      <c r="BK228" s="294"/>
      <c r="BL228" s="294"/>
      <c r="BM228" s="294"/>
    </row>
    <row r="229" spans="1:65" x14ac:dyDescent="0.25">
      <c r="A229" s="294"/>
      <c r="B229" s="294"/>
      <c r="C229" s="294"/>
      <c r="D229" s="294"/>
      <c r="E229" s="294"/>
      <c r="F229" s="294"/>
      <c r="G229" s="294"/>
      <c r="H229" s="294"/>
      <c r="I229" s="294"/>
      <c r="J229" s="294"/>
      <c r="K229" s="294"/>
      <c r="L229" s="294"/>
      <c r="M229" s="294"/>
      <c r="N229" s="294"/>
      <c r="O229" s="294"/>
      <c r="P229" s="294"/>
      <c r="Q229" s="294"/>
      <c r="R229" s="294"/>
      <c r="S229" s="294"/>
      <c r="T229" s="294"/>
      <c r="U229" s="294"/>
      <c r="V229" s="294"/>
      <c r="W229" s="294"/>
      <c r="X229" s="294"/>
      <c r="Y229" s="294"/>
      <c r="Z229" s="294"/>
      <c r="AA229" s="294"/>
      <c r="AB229" s="294"/>
      <c r="AC229" s="294"/>
      <c r="AD229" s="294"/>
      <c r="AE229" s="294"/>
      <c r="AF229" s="294"/>
      <c r="AG229" s="294"/>
      <c r="AH229" s="294"/>
      <c r="AI229" s="294"/>
      <c r="AJ229" s="294"/>
      <c r="AK229" s="294"/>
      <c r="AL229" s="294"/>
      <c r="AM229" s="294"/>
      <c r="AN229" s="294"/>
      <c r="AO229" s="294"/>
      <c r="AP229" s="294"/>
      <c r="AQ229" s="294"/>
      <c r="AR229" s="294"/>
      <c r="AS229" s="294"/>
      <c r="AT229" s="294"/>
      <c r="AU229" s="294"/>
      <c r="AV229" s="294"/>
      <c r="AW229" s="294"/>
      <c r="AX229" s="294"/>
      <c r="AY229" s="294"/>
      <c r="AZ229" s="294"/>
      <c r="BA229" s="294"/>
      <c r="BB229" s="294"/>
      <c r="BC229" s="294"/>
      <c r="BD229" s="294"/>
      <c r="BE229" s="294"/>
      <c r="BF229" s="294"/>
      <c r="BG229" s="294"/>
      <c r="BH229" s="294"/>
      <c r="BI229" s="294"/>
      <c r="BJ229" s="294"/>
      <c r="BK229" s="294"/>
      <c r="BL229" s="294"/>
      <c r="BM229" s="294"/>
    </row>
    <row r="230" spans="1:65" x14ac:dyDescent="0.25">
      <c r="A230" s="294"/>
      <c r="B230" s="294"/>
      <c r="C230" s="294"/>
      <c r="D230" s="294"/>
      <c r="E230" s="294"/>
      <c r="F230" s="294"/>
      <c r="G230" s="294"/>
      <c r="H230" s="294"/>
      <c r="I230" s="294"/>
      <c r="J230" s="294"/>
      <c r="K230" s="294"/>
      <c r="L230" s="294"/>
      <c r="M230" s="294"/>
      <c r="N230" s="294"/>
      <c r="O230" s="294"/>
      <c r="P230" s="294"/>
      <c r="Q230" s="294"/>
      <c r="R230" s="294"/>
      <c r="S230" s="294"/>
      <c r="T230" s="294"/>
      <c r="U230" s="294"/>
      <c r="V230" s="294"/>
      <c r="W230" s="294"/>
      <c r="X230" s="294"/>
      <c r="Y230" s="294"/>
      <c r="Z230" s="294"/>
      <c r="AA230" s="294"/>
      <c r="AB230" s="294"/>
      <c r="AC230" s="294"/>
      <c r="AD230" s="294"/>
      <c r="AE230" s="294"/>
      <c r="AF230" s="294"/>
      <c r="AG230" s="294"/>
      <c r="AH230" s="294"/>
      <c r="AI230" s="294"/>
      <c r="AJ230" s="294"/>
      <c r="AK230" s="294"/>
      <c r="AL230" s="294"/>
      <c r="AM230" s="294"/>
      <c r="AN230" s="294"/>
      <c r="AO230" s="294"/>
      <c r="AP230" s="294"/>
      <c r="AQ230" s="294"/>
      <c r="AR230" s="294"/>
      <c r="AS230" s="294"/>
      <c r="AT230" s="294"/>
      <c r="AU230" s="294"/>
      <c r="AV230" s="294"/>
      <c r="AW230" s="294"/>
      <c r="AX230" s="294"/>
      <c r="AY230" s="294"/>
      <c r="AZ230" s="294"/>
      <c r="BA230" s="294"/>
      <c r="BB230" s="294"/>
      <c r="BC230" s="294"/>
      <c r="BD230" s="294"/>
      <c r="BE230" s="294"/>
      <c r="BF230" s="294"/>
      <c r="BG230" s="294"/>
      <c r="BH230" s="294"/>
      <c r="BI230" s="294"/>
      <c r="BJ230" s="294"/>
      <c r="BK230" s="294"/>
      <c r="BL230" s="294"/>
      <c r="BM230" s="294"/>
    </row>
    <row r="231" spans="1:65" x14ac:dyDescent="0.25">
      <c r="A231" s="294"/>
      <c r="B231" s="294"/>
      <c r="C231" s="294"/>
      <c r="D231" s="294"/>
      <c r="E231" s="294"/>
      <c r="F231" s="294"/>
      <c r="G231" s="294"/>
      <c r="H231" s="294"/>
      <c r="I231" s="294"/>
      <c r="J231" s="294"/>
      <c r="K231" s="294"/>
      <c r="L231" s="294"/>
      <c r="M231" s="294"/>
      <c r="N231" s="294"/>
      <c r="O231" s="294"/>
      <c r="P231" s="294"/>
      <c r="Q231" s="294"/>
      <c r="R231" s="294"/>
      <c r="S231" s="294"/>
      <c r="T231" s="294"/>
      <c r="U231" s="294"/>
      <c r="V231" s="294"/>
      <c r="W231" s="294"/>
      <c r="X231" s="294"/>
      <c r="Y231" s="294"/>
      <c r="Z231" s="294"/>
      <c r="AA231" s="294"/>
      <c r="AB231" s="294"/>
      <c r="AC231" s="294"/>
      <c r="AD231" s="294"/>
      <c r="AE231" s="294"/>
      <c r="AF231" s="294"/>
      <c r="AG231" s="294"/>
      <c r="AH231" s="294"/>
      <c r="AI231" s="294"/>
      <c r="AJ231" s="294"/>
      <c r="AK231" s="294"/>
      <c r="AL231" s="294"/>
      <c r="AM231" s="294"/>
      <c r="AN231" s="294"/>
      <c r="AO231" s="294"/>
      <c r="AP231" s="294"/>
      <c r="AQ231" s="294"/>
      <c r="AR231" s="294"/>
      <c r="AS231" s="294"/>
      <c r="AT231" s="294"/>
      <c r="AU231" s="294"/>
      <c r="AV231" s="294"/>
      <c r="AW231" s="294"/>
      <c r="AX231" s="294"/>
      <c r="AY231" s="294"/>
      <c r="AZ231" s="294"/>
      <c r="BA231" s="294"/>
      <c r="BB231" s="294"/>
      <c r="BC231" s="294"/>
      <c r="BD231" s="294"/>
      <c r="BE231" s="294"/>
      <c r="BF231" s="294"/>
      <c r="BG231" s="294"/>
      <c r="BH231" s="294"/>
      <c r="BI231" s="294"/>
      <c r="BJ231" s="294"/>
      <c r="BK231" s="294"/>
      <c r="BL231" s="294"/>
      <c r="BM231" s="294"/>
    </row>
    <row r="232" spans="1:65" x14ac:dyDescent="0.25">
      <c r="A232" s="294"/>
      <c r="B232" s="294"/>
      <c r="C232" s="294"/>
      <c r="D232" s="294"/>
      <c r="E232" s="294"/>
      <c r="F232" s="294"/>
      <c r="G232" s="294"/>
      <c r="H232" s="294"/>
      <c r="I232" s="294"/>
      <c r="J232" s="294"/>
      <c r="K232" s="294"/>
      <c r="L232" s="294"/>
      <c r="M232" s="294"/>
      <c r="N232" s="294"/>
      <c r="O232" s="294"/>
      <c r="P232" s="294"/>
      <c r="Q232" s="294"/>
      <c r="R232" s="294"/>
      <c r="S232" s="294"/>
      <c r="T232" s="294"/>
      <c r="U232" s="294"/>
      <c r="V232" s="294"/>
      <c r="W232" s="294"/>
      <c r="X232" s="294"/>
      <c r="Y232" s="294"/>
      <c r="Z232" s="294"/>
      <c r="AA232" s="294"/>
      <c r="AB232" s="294"/>
      <c r="AC232" s="294"/>
      <c r="AD232" s="294"/>
      <c r="AE232" s="294"/>
      <c r="AF232" s="294"/>
      <c r="AG232" s="294"/>
      <c r="AH232" s="294"/>
      <c r="AI232" s="294"/>
      <c r="AJ232" s="294"/>
      <c r="AK232" s="294"/>
      <c r="AL232" s="294"/>
      <c r="AM232" s="294"/>
      <c r="AN232" s="294"/>
      <c r="AO232" s="294"/>
      <c r="AP232" s="294"/>
      <c r="AQ232" s="294"/>
      <c r="AR232" s="294"/>
      <c r="AS232" s="294"/>
      <c r="AT232" s="294"/>
      <c r="AU232" s="294"/>
      <c r="AV232" s="294"/>
      <c r="AW232" s="294"/>
      <c r="AX232" s="294"/>
      <c r="AY232" s="294"/>
      <c r="AZ232" s="294"/>
      <c r="BA232" s="294"/>
      <c r="BB232" s="294"/>
      <c r="BC232" s="294"/>
      <c r="BD232" s="294"/>
      <c r="BE232" s="294"/>
      <c r="BF232" s="294"/>
      <c r="BG232" s="294"/>
      <c r="BH232" s="294"/>
      <c r="BI232" s="294"/>
      <c r="BJ232" s="294"/>
      <c r="BK232" s="294"/>
      <c r="BL232" s="294"/>
      <c r="BM232" s="294"/>
    </row>
    <row r="233" spans="1:65" x14ac:dyDescent="0.25">
      <c r="A233" s="294"/>
      <c r="B233" s="294"/>
      <c r="C233" s="294"/>
      <c r="D233" s="294"/>
      <c r="E233" s="294"/>
      <c r="F233" s="294"/>
      <c r="G233" s="294"/>
      <c r="H233" s="294"/>
      <c r="I233" s="294"/>
      <c r="J233" s="294"/>
      <c r="K233" s="294"/>
      <c r="L233" s="294"/>
      <c r="M233" s="294"/>
      <c r="N233" s="294"/>
      <c r="O233" s="294"/>
      <c r="P233" s="294"/>
      <c r="Q233" s="294"/>
      <c r="R233" s="294"/>
      <c r="S233" s="294"/>
      <c r="T233" s="294"/>
      <c r="U233" s="294"/>
      <c r="V233" s="294"/>
      <c r="W233" s="294"/>
      <c r="X233" s="294"/>
      <c r="Y233" s="294"/>
      <c r="Z233" s="294"/>
      <c r="AA233" s="294"/>
      <c r="AB233" s="294"/>
      <c r="AC233" s="294"/>
      <c r="AD233" s="294"/>
      <c r="AE233" s="294"/>
      <c r="AF233" s="294"/>
      <c r="AG233" s="294"/>
      <c r="AH233" s="294"/>
      <c r="AI233" s="294"/>
      <c r="AJ233" s="294"/>
      <c r="AK233" s="294"/>
      <c r="AL233" s="294"/>
      <c r="AM233" s="294"/>
      <c r="AN233" s="294"/>
      <c r="AO233" s="294"/>
      <c r="AP233" s="294"/>
      <c r="AQ233" s="294"/>
      <c r="AR233" s="294"/>
      <c r="AS233" s="294"/>
      <c r="AT233" s="294"/>
      <c r="AU233" s="294"/>
      <c r="AV233" s="294"/>
      <c r="AW233" s="294"/>
      <c r="AX233" s="294"/>
      <c r="AY233" s="294"/>
      <c r="AZ233" s="294"/>
      <c r="BA233" s="294"/>
      <c r="BB233" s="294"/>
      <c r="BC233" s="294"/>
      <c r="BD233" s="294"/>
      <c r="BE233" s="294"/>
      <c r="BF233" s="294"/>
      <c r="BG233" s="294"/>
      <c r="BH233" s="294"/>
      <c r="BI233" s="294"/>
      <c r="BJ233" s="294"/>
      <c r="BK233" s="294"/>
      <c r="BL233" s="294"/>
      <c r="BM233" s="294"/>
    </row>
    <row r="234" spans="1:65" x14ac:dyDescent="0.25">
      <c r="A234" s="294"/>
      <c r="B234" s="294"/>
      <c r="C234" s="294"/>
      <c r="D234" s="294"/>
      <c r="E234" s="294"/>
      <c r="F234" s="294"/>
      <c r="G234" s="294"/>
      <c r="H234" s="294"/>
      <c r="I234" s="294"/>
      <c r="J234" s="294"/>
      <c r="K234" s="294"/>
      <c r="L234" s="294"/>
      <c r="M234" s="294"/>
      <c r="N234" s="294"/>
      <c r="O234" s="294"/>
      <c r="P234" s="294"/>
      <c r="Q234" s="294"/>
      <c r="R234" s="294"/>
      <c r="S234" s="294"/>
      <c r="T234" s="294"/>
      <c r="U234" s="294"/>
      <c r="V234" s="294"/>
      <c r="W234" s="294"/>
      <c r="X234" s="294"/>
      <c r="Y234" s="294"/>
      <c r="Z234" s="294"/>
      <c r="AA234" s="294"/>
      <c r="AB234" s="294"/>
      <c r="AC234" s="294"/>
      <c r="AD234" s="294"/>
      <c r="AE234" s="294"/>
      <c r="AF234" s="294"/>
      <c r="AG234" s="294"/>
      <c r="AH234" s="294"/>
      <c r="AI234" s="294"/>
      <c r="AJ234" s="294"/>
      <c r="AK234" s="294"/>
      <c r="AL234" s="294"/>
      <c r="AM234" s="294"/>
      <c r="AN234" s="294"/>
      <c r="AO234" s="294"/>
      <c r="AP234" s="294"/>
      <c r="AQ234" s="294"/>
      <c r="AR234" s="294"/>
      <c r="AS234" s="294"/>
      <c r="AT234" s="294"/>
      <c r="AU234" s="294"/>
      <c r="AV234" s="294"/>
      <c r="AW234" s="294"/>
      <c r="AX234" s="294"/>
      <c r="AY234" s="294"/>
      <c r="AZ234" s="294"/>
      <c r="BA234" s="294"/>
      <c r="BB234" s="294"/>
      <c r="BC234" s="294"/>
      <c r="BD234" s="294"/>
      <c r="BE234" s="294"/>
      <c r="BF234" s="294"/>
      <c r="BG234" s="294"/>
      <c r="BH234" s="294"/>
      <c r="BI234" s="294"/>
      <c r="BJ234" s="294"/>
      <c r="BK234" s="294"/>
      <c r="BL234" s="294"/>
      <c r="BM234" s="294"/>
    </row>
    <row r="235" spans="1:65" x14ac:dyDescent="0.25">
      <c r="A235" s="294"/>
      <c r="B235" s="294"/>
      <c r="C235" s="294"/>
      <c r="D235" s="294"/>
      <c r="E235" s="294"/>
      <c r="F235" s="294"/>
      <c r="G235" s="294"/>
      <c r="H235" s="294"/>
      <c r="I235" s="294"/>
      <c r="J235" s="294"/>
      <c r="K235" s="294"/>
      <c r="L235" s="294"/>
      <c r="M235" s="294"/>
      <c r="N235" s="294"/>
      <c r="O235" s="294"/>
      <c r="P235" s="294"/>
      <c r="Q235" s="294"/>
      <c r="R235" s="294"/>
      <c r="S235" s="294"/>
      <c r="T235" s="294"/>
      <c r="U235" s="294"/>
      <c r="V235" s="294"/>
      <c r="W235" s="294"/>
      <c r="X235" s="294"/>
      <c r="Y235" s="294"/>
      <c r="Z235" s="294"/>
      <c r="AA235" s="294"/>
      <c r="AB235" s="294"/>
      <c r="AC235" s="294"/>
      <c r="AD235" s="294"/>
      <c r="AE235" s="294"/>
      <c r="AF235" s="294"/>
      <c r="AG235" s="294"/>
      <c r="AH235" s="294"/>
      <c r="AI235" s="294"/>
      <c r="AJ235" s="294"/>
      <c r="AK235" s="294"/>
      <c r="AL235" s="294"/>
      <c r="AM235" s="294"/>
      <c r="AN235" s="294"/>
      <c r="AO235" s="294"/>
      <c r="AP235" s="294"/>
      <c r="AQ235" s="294"/>
      <c r="AR235" s="294"/>
      <c r="AS235" s="294"/>
      <c r="AT235" s="294"/>
      <c r="AU235" s="294"/>
      <c r="AV235" s="294"/>
      <c r="AW235" s="294"/>
      <c r="AX235" s="294"/>
      <c r="AY235" s="294"/>
      <c r="AZ235" s="294"/>
      <c r="BA235" s="294"/>
      <c r="BB235" s="294"/>
      <c r="BC235" s="294"/>
      <c r="BD235" s="294"/>
      <c r="BE235" s="294"/>
      <c r="BF235" s="294"/>
      <c r="BG235" s="294"/>
      <c r="BH235" s="294"/>
      <c r="BI235" s="294"/>
      <c r="BJ235" s="294"/>
      <c r="BK235" s="294"/>
      <c r="BL235" s="294"/>
      <c r="BM235" s="294"/>
    </row>
    <row r="236" spans="1:65" x14ac:dyDescent="0.25">
      <c r="A236" s="294"/>
      <c r="B236" s="294"/>
      <c r="C236" s="294"/>
      <c r="D236" s="294"/>
      <c r="E236" s="294"/>
      <c r="F236" s="294"/>
      <c r="G236" s="294"/>
      <c r="H236" s="294"/>
      <c r="I236" s="294"/>
      <c r="J236" s="294"/>
      <c r="K236" s="294"/>
      <c r="L236" s="294"/>
      <c r="M236" s="294"/>
      <c r="N236" s="294"/>
      <c r="O236" s="294"/>
      <c r="P236" s="294"/>
      <c r="Q236" s="294"/>
      <c r="R236" s="294"/>
      <c r="S236" s="294"/>
      <c r="T236" s="294"/>
      <c r="U236" s="294"/>
      <c r="V236" s="294"/>
      <c r="W236" s="294"/>
      <c r="X236" s="294"/>
      <c r="Y236" s="294"/>
      <c r="Z236" s="294"/>
      <c r="AA236" s="294"/>
      <c r="AB236" s="294"/>
      <c r="AC236" s="294"/>
      <c r="AD236" s="294"/>
      <c r="AE236" s="294"/>
      <c r="AF236" s="294"/>
      <c r="AG236" s="294"/>
      <c r="AH236" s="294"/>
      <c r="AI236" s="294"/>
      <c r="AJ236" s="294"/>
      <c r="AK236" s="294"/>
      <c r="AL236" s="294"/>
      <c r="AM236" s="294"/>
      <c r="AN236" s="294"/>
      <c r="AO236" s="294"/>
      <c r="AP236" s="294"/>
      <c r="AQ236" s="294"/>
      <c r="AR236" s="294"/>
      <c r="AS236" s="294"/>
      <c r="AT236" s="294"/>
      <c r="AU236" s="294"/>
      <c r="AV236" s="294"/>
      <c r="AW236" s="294"/>
      <c r="AX236" s="294"/>
      <c r="AY236" s="294"/>
      <c r="AZ236" s="294"/>
      <c r="BA236" s="294"/>
      <c r="BB236" s="294"/>
      <c r="BC236" s="294"/>
      <c r="BD236" s="294"/>
      <c r="BE236" s="294"/>
      <c r="BF236" s="294"/>
      <c r="BG236" s="294"/>
      <c r="BH236" s="294"/>
      <c r="BI236" s="294"/>
      <c r="BJ236" s="294"/>
      <c r="BK236" s="294"/>
      <c r="BL236" s="294"/>
      <c r="BM236" s="294"/>
    </row>
    <row r="237" spans="1:65" x14ac:dyDescent="0.25">
      <c r="A237" s="294"/>
      <c r="B237" s="294"/>
      <c r="C237" s="294"/>
      <c r="D237" s="294"/>
      <c r="E237" s="294"/>
      <c r="F237" s="294"/>
      <c r="G237" s="294"/>
      <c r="H237" s="294"/>
      <c r="I237" s="294"/>
      <c r="J237" s="294"/>
      <c r="K237" s="294"/>
      <c r="L237" s="294"/>
      <c r="M237" s="294"/>
      <c r="N237" s="294"/>
      <c r="O237" s="294"/>
      <c r="P237" s="294"/>
      <c r="Q237" s="294"/>
      <c r="R237" s="294"/>
      <c r="S237" s="294"/>
      <c r="T237" s="294"/>
      <c r="U237" s="294"/>
      <c r="V237" s="294"/>
      <c r="W237" s="294"/>
      <c r="X237" s="294"/>
      <c r="Y237" s="294"/>
      <c r="Z237" s="294"/>
      <c r="AA237" s="294"/>
      <c r="AB237" s="294"/>
      <c r="AC237" s="294"/>
      <c r="AD237" s="294"/>
      <c r="AE237" s="294"/>
      <c r="AF237" s="294"/>
      <c r="AG237" s="294"/>
      <c r="AH237" s="294"/>
      <c r="AI237" s="294"/>
      <c r="AJ237" s="294"/>
      <c r="AK237" s="294"/>
      <c r="AL237" s="294"/>
      <c r="AM237" s="294"/>
      <c r="AN237" s="294"/>
      <c r="AO237" s="294"/>
      <c r="AP237" s="294"/>
      <c r="AQ237" s="294"/>
      <c r="AR237" s="294"/>
      <c r="AS237" s="294"/>
      <c r="AT237" s="294"/>
      <c r="AU237" s="294"/>
      <c r="AV237" s="294"/>
      <c r="AW237" s="294"/>
      <c r="AX237" s="294"/>
      <c r="AY237" s="294"/>
      <c r="AZ237" s="294"/>
      <c r="BA237" s="294"/>
      <c r="BB237" s="294"/>
      <c r="BC237" s="294"/>
      <c r="BD237" s="294"/>
      <c r="BE237" s="294"/>
      <c r="BF237" s="294"/>
      <c r="BG237" s="294"/>
      <c r="BH237" s="294"/>
      <c r="BI237" s="294"/>
      <c r="BJ237" s="294"/>
      <c r="BK237" s="294"/>
      <c r="BL237" s="294"/>
      <c r="BM237" s="294"/>
    </row>
    <row r="238" spans="1:65" x14ac:dyDescent="0.25">
      <c r="A238" s="294"/>
      <c r="B238" s="294"/>
      <c r="C238" s="294"/>
      <c r="D238" s="294"/>
      <c r="E238" s="294"/>
      <c r="F238" s="294"/>
      <c r="G238" s="294"/>
      <c r="H238" s="294"/>
      <c r="I238" s="294"/>
      <c r="J238" s="294"/>
      <c r="K238" s="294"/>
      <c r="L238" s="294"/>
      <c r="M238" s="294"/>
      <c r="N238" s="294"/>
      <c r="O238" s="294"/>
      <c r="P238" s="294"/>
      <c r="Q238" s="294"/>
      <c r="R238" s="294"/>
      <c r="S238" s="294"/>
      <c r="T238" s="294"/>
      <c r="U238" s="294"/>
      <c r="V238" s="294"/>
      <c r="W238" s="294"/>
      <c r="X238" s="294"/>
      <c r="Y238" s="294"/>
      <c r="Z238" s="294"/>
      <c r="AA238" s="294"/>
      <c r="AB238" s="294"/>
      <c r="AC238" s="294"/>
      <c r="AD238" s="294"/>
      <c r="AE238" s="294"/>
      <c r="AF238" s="294"/>
      <c r="AG238" s="294"/>
      <c r="AH238" s="294"/>
      <c r="AI238" s="294"/>
      <c r="AJ238" s="294"/>
      <c r="AK238" s="294"/>
      <c r="AL238" s="294"/>
      <c r="AM238" s="294"/>
      <c r="AN238" s="294"/>
      <c r="AO238" s="294"/>
      <c r="AP238" s="294"/>
      <c r="AQ238" s="294"/>
      <c r="AR238" s="294"/>
      <c r="AS238" s="294"/>
      <c r="AT238" s="294"/>
      <c r="AU238" s="294"/>
      <c r="AV238" s="294"/>
      <c r="AW238" s="294"/>
      <c r="AX238" s="294"/>
      <c r="AY238" s="294"/>
      <c r="AZ238" s="294"/>
      <c r="BA238" s="294"/>
      <c r="BB238" s="294"/>
      <c r="BC238" s="294"/>
      <c r="BD238" s="294"/>
      <c r="BE238" s="294"/>
      <c r="BF238" s="294"/>
      <c r="BG238" s="294"/>
      <c r="BH238" s="294"/>
      <c r="BI238" s="294"/>
      <c r="BJ238" s="294"/>
      <c r="BK238" s="294"/>
      <c r="BL238" s="294"/>
      <c r="BM238" s="294"/>
    </row>
    <row r="239" spans="1:65" x14ac:dyDescent="0.25">
      <c r="A239" s="294"/>
      <c r="B239" s="294"/>
      <c r="C239" s="294"/>
      <c r="D239" s="294"/>
      <c r="E239" s="294"/>
      <c r="F239" s="294"/>
      <c r="G239" s="294"/>
      <c r="H239" s="294"/>
      <c r="I239" s="294"/>
      <c r="J239" s="294"/>
      <c r="K239" s="294"/>
      <c r="L239" s="294"/>
      <c r="M239" s="294"/>
      <c r="N239" s="294"/>
      <c r="O239" s="294"/>
      <c r="P239" s="294"/>
      <c r="Q239" s="294"/>
      <c r="R239" s="294"/>
      <c r="S239" s="294"/>
      <c r="T239" s="294"/>
      <c r="U239" s="294"/>
      <c r="V239" s="294"/>
      <c r="W239" s="294"/>
      <c r="X239" s="294"/>
      <c r="Y239" s="294"/>
      <c r="Z239" s="294"/>
      <c r="AA239" s="294"/>
      <c r="AB239" s="294"/>
      <c r="AC239" s="294"/>
      <c r="AD239" s="294"/>
      <c r="AE239" s="294"/>
      <c r="AF239" s="294"/>
      <c r="AG239" s="294"/>
      <c r="AH239" s="294"/>
      <c r="AI239" s="294"/>
      <c r="AJ239" s="294"/>
      <c r="AK239" s="294"/>
      <c r="AL239" s="294"/>
      <c r="AM239" s="294"/>
      <c r="AN239" s="294"/>
      <c r="AO239" s="294"/>
      <c r="AP239" s="294"/>
      <c r="AQ239" s="294"/>
      <c r="AR239" s="294"/>
      <c r="AS239" s="294"/>
      <c r="AT239" s="294"/>
      <c r="AU239" s="294"/>
      <c r="AV239" s="294"/>
      <c r="AW239" s="294"/>
      <c r="AX239" s="294"/>
      <c r="AY239" s="294"/>
      <c r="AZ239" s="294"/>
      <c r="BA239" s="294"/>
      <c r="BB239" s="294"/>
      <c r="BC239" s="294"/>
      <c r="BD239" s="294"/>
      <c r="BE239" s="294"/>
      <c r="BF239" s="294"/>
      <c r="BG239" s="294"/>
      <c r="BH239" s="294"/>
      <c r="BI239" s="294"/>
      <c r="BJ239" s="294"/>
      <c r="BK239" s="294"/>
      <c r="BL239" s="294"/>
      <c r="BM239" s="294"/>
    </row>
    <row r="240" spans="1:65" x14ac:dyDescent="0.25">
      <c r="A240" s="294"/>
      <c r="B240" s="294"/>
      <c r="C240" s="294"/>
      <c r="D240" s="294"/>
      <c r="E240" s="294"/>
      <c r="F240" s="294"/>
      <c r="G240" s="294"/>
      <c r="H240" s="294"/>
      <c r="I240" s="294"/>
      <c r="J240" s="294"/>
      <c r="K240" s="294"/>
      <c r="L240" s="294"/>
      <c r="M240" s="294"/>
      <c r="N240" s="294"/>
      <c r="O240" s="294"/>
      <c r="P240" s="294"/>
      <c r="Q240" s="294"/>
      <c r="R240" s="294"/>
      <c r="S240" s="294"/>
      <c r="T240" s="294"/>
      <c r="U240" s="294"/>
      <c r="V240" s="294"/>
      <c r="W240" s="294"/>
      <c r="X240" s="294"/>
      <c r="Y240" s="294"/>
      <c r="Z240" s="294"/>
      <c r="AA240" s="294"/>
      <c r="AB240" s="294"/>
      <c r="AC240" s="294"/>
      <c r="AD240" s="294"/>
      <c r="AE240" s="294"/>
      <c r="AF240" s="294"/>
      <c r="AG240" s="294"/>
      <c r="AH240" s="294"/>
      <c r="AI240" s="294"/>
      <c r="AJ240" s="294"/>
      <c r="AK240" s="294"/>
      <c r="AL240" s="294"/>
      <c r="AM240" s="294"/>
      <c r="AN240" s="294"/>
      <c r="AO240" s="294"/>
      <c r="AP240" s="294"/>
      <c r="AQ240" s="294"/>
      <c r="AR240" s="294"/>
      <c r="AS240" s="294"/>
      <c r="AT240" s="294"/>
      <c r="AU240" s="294"/>
      <c r="AV240" s="294"/>
      <c r="AW240" s="294"/>
      <c r="AX240" s="294"/>
      <c r="AY240" s="294"/>
      <c r="AZ240" s="294"/>
      <c r="BA240" s="294"/>
      <c r="BB240" s="294"/>
      <c r="BC240" s="294"/>
      <c r="BD240" s="294"/>
      <c r="BE240" s="294"/>
      <c r="BF240" s="294"/>
      <c r="BG240" s="294"/>
      <c r="BH240" s="294"/>
      <c r="BI240" s="294"/>
      <c r="BJ240" s="294"/>
      <c r="BK240" s="294"/>
      <c r="BL240" s="294"/>
      <c r="BM240" s="294"/>
    </row>
    <row r="241" spans="1:65" x14ac:dyDescent="0.25">
      <c r="A241" s="294"/>
      <c r="B241" s="294"/>
      <c r="C241" s="294"/>
      <c r="D241" s="294"/>
      <c r="E241" s="294"/>
      <c r="F241" s="294"/>
      <c r="G241" s="294"/>
      <c r="H241" s="294"/>
      <c r="I241" s="294"/>
      <c r="J241" s="294"/>
      <c r="K241" s="294"/>
      <c r="L241" s="294"/>
      <c r="M241" s="294"/>
      <c r="N241" s="294"/>
      <c r="O241" s="294"/>
      <c r="P241" s="294"/>
      <c r="Q241" s="294"/>
      <c r="R241" s="294"/>
      <c r="S241" s="294"/>
      <c r="T241" s="294"/>
      <c r="U241" s="294"/>
      <c r="V241" s="294"/>
      <c r="W241" s="294"/>
      <c r="X241" s="294"/>
      <c r="Y241" s="294"/>
      <c r="Z241" s="294"/>
      <c r="AA241" s="294"/>
      <c r="AB241" s="294"/>
      <c r="AC241" s="294"/>
      <c r="AD241" s="294"/>
      <c r="AE241" s="294"/>
      <c r="AF241" s="294"/>
      <c r="AG241" s="294"/>
      <c r="AH241" s="294"/>
      <c r="AI241" s="294"/>
      <c r="AJ241" s="294"/>
      <c r="AK241" s="294"/>
      <c r="AL241" s="294"/>
      <c r="AM241" s="294"/>
      <c r="AN241" s="294"/>
      <c r="AO241" s="294"/>
      <c r="AP241" s="294"/>
      <c r="AQ241" s="294"/>
      <c r="AR241" s="294"/>
      <c r="AS241" s="294"/>
      <c r="AT241" s="294"/>
      <c r="AU241" s="294"/>
      <c r="AV241" s="294"/>
      <c r="AW241" s="294"/>
      <c r="AX241" s="294"/>
      <c r="AY241" s="294"/>
      <c r="AZ241" s="294"/>
      <c r="BA241" s="294"/>
      <c r="BB241" s="294"/>
      <c r="BC241" s="294"/>
      <c r="BD241" s="294"/>
      <c r="BE241" s="294"/>
      <c r="BF241" s="294"/>
      <c r="BG241" s="294"/>
      <c r="BH241" s="294"/>
      <c r="BI241" s="294"/>
      <c r="BJ241" s="294"/>
      <c r="BK241" s="294"/>
      <c r="BL241" s="294"/>
      <c r="BM241" s="294"/>
    </row>
    <row r="242" spans="1:65" x14ac:dyDescent="0.25">
      <c r="A242" s="294"/>
      <c r="B242" s="294"/>
      <c r="C242" s="294"/>
      <c r="D242" s="294"/>
      <c r="E242" s="294"/>
      <c r="F242" s="294"/>
      <c r="G242" s="294"/>
      <c r="H242" s="294"/>
      <c r="I242" s="294"/>
      <c r="J242" s="294"/>
      <c r="K242" s="294"/>
      <c r="L242" s="294"/>
      <c r="M242" s="294"/>
      <c r="N242" s="294"/>
      <c r="O242" s="294"/>
      <c r="P242" s="294"/>
      <c r="Q242" s="294"/>
      <c r="R242" s="294"/>
      <c r="S242" s="294"/>
      <c r="T242" s="294"/>
      <c r="U242" s="294"/>
      <c r="V242" s="294"/>
      <c r="W242" s="294"/>
      <c r="X242" s="294"/>
      <c r="Y242" s="294"/>
      <c r="Z242" s="294"/>
      <c r="AA242" s="294"/>
      <c r="AB242" s="294"/>
      <c r="AC242" s="294"/>
      <c r="AD242" s="294"/>
      <c r="AE242" s="294"/>
      <c r="AF242" s="294"/>
      <c r="AG242" s="294"/>
      <c r="AH242" s="294"/>
      <c r="AI242" s="294"/>
      <c r="AJ242" s="294"/>
      <c r="AK242" s="294"/>
      <c r="AL242" s="294"/>
      <c r="AM242" s="294"/>
      <c r="AN242" s="294"/>
      <c r="AO242" s="294"/>
      <c r="AP242" s="294"/>
      <c r="AQ242" s="294"/>
      <c r="AR242" s="294"/>
      <c r="AS242" s="294"/>
      <c r="AT242" s="294"/>
      <c r="AU242" s="294"/>
      <c r="AV242" s="294"/>
      <c r="AW242" s="294"/>
      <c r="AX242" s="294"/>
      <c r="AY242" s="294"/>
      <c r="AZ242" s="294"/>
      <c r="BA242" s="294"/>
      <c r="BB242" s="294"/>
      <c r="BC242" s="294"/>
      <c r="BD242" s="294"/>
      <c r="BE242" s="294"/>
      <c r="BF242" s="294"/>
      <c r="BG242" s="294"/>
      <c r="BH242" s="294"/>
      <c r="BI242" s="294"/>
      <c r="BJ242" s="294"/>
      <c r="BK242" s="294"/>
      <c r="BL242" s="294"/>
      <c r="BM242" s="294"/>
    </row>
    <row r="243" spans="1:65" x14ac:dyDescent="0.25">
      <c r="A243" s="294"/>
      <c r="B243" s="294"/>
      <c r="C243" s="294"/>
      <c r="D243" s="294"/>
      <c r="E243" s="294"/>
      <c r="F243" s="294"/>
      <c r="G243" s="294"/>
      <c r="H243" s="294"/>
      <c r="I243" s="294"/>
      <c r="J243" s="294"/>
      <c r="K243" s="294"/>
      <c r="L243" s="294"/>
      <c r="M243" s="294"/>
      <c r="N243" s="294"/>
      <c r="O243" s="294"/>
      <c r="P243" s="294"/>
      <c r="Q243" s="294"/>
      <c r="R243" s="294"/>
      <c r="S243" s="294"/>
      <c r="T243" s="294"/>
      <c r="U243" s="294"/>
      <c r="V243" s="294"/>
      <c r="W243" s="294"/>
      <c r="X243" s="294"/>
      <c r="Y243" s="294"/>
      <c r="Z243" s="294"/>
      <c r="AA243" s="294"/>
      <c r="AB243" s="294"/>
      <c r="AC243" s="294"/>
      <c r="AD243" s="294"/>
      <c r="AE243" s="294"/>
      <c r="AF243" s="294"/>
      <c r="AG243" s="294"/>
      <c r="AH243" s="294"/>
      <c r="AI243" s="294"/>
      <c r="AJ243" s="294"/>
      <c r="AK243" s="294"/>
      <c r="AL243" s="294"/>
      <c r="AM243" s="294"/>
      <c r="AN243" s="294"/>
      <c r="AO243" s="294"/>
      <c r="AP243" s="294"/>
      <c r="AQ243" s="294"/>
      <c r="AR243" s="294"/>
      <c r="AS243" s="294"/>
      <c r="AT243" s="294"/>
      <c r="AU243" s="294"/>
      <c r="AV243" s="294"/>
      <c r="AW243" s="294"/>
      <c r="AX243" s="294"/>
      <c r="AY243" s="294"/>
      <c r="AZ243" s="294"/>
      <c r="BA243" s="294"/>
      <c r="BB243" s="294"/>
      <c r="BC243" s="294"/>
      <c r="BD243" s="294"/>
      <c r="BE243" s="294"/>
      <c r="BF243" s="294"/>
      <c r="BG243" s="294"/>
      <c r="BH243" s="294"/>
      <c r="BI243" s="294"/>
      <c r="BJ243" s="294"/>
      <c r="BK243" s="294"/>
      <c r="BL243" s="294"/>
      <c r="BM243" s="294"/>
    </row>
    <row r="244" spans="1:65" x14ac:dyDescent="0.25">
      <c r="A244" s="294"/>
      <c r="B244" s="294"/>
      <c r="C244" s="294"/>
      <c r="D244" s="294"/>
      <c r="E244" s="294"/>
      <c r="F244" s="294"/>
      <c r="G244" s="294"/>
      <c r="H244" s="294"/>
      <c r="I244" s="294"/>
      <c r="J244" s="294"/>
      <c r="K244" s="294"/>
      <c r="L244" s="294"/>
      <c r="M244" s="294"/>
      <c r="N244" s="294"/>
      <c r="O244" s="294"/>
      <c r="P244" s="294"/>
      <c r="Q244" s="294"/>
      <c r="R244" s="294"/>
      <c r="S244" s="294"/>
      <c r="T244" s="294"/>
      <c r="U244" s="294"/>
      <c r="V244" s="294"/>
      <c r="W244" s="294"/>
      <c r="X244" s="294"/>
      <c r="Y244" s="294"/>
      <c r="Z244" s="294"/>
      <c r="AA244" s="294"/>
      <c r="AB244" s="294"/>
      <c r="AC244" s="294"/>
      <c r="AD244" s="294"/>
      <c r="AE244" s="294"/>
      <c r="AF244" s="294"/>
      <c r="AG244" s="294"/>
      <c r="AH244" s="294"/>
      <c r="AI244" s="294"/>
      <c r="AJ244" s="294"/>
      <c r="AK244" s="294"/>
      <c r="AL244" s="294"/>
      <c r="AM244" s="294"/>
      <c r="AN244" s="294"/>
      <c r="AO244" s="294"/>
      <c r="AP244" s="294"/>
      <c r="AQ244" s="294"/>
      <c r="AR244" s="294"/>
      <c r="AS244" s="294"/>
      <c r="AT244" s="294"/>
      <c r="AU244" s="294"/>
      <c r="AV244" s="294"/>
      <c r="AW244" s="294"/>
      <c r="AX244" s="294"/>
      <c r="AY244" s="294"/>
      <c r="AZ244" s="294"/>
      <c r="BA244" s="294"/>
      <c r="BB244" s="294"/>
      <c r="BC244" s="294"/>
      <c r="BD244" s="294"/>
      <c r="BE244" s="294"/>
      <c r="BF244" s="294"/>
      <c r="BG244" s="294"/>
      <c r="BH244" s="294"/>
      <c r="BI244" s="294"/>
      <c r="BJ244" s="294"/>
      <c r="BK244" s="294"/>
      <c r="BL244" s="294"/>
      <c r="BM244" s="294"/>
    </row>
    <row r="245" spans="1:65" x14ac:dyDescent="0.25">
      <c r="A245" s="294"/>
      <c r="B245" s="294"/>
      <c r="C245" s="294"/>
      <c r="D245" s="294"/>
      <c r="E245" s="294"/>
      <c r="F245" s="294"/>
      <c r="G245" s="294"/>
      <c r="H245" s="294"/>
      <c r="I245" s="294"/>
      <c r="J245" s="294"/>
      <c r="K245" s="294"/>
      <c r="L245" s="294"/>
      <c r="M245" s="294"/>
      <c r="N245" s="294"/>
      <c r="O245" s="294"/>
      <c r="P245" s="294"/>
      <c r="Q245" s="294"/>
      <c r="R245" s="294"/>
      <c r="S245" s="294"/>
      <c r="T245" s="294"/>
      <c r="U245" s="294"/>
      <c r="V245" s="294"/>
      <c r="W245" s="294"/>
      <c r="X245" s="294"/>
      <c r="Y245" s="294"/>
      <c r="Z245" s="294"/>
      <c r="AA245" s="294"/>
      <c r="AB245" s="294"/>
      <c r="AC245" s="294"/>
      <c r="AD245" s="294"/>
      <c r="AE245" s="294"/>
      <c r="AF245" s="294"/>
      <c r="AG245" s="294"/>
      <c r="AH245" s="294"/>
      <c r="AI245" s="294"/>
      <c r="AJ245" s="294"/>
      <c r="AK245" s="294"/>
      <c r="AL245" s="294"/>
      <c r="AM245" s="294"/>
      <c r="AN245" s="294"/>
      <c r="AO245" s="294"/>
      <c r="AP245" s="294"/>
      <c r="AQ245" s="294"/>
      <c r="AR245" s="294"/>
      <c r="AS245" s="294"/>
      <c r="AT245" s="294"/>
      <c r="AU245" s="294"/>
      <c r="AV245" s="294"/>
      <c r="AW245" s="294"/>
      <c r="AX245" s="294"/>
      <c r="AY245" s="294"/>
      <c r="AZ245" s="294"/>
      <c r="BA245" s="294"/>
      <c r="BB245" s="294"/>
      <c r="BC245" s="294"/>
      <c r="BD245" s="294"/>
      <c r="BE245" s="294"/>
      <c r="BF245" s="294"/>
      <c r="BG245" s="294"/>
      <c r="BH245" s="294"/>
      <c r="BI245" s="294"/>
      <c r="BJ245" s="294"/>
      <c r="BK245" s="294"/>
      <c r="BL245" s="294"/>
      <c r="BM245" s="294"/>
    </row>
    <row r="246" spans="1:65" x14ac:dyDescent="0.25">
      <c r="A246" s="294"/>
      <c r="B246" s="294"/>
      <c r="C246" s="294"/>
      <c r="D246" s="294"/>
      <c r="E246" s="294"/>
      <c r="F246" s="294"/>
      <c r="G246" s="294"/>
      <c r="H246" s="294"/>
      <c r="I246" s="294"/>
      <c r="J246" s="294"/>
      <c r="K246" s="294"/>
      <c r="L246" s="294"/>
      <c r="M246" s="294"/>
      <c r="N246" s="294"/>
      <c r="O246" s="294"/>
      <c r="P246" s="294"/>
      <c r="Q246" s="294"/>
      <c r="R246" s="294"/>
      <c r="S246" s="294"/>
      <c r="T246" s="294"/>
      <c r="U246" s="294"/>
      <c r="V246" s="294"/>
      <c r="W246" s="294"/>
      <c r="X246" s="294"/>
      <c r="Y246" s="294"/>
      <c r="Z246" s="294"/>
      <c r="AA246" s="294"/>
      <c r="AB246" s="294"/>
      <c r="AC246" s="294"/>
      <c r="AD246" s="294"/>
      <c r="AE246" s="294"/>
      <c r="AF246" s="294"/>
      <c r="AG246" s="294"/>
      <c r="AH246" s="294"/>
      <c r="AI246" s="294"/>
      <c r="AJ246" s="294"/>
      <c r="AK246" s="294"/>
      <c r="AL246" s="294"/>
      <c r="AM246" s="294"/>
      <c r="AN246" s="294"/>
      <c r="AO246" s="294"/>
      <c r="AP246" s="294"/>
      <c r="AQ246" s="294"/>
      <c r="AR246" s="294"/>
      <c r="AS246" s="294"/>
      <c r="AT246" s="294"/>
      <c r="AU246" s="294"/>
      <c r="AV246" s="294"/>
      <c r="AW246" s="294"/>
      <c r="AX246" s="294"/>
      <c r="AY246" s="294"/>
      <c r="AZ246" s="294"/>
      <c r="BA246" s="294"/>
      <c r="BB246" s="294"/>
      <c r="BC246" s="294"/>
      <c r="BD246" s="294"/>
      <c r="BE246" s="294"/>
      <c r="BF246" s="294"/>
      <c r="BG246" s="294"/>
      <c r="BH246" s="294"/>
      <c r="BI246" s="294"/>
      <c r="BJ246" s="294"/>
      <c r="BK246" s="294"/>
      <c r="BL246" s="294"/>
      <c r="BM246" s="294"/>
    </row>
    <row r="247" spans="1:65" x14ac:dyDescent="0.25">
      <c r="A247" s="294"/>
      <c r="B247" s="294"/>
      <c r="C247" s="294"/>
      <c r="D247" s="294"/>
      <c r="E247" s="294"/>
      <c r="F247" s="294"/>
      <c r="G247" s="294"/>
      <c r="H247" s="294"/>
      <c r="I247" s="294"/>
      <c r="J247" s="294"/>
      <c r="K247" s="294"/>
      <c r="L247" s="294"/>
      <c r="M247" s="294"/>
      <c r="N247" s="294"/>
      <c r="O247" s="294"/>
      <c r="P247" s="294"/>
      <c r="Q247" s="294"/>
      <c r="R247" s="294"/>
      <c r="S247" s="294"/>
      <c r="T247" s="294"/>
      <c r="U247" s="294"/>
      <c r="V247" s="294"/>
      <c r="W247" s="294"/>
      <c r="X247" s="294"/>
      <c r="Y247" s="294"/>
      <c r="Z247" s="294"/>
      <c r="AA247" s="294"/>
      <c r="AB247" s="294"/>
      <c r="AC247" s="294"/>
      <c r="AD247" s="294"/>
      <c r="AE247" s="294"/>
      <c r="AF247" s="294"/>
      <c r="AG247" s="294"/>
      <c r="AH247" s="294"/>
      <c r="AI247" s="294"/>
      <c r="AJ247" s="294"/>
      <c r="AK247" s="294"/>
      <c r="AL247" s="294"/>
      <c r="AM247" s="294"/>
      <c r="AN247" s="294"/>
      <c r="AO247" s="294"/>
      <c r="AP247" s="294"/>
      <c r="AQ247" s="294"/>
      <c r="AR247" s="294"/>
      <c r="AS247" s="294"/>
      <c r="AT247" s="294"/>
      <c r="AU247" s="294"/>
      <c r="AV247" s="294"/>
      <c r="AW247" s="294"/>
      <c r="AX247" s="294"/>
      <c r="AY247" s="294"/>
      <c r="AZ247" s="294"/>
      <c r="BA247" s="294"/>
      <c r="BB247" s="294"/>
      <c r="BC247" s="294"/>
      <c r="BD247" s="294"/>
      <c r="BE247" s="294"/>
      <c r="BF247" s="294"/>
      <c r="BG247" s="294"/>
      <c r="BH247" s="294"/>
      <c r="BI247" s="294"/>
      <c r="BJ247" s="294"/>
      <c r="BK247" s="294"/>
      <c r="BL247" s="294"/>
      <c r="BM247" s="294"/>
    </row>
    <row r="248" spans="1:65" x14ac:dyDescent="0.25">
      <c r="A248" s="294"/>
      <c r="B248" s="294"/>
      <c r="C248" s="294"/>
      <c r="D248" s="294"/>
      <c r="E248" s="294"/>
      <c r="F248" s="294"/>
      <c r="G248" s="294"/>
      <c r="H248" s="294"/>
      <c r="I248" s="294"/>
      <c r="J248" s="294"/>
      <c r="K248" s="294"/>
      <c r="L248" s="294"/>
      <c r="M248" s="294"/>
      <c r="N248" s="294"/>
      <c r="O248" s="294"/>
      <c r="P248" s="294"/>
      <c r="Q248" s="294"/>
      <c r="R248" s="294"/>
      <c r="S248" s="294"/>
      <c r="T248" s="294"/>
      <c r="U248" s="294"/>
      <c r="V248" s="294"/>
      <c r="W248" s="294"/>
      <c r="X248" s="294"/>
      <c r="Y248" s="294"/>
      <c r="Z248" s="294"/>
      <c r="AA248" s="294"/>
      <c r="AB248" s="294"/>
      <c r="AC248" s="294"/>
      <c r="AD248" s="294"/>
      <c r="AE248" s="294"/>
      <c r="AF248" s="294"/>
      <c r="AG248" s="294"/>
      <c r="AH248" s="294"/>
      <c r="AI248" s="294"/>
      <c r="AJ248" s="294"/>
      <c r="AK248" s="294"/>
      <c r="AL248" s="294"/>
      <c r="AM248" s="294"/>
      <c r="AN248" s="294"/>
      <c r="AO248" s="294"/>
      <c r="AP248" s="294"/>
      <c r="AQ248" s="294"/>
      <c r="AR248" s="294"/>
      <c r="AS248" s="294"/>
      <c r="AT248" s="294"/>
      <c r="AU248" s="294"/>
      <c r="AV248" s="294"/>
      <c r="AW248" s="294"/>
      <c r="AX248" s="294"/>
      <c r="AY248" s="294"/>
      <c r="AZ248" s="294"/>
      <c r="BA248" s="294"/>
      <c r="BB248" s="294"/>
      <c r="BC248" s="294"/>
      <c r="BD248" s="294"/>
      <c r="BE248" s="294"/>
      <c r="BF248" s="294"/>
      <c r="BG248" s="294"/>
      <c r="BH248" s="294"/>
      <c r="BI248" s="294"/>
      <c r="BJ248" s="294"/>
      <c r="BK248" s="294"/>
      <c r="BL248" s="294"/>
      <c r="BM248" s="294"/>
    </row>
    <row r="249" spans="1:65" x14ac:dyDescent="0.25">
      <c r="A249" s="294"/>
      <c r="B249" s="294"/>
      <c r="C249" s="294"/>
      <c r="D249" s="294"/>
      <c r="E249" s="294"/>
      <c r="F249" s="294"/>
      <c r="G249" s="294"/>
      <c r="H249" s="294"/>
      <c r="I249" s="294"/>
      <c r="J249" s="294"/>
      <c r="K249" s="294"/>
      <c r="L249" s="294"/>
      <c r="M249" s="294"/>
      <c r="N249" s="294"/>
      <c r="O249" s="294"/>
      <c r="P249" s="294"/>
      <c r="Q249" s="294"/>
      <c r="R249" s="294"/>
      <c r="S249" s="294"/>
      <c r="T249" s="294"/>
      <c r="U249" s="294"/>
      <c r="V249" s="294"/>
      <c r="W249" s="294"/>
      <c r="X249" s="294"/>
      <c r="Y249" s="294"/>
      <c r="Z249" s="294"/>
      <c r="AA249" s="294"/>
      <c r="AB249" s="294"/>
      <c r="AC249" s="294"/>
      <c r="AD249" s="294"/>
      <c r="AE249" s="294"/>
      <c r="AF249" s="294"/>
      <c r="AG249" s="294"/>
      <c r="AH249" s="294"/>
      <c r="AI249" s="294"/>
      <c r="AJ249" s="294"/>
      <c r="AK249" s="294"/>
      <c r="AL249" s="294"/>
      <c r="AM249" s="294"/>
      <c r="AN249" s="294"/>
      <c r="AO249" s="294"/>
      <c r="AP249" s="294"/>
      <c r="AQ249" s="294"/>
      <c r="AR249" s="294"/>
      <c r="AS249" s="294"/>
      <c r="AT249" s="294"/>
      <c r="AU249" s="294"/>
      <c r="AV249" s="294"/>
      <c r="AW249" s="294"/>
      <c r="AX249" s="294"/>
      <c r="AY249" s="294"/>
      <c r="AZ249" s="294"/>
      <c r="BA249" s="294"/>
      <c r="BB249" s="294"/>
      <c r="BC249" s="294"/>
      <c r="BD249" s="294"/>
      <c r="BE249" s="294"/>
      <c r="BF249" s="294"/>
      <c r="BG249" s="294"/>
      <c r="BH249" s="294"/>
      <c r="BI249" s="294"/>
      <c r="BJ249" s="294"/>
      <c r="BK249" s="294"/>
      <c r="BL249" s="294"/>
      <c r="BM249" s="294"/>
    </row>
    <row r="250" spans="1:65" x14ac:dyDescent="0.25">
      <c r="A250" s="294"/>
      <c r="B250" s="294"/>
      <c r="C250" s="294"/>
      <c r="D250" s="294"/>
      <c r="E250" s="294"/>
      <c r="F250" s="294"/>
      <c r="G250" s="294"/>
      <c r="H250" s="294"/>
      <c r="I250" s="294"/>
      <c r="J250" s="294"/>
      <c r="K250" s="294"/>
      <c r="L250" s="294"/>
      <c r="M250" s="294"/>
      <c r="N250" s="294"/>
      <c r="O250" s="294"/>
      <c r="P250" s="294"/>
      <c r="Q250" s="294"/>
      <c r="R250" s="294"/>
      <c r="S250" s="294"/>
      <c r="T250" s="294"/>
      <c r="U250" s="294"/>
      <c r="V250" s="294"/>
      <c r="W250" s="294"/>
      <c r="X250" s="294"/>
      <c r="Y250" s="294"/>
      <c r="Z250" s="294"/>
      <c r="AA250" s="294"/>
      <c r="AB250" s="294"/>
      <c r="AC250" s="294"/>
      <c r="AD250" s="294"/>
      <c r="AE250" s="294"/>
      <c r="AF250" s="294"/>
      <c r="AG250" s="294"/>
      <c r="AH250" s="294"/>
      <c r="AI250" s="294"/>
      <c r="AJ250" s="294"/>
      <c r="AK250" s="294"/>
      <c r="AL250" s="294"/>
      <c r="AM250" s="294"/>
      <c r="AN250" s="294"/>
      <c r="AO250" s="294"/>
      <c r="AP250" s="294"/>
      <c r="AQ250" s="294"/>
      <c r="AR250" s="294"/>
      <c r="AS250" s="294"/>
      <c r="AT250" s="294"/>
      <c r="AU250" s="294"/>
      <c r="AV250" s="294"/>
      <c r="AW250" s="294"/>
      <c r="AX250" s="294"/>
      <c r="AY250" s="294"/>
      <c r="AZ250" s="294"/>
      <c r="BA250" s="294"/>
      <c r="BB250" s="294"/>
      <c r="BC250" s="294"/>
      <c r="BD250" s="294"/>
      <c r="BE250" s="294"/>
      <c r="BF250" s="294"/>
      <c r="BG250" s="294"/>
      <c r="BH250" s="294"/>
      <c r="BI250" s="294"/>
      <c r="BJ250" s="294"/>
      <c r="BK250" s="294"/>
      <c r="BL250" s="294"/>
      <c r="BM250" s="294"/>
    </row>
    <row r="251" spans="1:65" x14ac:dyDescent="0.25">
      <c r="A251" s="294"/>
      <c r="B251" s="294"/>
      <c r="C251" s="294"/>
      <c r="D251" s="294"/>
      <c r="E251" s="294"/>
      <c r="F251" s="294"/>
      <c r="G251" s="294"/>
      <c r="H251" s="294"/>
      <c r="I251" s="294"/>
      <c r="J251" s="294"/>
      <c r="K251" s="294"/>
      <c r="L251" s="294"/>
      <c r="M251" s="294"/>
      <c r="N251" s="294"/>
      <c r="O251" s="294"/>
      <c r="P251" s="294"/>
      <c r="Q251" s="294"/>
      <c r="R251" s="294"/>
      <c r="S251" s="294"/>
      <c r="T251" s="294"/>
      <c r="U251" s="294"/>
      <c r="V251" s="294"/>
      <c r="W251" s="294"/>
      <c r="X251" s="294"/>
      <c r="Y251" s="294"/>
      <c r="Z251" s="294"/>
      <c r="AA251" s="294"/>
      <c r="AB251" s="294"/>
      <c r="AC251" s="294"/>
      <c r="AD251" s="294"/>
      <c r="AE251" s="294"/>
      <c r="AF251" s="294"/>
      <c r="AG251" s="294"/>
      <c r="AH251" s="294"/>
      <c r="AI251" s="294"/>
      <c r="AJ251" s="294"/>
      <c r="AK251" s="294"/>
      <c r="AL251" s="294"/>
      <c r="AM251" s="294"/>
      <c r="AN251" s="294"/>
      <c r="AO251" s="294"/>
      <c r="AP251" s="294"/>
      <c r="AQ251" s="294"/>
      <c r="AR251" s="294"/>
      <c r="AS251" s="294"/>
      <c r="AT251" s="294"/>
      <c r="AU251" s="294"/>
      <c r="AV251" s="294"/>
      <c r="AW251" s="294"/>
      <c r="AX251" s="294"/>
      <c r="AY251" s="294"/>
      <c r="AZ251" s="294"/>
      <c r="BA251" s="294"/>
      <c r="BB251" s="294"/>
      <c r="BC251" s="294"/>
      <c r="BD251" s="294"/>
      <c r="BE251" s="294"/>
      <c r="BF251" s="294"/>
      <c r="BG251" s="294"/>
      <c r="BH251" s="294"/>
      <c r="BI251" s="294"/>
      <c r="BJ251" s="294"/>
      <c r="BK251" s="294"/>
      <c r="BL251" s="294"/>
      <c r="BM251" s="294"/>
    </row>
    <row r="252" spans="1:65" x14ac:dyDescent="0.25">
      <c r="A252" s="294"/>
      <c r="B252" s="294"/>
      <c r="C252" s="294"/>
      <c r="D252" s="294"/>
      <c r="E252" s="294"/>
      <c r="F252" s="294"/>
      <c r="G252" s="294"/>
      <c r="H252" s="294"/>
      <c r="I252" s="294"/>
      <c r="J252" s="294"/>
      <c r="K252" s="294"/>
      <c r="L252" s="294"/>
      <c r="M252" s="294"/>
      <c r="N252" s="294"/>
      <c r="O252" s="294"/>
      <c r="P252" s="294"/>
      <c r="Q252" s="294"/>
      <c r="R252" s="294"/>
      <c r="S252" s="294"/>
      <c r="T252" s="294"/>
      <c r="U252" s="294"/>
      <c r="V252" s="294"/>
      <c r="W252" s="294"/>
      <c r="X252" s="294"/>
      <c r="Y252" s="294"/>
      <c r="Z252" s="294"/>
      <c r="AA252" s="294"/>
      <c r="AB252" s="294"/>
      <c r="AC252" s="294"/>
      <c r="AD252" s="294"/>
      <c r="AE252" s="294"/>
      <c r="AF252" s="294"/>
      <c r="AG252" s="294"/>
      <c r="AH252" s="294"/>
      <c r="AI252" s="294"/>
      <c r="AJ252" s="294"/>
      <c r="AK252" s="294"/>
      <c r="AL252" s="294"/>
      <c r="AM252" s="294"/>
      <c r="AN252" s="294"/>
      <c r="AO252" s="294"/>
      <c r="AP252" s="294"/>
      <c r="AQ252" s="294"/>
      <c r="AR252" s="294"/>
      <c r="AS252" s="294"/>
      <c r="AT252" s="294"/>
      <c r="AU252" s="294"/>
      <c r="AV252" s="294"/>
      <c r="AW252" s="294"/>
      <c r="AX252" s="294"/>
      <c r="AY252" s="294"/>
      <c r="AZ252" s="294"/>
      <c r="BA252" s="294"/>
      <c r="BB252" s="294"/>
      <c r="BC252" s="294"/>
      <c r="BD252" s="294"/>
      <c r="BE252" s="294"/>
      <c r="BF252" s="294"/>
      <c r="BG252" s="294"/>
      <c r="BH252" s="294"/>
      <c r="BI252" s="294"/>
      <c r="BJ252" s="294"/>
      <c r="BK252" s="294"/>
      <c r="BL252" s="294"/>
      <c r="BM252" s="294"/>
    </row>
    <row r="253" spans="1:65" x14ac:dyDescent="0.25">
      <c r="A253" s="294"/>
      <c r="B253" s="294"/>
      <c r="C253" s="294"/>
      <c r="D253" s="294"/>
      <c r="E253" s="294"/>
      <c r="F253" s="294"/>
      <c r="G253" s="294"/>
      <c r="H253" s="294"/>
      <c r="I253" s="294"/>
      <c r="J253" s="294"/>
      <c r="K253" s="294"/>
      <c r="L253" s="294"/>
      <c r="M253" s="294"/>
      <c r="N253" s="294"/>
      <c r="O253" s="294"/>
      <c r="P253" s="294"/>
      <c r="Q253" s="294"/>
      <c r="R253" s="294"/>
      <c r="S253" s="294"/>
      <c r="T253" s="294"/>
      <c r="U253" s="294"/>
      <c r="V253" s="294"/>
      <c r="W253" s="294"/>
      <c r="X253" s="294"/>
      <c r="Y253" s="294"/>
      <c r="Z253" s="294"/>
      <c r="AA253" s="294"/>
      <c r="AB253" s="294"/>
      <c r="AC253" s="294"/>
      <c r="AD253" s="294"/>
      <c r="AE253" s="294"/>
      <c r="AF253" s="294"/>
      <c r="AG253" s="294"/>
      <c r="AH253" s="294"/>
      <c r="AI253" s="294"/>
      <c r="AJ253" s="294"/>
      <c r="AK253" s="294"/>
      <c r="AL253" s="294"/>
      <c r="AM253" s="294"/>
      <c r="AN253" s="294"/>
      <c r="AO253" s="294"/>
      <c r="AP253" s="294"/>
      <c r="AQ253" s="294"/>
      <c r="AR253" s="294"/>
      <c r="AS253" s="294"/>
      <c r="AT253" s="294"/>
      <c r="AU253" s="294"/>
      <c r="AV253" s="294"/>
      <c r="AW253" s="294"/>
      <c r="AX253" s="294"/>
      <c r="AY253" s="294"/>
      <c r="AZ253" s="294"/>
      <c r="BA253" s="294"/>
      <c r="BB253" s="294"/>
      <c r="BC253" s="294"/>
      <c r="BD253" s="294"/>
      <c r="BE253" s="294"/>
      <c r="BF253" s="294"/>
      <c r="BG253" s="294"/>
      <c r="BH253" s="294"/>
      <c r="BI253" s="294"/>
      <c r="BJ253" s="294"/>
      <c r="BK253" s="294"/>
      <c r="BL253" s="294"/>
      <c r="BM253" s="294"/>
    </row>
    <row r="254" spans="1:65" x14ac:dyDescent="0.25">
      <c r="A254" s="294"/>
      <c r="B254" s="294"/>
      <c r="C254" s="294"/>
      <c r="D254" s="294"/>
      <c r="E254" s="294"/>
      <c r="F254" s="294"/>
      <c r="G254" s="294"/>
      <c r="H254" s="294"/>
      <c r="I254" s="294"/>
      <c r="J254" s="294"/>
      <c r="K254" s="294"/>
      <c r="L254" s="294"/>
      <c r="M254" s="294"/>
      <c r="N254" s="294"/>
      <c r="O254" s="294"/>
      <c r="P254" s="294"/>
      <c r="Q254" s="294"/>
      <c r="R254" s="294"/>
      <c r="S254" s="294"/>
      <c r="T254" s="294"/>
      <c r="U254" s="294"/>
      <c r="V254" s="294"/>
      <c r="W254" s="294"/>
      <c r="X254" s="294"/>
      <c r="Y254" s="294"/>
      <c r="Z254" s="294"/>
      <c r="AA254" s="294"/>
      <c r="AB254" s="294"/>
      <c r="AC254" s="294"/>
      <c r="AD254" s="294"/>
      <c r="AE254" s="294"/>
      <c r="AF254" s="294"/>
      <c r="AG254" s="294"/>
      <c r="AH254" s="294"/>
      <c r="AI254" s="294"/>
      <c r="AJ254" s="294"/>
      <c r="AK254" s="294"/>
      <c r="AL254" s="294"/>
      <c r="AM254" s="294"/>
      <c r="AN254" s="294"/>
      <c r="AO254" s="294"/>
      <c r="AP254" s="294"/>
      <c r="AQ254" s="294"/>
      <c r="AR254" s="294"/>
      <c r="AS254" s="294"/>
      <c r="AT254" s="294"/>
      <c r="AU254" s="294"/>
      <c r="AV254" s="294"/>
      <c r="AW254" s="294"/>
      <c r="AX254" s="294"/>
      <c r="AY254" s="294"/>
      <c r="AZ254" s="294"/>
      <c r="BA254" s="294"/>
      <c r="BB254" s="294"/>
      <c r="BC254" s="294"/>
      <c r="BD254" s="294"/>
      <c r="BE254" s="294"/>
      <c r="BF254" s="294"/>
      <c r="BG254" s="294"/>
      <c r="BH254" s="294"/>
      <c r="BI254" s="294"/>
      <c r="BJ254" s="294"/>
      <c r="BK254" s="294"/>
      <c r="BL254" s="294"/>
      <c r="BM254" s="294"/>
    </row>
    <row r="255" spans="1:65" x14ac:dyDescent="0.25">
      <c r="A255" s="294"/>
      <c r="B255" s="294"/>
      <c r="C255" s="294"/>
      <c r="D255" s="294"/>
      <c r="E255" s="294"/>
      <c r="F255" s="294"/>
      <c r="G255" s="294"/>
      <c r="H255" s="294"/>
      <c r="I255" s="294"/>
      <c r="J255" s="294"/>
      <c r="K255" s="294"/>
      <c r="L255" s="294"/>
      <c r="M255" s="294"/>
      <c r="N255" s="294"/>
      <c r="O255" s="294"/>
      <c r="P255" s="294"/>
      <c r="Q255" s="294"/>
      <c r="R255" s="294"/>
      <c r="S255" s="294"/>
      <c r="T255" s="294"/>
      <c r="U255" s="294"/>
      <c r="V255" s="294"/>
      <c r="W255" s="294"/>
      <c r="X255" s="294"/>
      <c r="Y255" s="294"/>
      <c r="Z255" s="294"/>
      <c r="AA255" s="294"/>
      <c r="AB255" s="294"/>
      <c r="AC255" s="294"/>
      <c r="AD255" s="294"/>
      <c r="AE255" s="294"/>
      <c r="AF255" s="294"/>
      <c r="AG255" s="294"/>
      <c r="AH255" s="294"/>
      <c r="AI255" s="294"/>
      <c r="AJ255" s="294"/>
      <c r="AK255" s="294"/>
      <c r="AL255" s="294"/>
      <c r="AM255" s="294"/>
      <c r="AN255" s="294"/>
      <c r="AO255" s="294"/>
      <c r="AP255" s="294"/>
      <c r="AQ255" s="294"/>
      <c r="AR255" s="294"/>
      <c r="AS255" s="294"/>
      <c r="AT255" s="294"/>
      <c r="AU255" s="294"/>
      <c r="AV255" s="294"/>
      <c r="AW255" s="294"/>
      <c r="AX255" s="294"/>
      <c r="AY255" s="294"/>
      <c r="AZ255" s="294"/>
      <c r="BA255" s="294"/>
      <c r="BB255" s="294"/>
      <c r="BC255" s="294"/>
      <c r="BD255" s="294"/>
      <c r="BE255" s="294"/>
      <c r="BF255" s="294"/>
      <c r="BG255" s="294"/>
      <c r="BH255" s="294"/>
      <c r="BI255" s="294"/>
      <c r="BJ255" s="294"/>
      <c r="BK255" s="294"/>
      <c r="BL255" s="294"/>
      <c r="BM255" s="294"/>
    </row>
    <row r="256" spans="1:65" x14ac:dyDescent="0.25">
      <c r="A256" s="294"/>
      <c r="B256" s="294"/>
      <c r="C256" s="294"/>
      <c r="D256" s="294"/>
      <c r="E256" s="294"/>
      <c r="F256" s="294"/>
      <c r="G256" s="294"/>
      <c r="H256" s="294"/>
      <c r="I256" s="294"/>
      <c r="J256" s="294"/>
      <c r="K256" s="294"/>
      <c r="L256" s="294"/>
      <c r="M256" s="294"/>
      <c r="N256" s="294"/>
      <c r="O256" s="294"/>
      <c r="P256" s="294"/>
      <c r="Q256" s="294"/>
      <c r="R256" s="294"/>
      <c r="S256" s="294"/>
      <c r="T256" s="294"/>
      <c r="U256" s="294"/>
      <c r="V256" s="294"/>
      <c r="W256" s="294"/>
      <c r="X256" s="294"/>
      <c r="Y256" s="294"/>
      <c r="Z256" s="294"/>
      <c r="AA256" s="294"/>
      <c r="AB256" s="294"/>
      <c r="AC256" s="294"/>
      <c r="AD256" s="294"/>
      <c r="AE256" s="294"/>
      <c r="AF256" s="294"/>
      <c r="AG256" s="294"/>
      <c r="AH256" s="294"/>
      <c r="AI256" s="294"/>
      <c r="AJ256" s="294"/>
      <c r="AK256" s="294"/>
      <c r="AL256" s="294"/>
      <c r="AM256" s="294"/>
      <c r="AN256" s="294"/>
      <c r="AO256" s="294"/>
      <c r="AP256" s="294"/>
      <c r="AQ256" s="294"/>
      <c r="AR256" s="294"/>
      <c r="AS256" s="294"/>
      <c r="AT256" s="294"/>
      <c r="AU256" s="294"/>
      <c r="AV256" s="294"/>
      <c r="AW256" s="294"/>
      <c r="AX256" s="294"/>
      <c r="AY256" s="294"/>
      <c r="AZ256" s="294"/>
      <c r="BA256" s="294"/>
      <c r="BB256" s="294"/>
      <c r="BC256" s="294"/>
      <c r="BD256" s="294"/>
      <c r="BE256" s="294"/>
      <c r="BF256" s="294"/>
      <c r="BG256" s="294"/>
      <c r="BH256" s="294"/>
      <c r="BI256" s="294"/>
      <c r="BJ256" s="294"/>
      <c r="BK256" s="294"/>
      <c r="BL256" s="294"/>
      <c r="BM256" s="294"/>
    </row>
    <row r="257" spans="1:65" x14ac:dyDescent="0.25">
      <c r="A257" s="294"/>
      <c r="B257" s="294"/>
      <c r="C257" s="294"/>
      <c r="D257" s="294"/>
      <c r="E257" s="294"/>
      <c r="F257" s="294"/>
      <c r="G257" s="294"/>
      <c r="H257" s="294"/>
      <c r="I257" s="294"/>
      <c r="J257" s="294"/>
      <c r="K257" s="294"/>
      <c r="L257" s="294"/>
      <c r="M257" s="294"/>
      <c r="N257" s="294"/>
      <c r="O257" s="294"/>
      <c r="P257" s="294"/>
      <c r="Q257" s="294"/>
      <c r="R257" s="294"/>
      <c r="S257" s="294"/>
      <c r="T257" s="294"/>
      <c r="U257" s="294"/>
      <c r="V257" s="294"/>
      <c r="W257" s="294"/>
      <c r="X257" s="294"/>
      <c r="Y257" s="294"/>
      <c r="Z257" s="294"/>
      <c r="AA257" s="294"/>
      <c r="AB257" s="294"/>
      <c r="AC257" s="294"/>
      <c r="AD257" s="294"/>
      <c r="AE257" s="294"/>
      <c r="AF257" s="294"/>
      <c r="AG257" s="294"/>
      <c r="AH257" s="294"/>
      <c r="AI257" s="294"/>
      <c r="AJ257" s="294"/>
      <c r="AK257" s="294"/>
      <c r="AL257" s="294"/>
      <c r="AM257" s="294"/>
      <c r="AN257" s="294"/>
      <c r="AO257" s="294"/>
      <c r="AP257" s="294"/>
      <c r="AQ257" s="294"/>
      <c r="AR257" s="294"/>
      <c r="AS257" s="294"/>
      <c r="AT257" s="294"/>
      <c r="AU257" s="294"/>
      <c r="AV257" s="294"/>
      <c r="AW257" s="294"/>
      <c r="AX257" s="294"/>
      <c r="AY257" s="294"/>
      <c r="AZ257" s="294"/>
      <c r="BA257" s="294"/>
      <c r="BB257" s="294"/>
      <c r="BC257" s="294"/>
      <c r="BD257" s="294"/>
      <c r="BE257" s="294"/>
      <c r="BF257" s="294"/>
      <c r="BG257" s="294"/>
      <c r="BH257" s="294"/>
      <c r="BI257" s="294"/>
      <c r="BJ257" s="294"/>
      <c r="BK257" s="294"/>
      <c r="BL257" s="294"/>
      <c r="BM257" s="294"/>
    </row>
    <row r="258" spans="1:65" x14ac:dyDescent="0.25">
      <c r="A258" s="294"/>
      <c r="B258" s="294"/>
      <c r="C258" s="294"/>
      <c r="D258" s="294"/>
      <c r="E258" s="294"/>
      <c r="F258" s="294"/>
      <c r="G258" s="294"/>
      <c r="H258" s="294"/>
      <c r="I258" s="294"/>
      <c r="J258" s="294"/>
      <c r="K258" s="294"/>
      <c r="L258" s="294"/>
      <c r="M258" s="294"/>
      <c r="N258" s="294"/>
      <c r="O258" s="294"/>
      <c r="P258" s="294"/>
      <c r="Q258" s="294"/>
      <c r="R258" s="294"/>
      <c r="S258" s="294"/>
      <c r="T258" s="294"/>
      <c r="U258" s="294"/>
      <c r="V258" s="294"/>
      <c r="W258" s="294"/>
      <c r="X258" s="294"/>
      <c r="Y258" s="294"/>
      <c r="Z258" s="294"/>
      <c r="AA258" s="294"/>
      <c r="AB258" s="294"/>
      <c r="AC258" s="294"/>
      <c r="AD258" s="294"/>
      <c r="AE258" s="294"/>
      <c r="AF258" s="294"/>
      <c r="AG258" s="294"/>
      <c r="AH258" s="294"/>
      <c r="AI258" s="294"/>
      <c r="AJ258" s="294"/>
      <c r="AK258" s="294"/>
      <c r="AL258" s="294"/>
      <c r="AM258" s="294"/>
      <c r="AN258" s="294"/>
      <c r="AO258" s="294"/>
      <c r="AP258" s="294"/>
      <c r="AQ258" s="294"/>
      <c r="AR258" s="294"/>
      <c r="AS258" s="294"/>
      <c r="AT258" s="294"/>
      <c r="AU258" s="294"/>
      <c r="AV258" s="294"/>
      <c r="AW258" s="294"/>
      <c r="AX258" s="294"/>
      <c r="AY258" s="294"/>
      <c r="AZ258" s="294"/>
      <c r="BA258" s="294"/>
      <c r="BB258" s="294"/>
      <c r="BC258" s="294"/>
      <c r="BD258" s="294"/>
      <c r="BE258" s="294"/>
      <c r="BF258" s="294"/>
      <c r="BG258" s="294"/>
      <c r="BH258" s="294"/>
      <c r="BI258" s="294"/>
      <c r="BJ258" s="294"/>
      <c r="BK258" s="294"/>
      <c r="BL258" s="294"/>
      <c r="BM258" s="294"/>
    </row>
    <row r="259" spans="1:65" x14ac:dyDescent="0.25">
      <c r="A259" s="294"/>
      <c r="B259" s="294"/>
      <c r="C259" s="294"/>
      <c r="D259" s="294"/>
      <c r="E259" s="294"/>
      <c r="F259" s="294"/>
      <c r="G259" s="294"/>
      <c r="H259" s="294"/>
      <c r="I259" s="294"/>
      <c r="J259" s="294"/>
      <c r="K259" s="294"/>
      <c r="L259" s="294"/>
      <c r="M259" s="294"/>
      <c r="N259" s="294"/>
      <c r="O259" s="294"/>
      <c r="P259" s="294"/>
      <c r="Q259" s="294"/>
      <c r="R259" s="294"/>
      <c r="S259" s="294"/>
      <c r="T259" s="294"/>
      <c r="U259" s="294"/>
      <c r="V259" s="294"/>
      <c r="W259" s="294"/>
      <c r="X259" s="294"/>
      <c r="Y259" s="294"/>
      <c r="Z259" s="294"/>
      <c r="AA259" s="294"/>
      <c r="AB259" s="294"/>
      <c r="AC259" s="294"/>
      <c r="AD259" s="294"/>
      <c r="AE259" s="294"/>
      <c r="AF259" s="294"/>
      <c r="AG259" s="294"/>
      <c r="AH259" s="294"/>
      <c r="AI259" s="294"/>
      <c r="AJ259" s="294"/>
      <c r="AK259" s="294"/>
      <c r="AL259" s="294"/>
      <c r="AM259" s="294"/>
      <c r="AN259" s="294"/>
      <c r="AO259" s="294"/>
      <c r="AP259" s="294"/>
      <c r="AQ259" s="294"/>
      <c r="AR259" s="294"/>
      <c r="AS259" s="294"/>
      <c r="AT259" s="294"/>
      <c r="AU259" s="294"/>
      <c r="AV259" s="294"/>
      <c r="AW259" s="294"/>
      <c r="AX259" s="294"/>
      <c r="AY259" s="294"/>
      <c r="AZ259" s="294"/>
      <c r="BA259" s="294"/>
      <c r="BB259" s="294"/>
      <c r="BC259" s="294"/>
      <c r="BD259" s="294"/>
      <c r="BE259" s="294"/>
      <c r="BF259" s="294"/>
      <c r="BG259" s="294"/>
      <c r="BH259" s="294"/>
      <c r="BI259" s="294"/>
      <c r="BJ259" s="294"/>
      <c r="BK259" s="294"/>
      <c r="BL259" s="294"/>
      <c r="BM259" s="294"/>
    </row>
    <row r="260" spans="1:65" x14ac:dyDescent="0.25">
      <c r="A260" s="294"/>
      <c r="B260" s="294"/>
      <c r="C260" s="294"/>
      <c r="D260" s="294"/>
      <c r="E260" s="294"/>
      <c r="F260" s="294"/>
      <c r="G260" s="294"/>
      <c r="H260" s="294"/>
      <c r="I260" s="294"/>
      <c r="J260" s="294"/>
      <c r="K260" s="294"/>
      <c r="L260" s="294"/>
      <c r="M260" s="294"/>
      <c r="N260" s="294"/>
      <c r="O260" s="294"/>
      <c r="P260" s="294"/>
      <c r="Q260" s="294"/>
      <c r="R260" s="294"/>
      <c r="S260" s="294"/>
      <c r="T260" s="294"/>
      <c r="U260" s="294"/>
      <c r="V260" s="294"/>
      <c r="W260" s="294"/>
      <c r="X260" s="294"/>
      <c r="Y260" s="294"/>
      <c r="Z260" s="294"/>
      <c r="AA260" s="294"/>
      <c r="AB260" s="294"/>
      <c r="AC260" s="294"/>
      <c r="AD260" s="294"/>
      <c r="AE260" s="294"/>
      <c r="AF260" s="294"/>
      <c r="AG260" s="294"/>
      <c r="AH260" s="294"/>
      <c r="AI260" s="294"/>
      <c r="AJ260" s="294"/>
      <c r="AK260" s="294"/>
      <c r="AL260" s="294"/>
      <c r="AM260" s="294"/>
      <c r="AN260" s="294"/>
      <c r="AO260" s="294"/>
      <c r="AP260" s="294"/>
      <c r="AQ260" s="294"/>
      <c r="AR260" s="294"/>
      <c r="AS260" s="294"/>
      <c r="AT260" s="294"/>
      <c r="AU260" s="294"/>
      <c r="AV260" s="294"/>
      <c r="AW260" s="294"/>
      <c r="AX260" s="294"/>
      <c r="AY260" s="294"/>
      <c r="AZ260" s="294"/>
      <c r="BA260" s="294"/>
      <c r="BB260" s="294"/>
      <c r="BC260" s="294"/>
      <c r="BD260" s="294"/>
      <c r="BE260" s="294"/>
      <c r="BF260" s="294"/>
      <c r="BG260" s="294"/>
      <c r="BH260" s="294"/>
      <c r="BI260" s="294"/>
      <c r="BJ260" s="294"/>
      <c r="BK260" s="294"/>
      <c r="BL260" s="294"/>
      <c r="BM260" s="294"/>
    </row>
    <row r="261" spans="1:65" x14ac:dyDescent="0.25">
      <c r="A261" s="294"/>
      <c r="B261" s="294"/>
      <c r="C261" s="294"/>
      <c r="D261" s="294"/>
      <c r="E261" s="294"/>
      <c r="F261" s="294"/>
      <c r="G261" s="294"/>
      <c r="H261" s="294"/>
      <c r="I261" s="294"/>
      <c r="J261" s="294"/>
      <c r="K261" s="294"/>
      <c r="L261" s="294"/>
      <c r="M261" s="294"/>
      <c r="N261" s="294"/>
      <c r="O261" s="294"/>
      <c r="P261" s="294"/>
      <c r="Q261" s="294"/>
      <c r="R261" s="294"/>
      <c r="S261" s="294"/>
      <c r="T261" s="294"/>
      <c r="U261" s="294"/>
      <c r="V261" s="294"/>
      <c r="W261" s="294"/>
      <c r="X261" s="294"/>
      <c r="Y261" s="294"/>
      <c r="Z261" s="294"/>
      <c r="AA261" s="294"/>
      <c r="AB261" s="294"/>
      <c r="AC261" s="294"/>
      <c r="AD261" s="294"/>
      <c r="AE261" s="294"/>
      <c r="AF261" s="294"/>
      <c r="AG261" s="294"/>
      <c r="AH261" s="294"/>
      <c r="AI261" s="294"/>
      <c r="AJ261" s="294"/>
      <c r="AK261" s="294"/>
      <c r="AL261" s="294"/>
      <c r="AM261" s="294"/>
      <c r="AN261" s="294"/>
      <c r="AO261" s="294"/>
      <c r="AP261" s="294"/>
      <c r="AQ261" s="294"/>
      <c r="AR261" s="294"/>
      <c r="AS261" s="294"/>
      <c r="AT261" s="294"/>
      <c r="AU261" s="294"/>
      <c r="AV261" s="294"/>
      <c r="AW261" s="294"/>
      <c r="AX261" s="294"/>
      <c r="AY261" s="294"/>
      <c r="AZ261" s="294"/>
      <c r="BA261" s="294"/>
      <c r="BB261" s="294"/>
      <c r="BC261" s="294"/>
      <c r="BD261" s="294"/>
      <c r="BE261" s="294"/>
      <c r="BF261" s="294"/>
      <c r="BG261" s="294"/>
      <c r="BH261" s="294"/>
      <c r="BI261" s="294"/>
      <c r="BJ261" s="294"/>
      <c r="BK261" s="294"/>
      <c r="BL261" s="294"/>
      <c r="BM261" s="294"/>
    </row>
    <row r="262" spans="1:65" x14ac:dyDescent="0.25">
      <c r="A262" s="294"/>
      <c r="B262" s="294"/>
      <c r="C262" s="294"/>
      <c r="D262" s="294"/>
      <c r="E262" s="294"/>
      <c r="F262" s="294"/>
      <c r="G262" s="294"/>
      <c r="H262" s="294"/>
      <c r="I262" s="294"/>
      <c r="J262" s="294"/>
      <c r="K262" s="294"/>
      <c r="L262" s="294"/>
      <c r="M262" s="294"/>
      <c r="N262" s="294"/>
      <c r="O262" s="294"/>
      <c r="P262" s="294"/>
      <c r="Q262" s="294"/>
      <c r="R262" s="294"/>
      <c r="S262" s="294"/>
      <c r="T262" s="294"/>
      <c r="U262" s="294"/>
      <c r="V262" s="294"/>
      <c r="W262" s="294"/>
      <c r="X262" s="294"/>
      <c r="Y262" s="294"/>
      <c r="Z262" s="294"/>
      <c r="AA262" s="294"/>
      <c r="AB262" s="294"/>
      <c r="AC262" s="294"/>
      <c r="AD262" s="294"/>
      <c r="AE262" s="294"/>
      <c r="AF262" s="294"/>
      <c r="AG262" s="294"/>
      <c r="AH262" s="294"/>
      <c r="AI262" s="294"/>
      <c r="AJ262" s="294"/>
      <c r="AK262" s="294"/>
      <c r="AL262" s="294"/>
      <c r="AM262" s="294"/>
      <c r="AN262" s="294"/>
      <c r="AO262" s="294"/>
      <c r="AP262" s="294"/>
      <c r="AQ262" s="294"/>
      <c r="AR262" s="294"/>
      <c r="AS262" s="294"/>
      <c r="AT262" s="294"/>
      <c r="AU262" s="294"/>
      <c r="AV262" s="294"/>
      <c r="AW262" s="294"/>
      <c r="AX262" s="294"/>
      <c r="AY262" s="294"/>
      <c r="AZ262" s="294"/>
      <c r="BA262" s="294"/>
      <c r="BB262" s="294"/>
      <c r="BC262" s="294"/>
      <c r="BD262" s="294"/>
      <c r="BE262" s="294"/>
      <c r="BF262" s="294"/>
      <c r="BG262" s="294"/>
      <c r="BH262" s="294"/>
      <c r="BI262" s="294"/>
      <c r="BJ262" s="294"/>
      <c r="BK262" s="294"/>
      <c r="BL262" s="294"/>
      <c r="BM262" s="294"/>
    </row>
    <row r="263" spans="1:65" x14ac:dyDescent="0.25">
      <c r="A263" s="294"/>
      <c r="B263" s="294"/>
      <c r="C263" s="294"/>
      <c r="D263" s="294"/>
      <c r="E263" s="294"/>
      <c r="F263" s="294"/>
      <c r="G263" s="294"/>
      <c r="H263" s="294"/>
      <c r="I263" s="294"/>
      <c r="J263" s="294"/>
      <c r="K263" s="294"/>
      <c r="L263" s="294"/>
      <c r="M263" s="294"/>
      <c r="N263" s="294"/>
      <c r="O263" s="294"/>
      <c r="P263" s="294"/>
      <c r="Q263" s="294"/>
      <c r="R263" s="294"/>
      <c r="S263" s="294"/>
      <c r="T263" s="294"/>
      <c r="U263" s="294"/>
      <c r="V263" s="294"/>
      <c r="W263" s="294"/>
      <c r="X263" s="294"/>
      <c r="Y263" s="294"/>
      <c r="Z263" s="294"/>
      <c r="AA263" s="294"/>
      <c r="AB263" s="294"/>
      <c r="AC263" s="294"/>
      <c r="AD263" s="294"/>
      <c r="AE263" s="294"/>
      <c r="AF263" s="294"/>
      <c r="AG263" s="294"/>
      <c r="AH263" s="294"/>
      <c r="AI263" s="294"/>
      <c r="AJ263" s="294"/>
      <c r="AK263" s="294"/>
      <c r="AL263" s="294"/>
      <c r="AM263" s="294"/>
      <c r="AN263" s="294"/>
      <c r="AO263" s="294"/>
      <c r="AP263" s="294"/>
      <c r="AQ263" s="294"/>
      <c r="AR263" s="294"/>
      <c r="AS263" s="294"/>
      <c r="AT263" s="294"/>
      <c r="AU263" s="294"/>
      <c r="AV263" s="294"/>
      <c r="AW263" s="294"/>
      <c r="AX263" s="294"/>
      <c r="AY263" s="294"/>
      <c r="AZ263" s="294"/>
      <c r="BA263" s="294"/>
      <c r="BB263" s="294"/>
      <c r="BC263" s="294"/>
      <c r="BD263" s="294"/>
      <c r="BE263" s="294"/>
      <c r="BF263" s="294"/>
      <c r="BG263" s="294"/>
      <c r="BH263" s="294"/>
      <c r="BI263" s="294"/>
      <c r="BJ263" s="294"/>
      <c r="BK263" s="294"/>
      <c r="BL263" s="294"/>
      <c r="BM263" s="294"/>
    </row>
    <row r="264" spans="1:65" x14ac:dyDescent="0.25">
      <c r="A264" s="294"/>
      <c r="B264" s="294"/>
      <c r="C264" s="294"/>
      <c r="D264" s="294"/>
      <c r="E264" s="294"/>
      <c r="F264" s="294"/>
      <c r="G264" s="294"/>
      <c r="H264" s="294"/>
      <c r="I264" s="294"/>
      <c r="J264" s="294"/>
      <c r="K264" s="294"/>
      <c r="L264" s="294"/>
      <c r="M264" s="294"/>
      <c r="N264" s="294"/>
      <c r="O264" s="294"/>
      <c r="P264" s="294"/>
      <c r="Q264" s="294"/>
      <c r="R264" s="294"/>
      <c r="S264" s="294"/>
      <c r="T264" s="294"/>
      <c r="U264" s="294"/>
      <c r="V264" s="294"/>
      <c r="W264" s="294"/>
      <c r="X264" s="294"/>
      <c r="Y264" s="294"/>
      <c r="Z264" s="294"/>
      <c r="AA264" s="294"/>
      <c r="AB264" s="294"/>
      <c r="AC264" s="294"/>
      <c r="AD264" s="294"/>
      <c r="AE264" s="294"/>
      <c r="AF264" s="294"/>
      <c r="AG264" s="294"/>
      <c r="AH264" s="294"/>
      <c r="AI264" s="294"/>
      <c r="AJ264" s="294"/>
      <c r="AK264" s="294"/>
      <c r="AL264" s="294"/>
      <c r="AM264" s="294"/>
      <c r="AN264" s="294"/>
      <c r="AO264" s="294"/>
      <c r="AP264" s="294"/>
      <c r="AQ264" s="294"/>
      <c r="AR264" s="294"/>
      <c r="AS264" s="294"/>
      <c r="AT264" s="294"/>
      <c r="AU264" s="294"/>
      <c r="AV264" s="294"/>
      <c r="AW264" s="294"/>
      <c r="AX264" s="294"/>
      <c r="AY264" s="294"/>
      <c r="AZ264" s="294"/>
      <c r="BA264" s="294"/>
      <c r="BB264" s="294"/>
      <c r="BC264" s="294"/>
      <c r="BD264" s="294"/>
      <c r="BE264" s="294"/>
      <c r="BF264" s="294"/>
      <c r="BG264" s="294"/>
      <c r="BH264" s="294"/>
      <c r="BI264" s="294"/>
      <c r="BJ264" s="294"/>
      <c r="BK264" s="294"/>
      <c r="BL264" s="294"/>
      <c r="BM264" s="294"/>
    </row>
    <row r="265" spans="1:65" x14ac:dyDescent="0.25">
      <c r="A265" s="294"/>
      <c r="B265" s="294"/>
      <c r="C265" s="294"/>
      <c r="D265" s="294"/>
      <c r="E265" s="294"/>
      <c r="F265" s="294"/>
      <c r="G265" s="294"/>
      <c r="H265" s="294"/>
      <c r="I265" s="294"/>
      <c r="J265" s="294"/>
      <c r="K265" s="294"/>
      <c r="L265" s="294"/>
      <c r="M265" s="294"/>
      <c r="N265" s="294"/>
      <c r="O265" s="294"/>
      <c r="P265" s="294"/>
      <c r="Q265" s="294"/>
      <c r="R265" s="294"/>
      <c r="S265" s="294"/>
      <c r="T265" s="294"/>
      <c r="U265" s="294"/>
      <c r="V265" s="294"/>
      <c r="W265" s="294"/>
      <c r="X265" s="294"/>
      <c r="Y265" s="294"/>
      <c r="Z265" s="294"/>
      <c r="AA265" s="294"/>
      <c r="AB265" s="294"/>
      <c r="AC265" s="294"/>
      <c r="AD265" s="294"/>
      <c r="AE265" s="294"/>
      <c r="AF265" s="294"/>
      <c r="AG265" s="294"/>
      <c r="AH265" s="294"/>
      <c r="AI265" s="294"/>
      <c r="AJ265" s="294"/>
      <c r="AK265" s="294"/>
      <c r="AL265" s="294"/>
      <c r="AM265" s="294"/>
      <c r="AN265" s="294"/>
      <c r="AO265" s="294"/>
      <c r="AP265" s="294"/>
      <c r="AQ265" s="294"/>
      <c r="AR265" s="294"/>
      <c r="AS265" s="294"/>
      <c r="AT265" s="294"/>
      <c r="AU265" s="294"/>
      <c r="AV265" s="294"/>
      <c r="AW265" s="294"/>
      <c r="AX265" s="294"/>
      <c r="AY265" s="294"/>
      <c r="AZ265" s="294"/>
      <c r="BA265" s="294"/>
      <c r="BB265" s="294"/>
      <c r="BC265" s="294"/>
      <c r="BD265" s="294"/>
      <c r="BE265" s="294"/>
      <c r="BF265" s="294"/>
      <c r="BG265" s="294"/>
      <c r="BH265" s="294"/>
      <c r="BI265" s="294"/>
      <c r="BJ265" s="294"/>
      <c r="BK265" s="294"/>
      <c r="BL265" s="294"/>
      <c r="BM265" s="294"/>
    </row>
    <row r="266" spans="1:65" x14ac:dyDescent="0.25">
      <c r="A266" s="294"/>
      <c r="B266" s="294"/>
      <c r="C266" s="294"/>
      <c r="D266" s="294"/>
      <c r="E266" s="294"/>
      <c r="F266" s="294"/>
      <c r="G266" s="294"/>
      <c r="H266" s="294"/>
      <c r="I266" s="294"/>
      <c r="J266" s="294"/>
      <c r="K266" s="294"/>
      <c r="L266" s="294"/>
      <c r="M266" s="294"/>
      <c r="N266" s="294"/>
      <c r="O266" s="294"/>
      <c r="P266" s="294"/>
      <c r="Q266" s="294"/>
      <c r="R266" s="294"/>
      <c r="S266" s="294"/>
      <c r="T266" s="294"/>
      <c r="U266" s="294"/>
      <c r="V266" s="294"/>
      <c r="W266" s="294"/>
      <c r="X266" s="294"/>
      <c r="Y266" s="294"/>
      <c r="Z266" s="294"/>
      <c r="AA266" s="294"/>
      <c r="AB266" s="294"/>
      <c r="AC266" s="294"/>
      <c r="AD266" s="294"/>
      <c r="AE266" s="294"/>
      <c r="AF266" s="294"/>
      <c r="AG266" s="294"/>
      <c r="AH266" s="294"/>
      <c r="AI266" s="294"/>
      <c r="AJ266" s="294"/>
      <c r="AK266" s="294"/>
      <c r="AL266" s="294"/>
      <c r="AM266" s="294"/>
      <c r="AN266" s="294"/>
      <c r="AO266" s="294"/>
      <c r="AP266" s="294"/>
      <c r="AQ266" s="294"/>
      <c r="AR266" s="294"/>
      <c r="AS266" s="294"/>
      <c r="AT266" s="294"/>
      <c r="AU266" s="294"/>
      <c r="AV266" s="294"/>
      <c r="AW266" s="294"/>
      <c r="AX266" s="294"/>
      <c r="AY266" s="294"/>
      <c r="AZ266" s="294"/>
      <c r="BA266" s="294"/>
      <c r="BB266" s="294"/>
      <c r="BC266" s="294"/>
      <c r="BD266" s="294"/>
      <c r="BE266" s="294"/>
      <c r="BF266" s="294"/>
      <c r="BG266" s="294"/>
      <c r="BH266" s="294"/>
      <c r="BI266" s="294"/>
      <c r="BJ266" s="294"/>
      <c r="BK266" s="294"/>
      <c r="BL266" s="294"/>
      <c r="BM266" s="294"/>
    </row>
    <row r="267" spans="1:65" x14ac:dyDescent="0.25">
      <c r="A267" s="294"/>
      <c r="B267" s="294"/>
      <c r="C267" s="294"/>
      <c r="D267" s="294"/>
      <c r="E267" s="294"/>
      <c r="F267" s="294"/>
      <c r="G267" s="294"/>
      <c r="H267" s="294"/>
      <c r="I267" s="294"/>
      <c r="J267" s="294"/>
      <c r="K267" s="294"/>
      <c r="L267" s="294"/>
      <c r="M267" s="294"/>
      <c r="N267" s="294"/>
      <c r="O267" s="294"/>
      <c r="P267" s="294"/>
      <c r="Q267" s="294"/>
      <c r="R267" s="294"/>
      <c r="S267" s="294"/>
      <c r="T267" s="294"/>
      <c r="U267" s="294"/>
      <c r="V267" s="294"/>
      <c r="W267" s="294"/>
      <c r="X267" s="294"/>
      <c r="Y267" s="294"/>
      <c r="Z267" s="294"/>
      <c r="AA267" s="294"/>
      <c r="AB267" s="294"/>
      <c r="AC267" s="294"/>
      <c r="AD267" s="294"/>
      <c r="AE267" s="294"/>
      <c r="AF267" s="294"/>
      <c r="AG267" s="294"/>
      <c r="AH267" s="294"/>
      <c r="AI267" s="294"/>
      <c r="AJ267" s="294"/>
      <c r="AK267" s="294"/>
      <c r="AL267" s="294"/>
      <c r="AM267" s="294"/>
      <c r="AN267" s="294"/>
      <c r="AO267" s="294"/>
      <c r="AP267" s="294"/>
      <c r="AQ267" s="294"/>
      <c r="AR267" s="294"/>
      <c r="AS267" s="294"/>
      <c r="AT267" s="294"/>
      <c r="AU267" s="294"/>
      <c r="AV267" s="294"/>
      <c r="AW267" s="294"/>
      <c r="AX267" s="294"/>
      <c r="AY267" s="294"/>
      <c r="AZ267" s="294"/>
      <c r="BA267" s="294"/>
      <c r="BB267" s="294"/>
      <c r="BC267" s="294"/>
      <c r="BD267" s="294"/>
      <c r="BE267" s="294"/>
      <c r="BF267" s="294"/>
      <c r="BG267" s="294"/>
      <c r="BH267" s="294"/>
      <c r="BI267" s="294"/>
      <c r="BJ267" s="294"/>
      <c r="BK267" s="294"/>
      <c r="BL267" s="294"/>
      <c r="BM267" s="294"/>
    </row>
    <row r="268" spans="1:65" x14ac:dyDescent="0.25">
      <c r="A268" s="294"/>
      <c r="B268" s="294"/>
      <c r="C268" s="294"/>
      <c r="D268" s="294"/>
      <c r="E268" s="294"/>
      <c r="F268" s="294"/>
      <c r="G268" s="294"/>
      <c r="H268" s="294"/>
      <c r="I268" s="294"/>
      <c r="J268" s="294"/>
      <c r="K268" s="294"/>
      <c r="L268" s="294"/>
      <c r="M268" s="294"/>
      <c r="N268" s="294"/>
      <c r="O268" s="294"/>
      <c r="P268" s="294"/>
      <c r="Q268" s="294"/>
      <c r="R268" s="294"/>
      <c r="S268" s="294"/>
      <c r="T268" s="294"/>
      <c r="U268" s="294"/>
      <c r="V268" s="294"/>
      <c r="W268" s="294"/>
      <c r="X268" s="294"/>
      <c r="Y268" s="294"/>
      <c r="Z268" s="294"/>
      <c r="AA268" s="294"/>
      <c r="AB268" s="294"/>
      <c r="AC268" s="294"/>
      <c r="AD268" s="294"/>
      <c r="AE268" s="294"/>
      <c r="AF268" s="294"/>
      <c r="AG268" s="294"/>
      <c r="AH268" s="294"/>
      <c r="AI268" s="294"/>
      <c r="AJ268" s="294"/>
      <c r="AK268" s="294"/>
      <c r="AL268" s="294"/>
      <c r="AM268" s="294"/>
      <c r="AN268" s="294"/>
      <c r="AO268" s="294"/>
      <c r="AP268" s="294"/>
      <c r="AQ268" s="294"/>
      <c r="AR268" s="294"/>
      <c r="AS268" s="294"/>
      <c r="AT268" s="294"/>
      <c r="AU268" s="294"/>
      <c r="AV268" s="294"/>
      <c r="AW268" s="294"/>
      <c r="AX268" s="294"/>
      <c r="AY268" s="294"/>
      <c r="AZ268" s="294"/>
      <c r="BA268" s="294"/>
      <c r="BB268" s="294"/>
      <c r="BC268" s="294"/>
      <c r="BD268" s="294"/>
      <c r="BE268" s="294"/>
      <c r="BF268" s="294"/>
      <c r="BG268" s="294"/>
      <c r="BH268" s="294"/>
      <c r="BI268" s="294"/>
      <c r="BJ268" s="294"/>
      <c r="BK268" s="294"/>
      <c r="BL268" s="294"/>
      <c r="BM268" s="294"/>
    </row>
    <row r="269" spans="1:65" x14ac:dyDescent="0.25">
      <c r="A269" s="294"/>
      <c r="B269" s="294"/>
      <c r="C269" s="294"/>
      <c r="D269" s="294"/>
      <c r="E269" s="294"/>
      <c r="F269" s="294"/>
      <c r="G269" s="294"/>
      <c r="H269" s="294"/>
      <c r="I269" s="294"/>
      <c r="J269" s="294"/>
      <c r="K269" s="294"/>
      <c r="L269" s="294"/>
      <c r="M269" s="294"/>
      <c r="N269" s="294"/>
      <c r="O269" s="294"/>
      <c r="P269" s="294"/>
      <c r="Q269" s="294"/>
      <c r="R269" s="294"/>
      <c r="S269" s="294"/>
      <c r="T269" s="294"/>
      <c r="U269" s="294"/>
      <c r="V269" s="294"/>
      <c r="W269" s="294"/>
      <c r="X269" s="294"/>
      <c r="Y269" s="294"/>
      <c r="Z269" s="294"/>
      <c r="AA269" s="294"/>
      <c r="AB269" s="294"/>
      <c r="AC269" s="294"/>
      <c r="AD269" s="294"/>
      <c r="AE269" s="294"/>
      <c r="AF269" s="294"/>
      <c r="AG269" s="294"/>
      <c r="AH269" s="294"/>
      <c r="AI269" s="294"/>
      <c r="AJ269" s="294"/>
      <c r="AK269" s="294"/>
      <c r="AL269" s="294"/>
      <c r="AM269" s="294"/>
      <c r="AN269" s="294"/>
      <c r="AO269" s="294"/>
      <c r="AP269" s="294"/>
      <c r="AQ269" s="294"/>
      <c r="AR269" s="294"/>
      <c r="AS269" s="294"/>
      <c r="AT269" s="294"/>
      <c r="AU269" s="294"/>
      <c r="AV269" s="294"/>
      <c r="AW269" s="294"/>
      <c r="AX269" s="294"/>
      <c r="AY269" s="294"/>
      <c r="AZ269" s="294"/>
      <c r="BA269" s="294"/>
      <c r="BB269" s="294"/>
      <c r="BC269" s="294"/>
      <c r="BD269" s="294"/>
      <c r="BE269" s="294"/>
      <c r="BF269" s="294"/>
      <c r="BG269" s="294"/>
      <c r="BH269" s="294"/>
      <c r="BI269" s="294"/>
      <c r="BJ269" s="294"/>
      <c r="BK269" s="294"/>
      <c r="BL269" s="294"/>
      <c r="BM269" s="294"/>
    </row>
    <row r="270" spans="1:65" x14ac:dyDescent="0.25">
      <c r="A270" s="294"/>
      <c r="B270" s="294"/>
      <c r="C270" s="294"/>
      <c r="D270" s="294"/>
      <c r="E270" s="294"/>
      <c r="F270" s="294"/>
      <c r="G270" s="294"/>
      <c r="H270" s="294"/>
      <c r="I270" s="294"/>
      <c r="J270" s="294"/>
      <c r="K270" s="294"/>
      <c r="L270" s="294"/>
      <c r="M270" s="294"/>
      <c r="N270" s="294"/>
      <c r="O270" s="294"/>
      <c r="P270" s="294"/>
      <c r="Q270" s="294"/>
      <c r="R270" s="294"/>
      <c r="S270" s="294"/>
      <c r="T270" s="294"/>
      <c r="U270" s="294"/>
      <c r="V270" s="294"/>
      <c r="W270" s="294"/>
      <c r="X270" s="294"/>
      <c r="Y270" s="294"/>
      <c r="Z270" s="294"/>
      <c r="AA270" s="294"/>
      <c r="AB270" s="294"/>
      <c r="AC270" s="294"/>
      <c r="AD270" s="294"/>
      <c r="AE270" s="294"/>
      <c r="AF270" s="294"/>
      <c r="AG270" s="294"/>
      <c r="AH270" s="294"/>
      <c r="AI270" s="294"/>
      <c r="AJ270" s="294"/>
      <c r="AK270" s="294"/>
      <c r="AL270" s="294"/>
      <c r="AM270" s="294"/>
      <c r="AN270" s="294"/>
      <c r="AO270" s="294"/>
      <c r="AP270" s="294"/>
      <c r="AQ270" s="294"/>
      <c r="AR270" s="294"/>
      <c r="AS270" s="294"/>
      <c r="AT270" s="294"/>
      <c r="AU270" s="294"/>
      <c r="AV270" s="294"/>
      <c r="AW270" s="294"/>
      <c r="AX270" s="294"/>
      <c r="AY270" s="294"/>
      <c r="AZ270" s="294"/>
      <c r="BA270" s="294"/>
      <c r="BB270" s="294"/>
      <c r="BC270" s="294"/>
      <c r="BD270" s="294"/>
      <c r="BE270" s="294"/>
      <c r="BF270" s="294"/>
      <c r="BG270" s="294"/>
      <c r="BH270" s="294"/>
      <c r="BI270" s="294"/>
      <c r="BJ270" s="294"/>
      <c r="BK270" s="294"/>
      <c r="BL270" s="294"/>
      <c r="BM270" s="294"/>
    </row>
    <row r="271" spans="1:65" x14ac:dyDescent="0.25">
      <c r="A271" s="294"/>
      <c r="B271" s="294"/>
      <c r="C271" s="294"/>
      <c r="D271" s="294"/>
      <c r="E271" s="294"/>
      <c r="F271" s="294"/>
      <c r="G271" s="294"/>
      <c r="H271" s="294"/>
      <c r="I271" s="294"/>
      <c r="J271" s="294"/>
      <c r="K271" s="294"/>
      <c r="L271" s="294"/>
      <c r="M271" s="294"/>
      <c r="N271" s="294"/>
      <c r="O271" s="294"/>
      <c r="P271" s="294"/>
      <c r="Q271" s="294"/>
      <c r="R271" s="294"/>
      <c r="S271" s="294"/>
      <c r="T271" s="294"/>
      <c r="U271" s="294"/>
      <c r="V271" s="294"/>
      <c r="W271" s="294"/>
      <c r="X271" s="294"/>
      <c r="Y271" s="294"/>
      <c r="Z271" s="294"/>
      <c r="AA271" s="294"/>
      <c r="AB271" s="294"/>
      <c r="AC271" s="294"/>
      <c r="AD271" s="294"/>
      <c r="AE271" s="294"/>
      <c r="AF271" s="294"/>
      <c r="AG271" s="294"/>
      <c r="AH271" s="294"/>
      <c r="AI271" s="294"/>
      <c r="AJ271" s="294"/>
      <c r="AK271" s="294"/>
      <c r="AL271" s="294"/>
      <c r="AM271" s="294"/>
      <c r="AN271" s="294"/>
      <c r="AO271" s="294"/>
      <c r="AP271" s="294"/>
      <c r="AQ271" s="294"/>
      <c r="AR271" s="294"/>
      <c r="AS271" s="294"/>
      <c r="AT271" s="294"/>
      <c r="AU271" s="294"/>
      <c r="AV271" s="294"/>
      <c r="AW271" s="294"/>
      <c r="AX271" s="294"/>
      <c r="AY271" s="294"/>
      <c r="AZ271" s="294"/>
      <c r="BA271" s="294"/>
      <c r="BB271" s="294"/>
      <c r="BC271" s="294"/>
      <c r="BD271" s="294"/>
      <c r="BE271" s="294"/>
      <c r="BF271" s="294"/>
      <c r="BG271" s="294"/>
      <c r="BH271" s="294"/>
      <c r="BI271" s="294"/>
      <c r="BJ271" s="294"/>
      <c r="BK271" s="294"/>
      <c r="BL271" s="294"/>
      <c r="BM271" s="294"/>
    </row>
    <row r="272" spans="1:65" x14ac:dyDescent="0.25">
      <c r="A272" s="294"/>
      <c r="B272" s="294"/>
      <c r="C272" s="294"/>
      <c r="D272" s="294"/>
      <c r="E272" s="294"/>
      <c r="F272" s="294"/>
      <c r="G272" s="294"/>
      <c r="H272" s="294"/>
      <c r="I272" s="294"/>
      <c r="J272" s="294"/>
      <c r="K272" s="294"/>
      <c r="L272" s="294"/>
      <c r="M272" s="294"/>
      <c r="N272" s="294"/>
      <c r="O272" s="294"/>
      <c r="P272" s="294"/>
      <c r="Q272" s="294"/>
      <c r="R272" s="294"/>
      <c r="S272" s="294"/>
      <c r="T272" s="294"/>
      <c r="U272" s="294"/>
      <c r="V272" s="294"/>
      <c r="W272" s="294"/>
      <c r="X272" s="294"/>
      <c r="Y272" s="294"/>
      <c r="Z272" s="294"/>
      <c r="AA272" s="294"/>
      <c r="AB272" s="294"/>
      <c r="AC272" s="294"/>
      <c r="AD272" s="294"/>
      <c r="AE272" s="294"/>
      <c r="AF272" s="294"/>
      <c r="AG272" s="294"/>
      <c r="AH272" s="294"/>
      <c r="AI272" s="294"/>
      <c r="AJ272" s="294"/>
      <c r="AK272" s="294"/>
      <c r="AL272" s="294"/>
      <c r="AM272" s="294"/>
      <c r="AN272" s="294"/>
      <c r="AO272" s="294"/>
      <c r="AP272" s="294"/>
      <c r="AQ272" s="294"/>
      <c r="AR272" s="294"/>
      <c r="AS272" s="294"/>
      <c r="AT272" s="294"/>
      <c r="AU272" s="294"/>
      <c r="AV272" s="294"/>
      <c r="AW272" s="294"/>
      <c r="AX272" s="294"/>
      <c r="AY272" s="294"/>
      <c r="AZ272" s="294"/>
      <c r="BA272" s="294"/>
      <c r="BB272" s="294"/>
      <c r="BC272" s="294"/>
      <c r="BD272" s="294"/>
      <c r="BE272" s="294"/>
      <c r="BF272" s="294"/>
      <c r="BG272" s="294"/>
      <c r="BH272" s="294"/>
      <c r="BI272" s="294"/>
      <c r="BJ272" s="294"/>
      <c r="BK272" s="294"/>
      <c r="BL272" s="294"/>
      <c r="BM272" s="294"/>
    </row>
    <row r="273" spans="1:65" x14ac:dyDescent="0.25">
      <c r="A273" s="294"/>
      <c r="B273" s="294"/>
      <c r="C273" s="294"/>
      <c r="D273" s="294"/>
      <c r="E273" s="294"/>
      <c r="F273" s="294"/>
      <c r="G273" s="294"/>
      <c r="H273" s="294"/>
      <c r="I273" s="294"/>
      <c r="J273" s="294"/>
      <c r="K273" s="294"/>
      <c r="L273" s="294"/>
      <c r="M273" s="294"/>
      <c r="N273" s="294"/>
      <c r="O273" s="294"/>
      <c r="P273" s="294"/>
      <c r="Q273" s="294"/>
      <c r="R273" s="294"/>
      <c r="S273" s="294"/>
      <c r="T273" s="294"/>
      <c r="U273" s="294"/>
      <c r="V273" s="294"/>
      <c r="W273" s="294"/>
      <c r="X273" s="294"/>
      <c r="Y273" s="294"/>
      <c r="Z273" s="294"/>
      <c r="AA273" s="294"/>
      <c r="AB273" s="294"/>
      <c r="AC273" s="294"/>
      <c r="AD273" s="294"/>
      <c r="AE273" s="294"/>
      <c r="AF273" s="294"/>
      <c r="AG273" s="294"/>
      <c r="AH273" s="294"/>
      <c r="AI273" s="294"/>
      <c r="AJ273" s="294"/>
      <c r="AK273" s="294"/>
      <c r="AL273" s="294"/>
      <c r="AM273" s="294"/>
      <c r="AN273" s="294"/>
      <c r="AO273" s="294"/>
      <c r="AP273" s="294"/>
      <c r="AQ273" s="294"/>
      <c r="AR273" s="294"/>
      <c r="AS273" s="294"/>
      <c r="AT273" s="294"/>
      <c r="AU273" s="294"/>
      <c r="AV273" s="294"/>
      <c r="AW273" s="294"/>
      <c r="AX273" s="294"/>
      <c r="AY273" s="294"/>
      <c r="AZ273" s="294"/>
      <c r="BA273" s="294"/>
      <c r="BB273" s="294"/>
      <c r="BC273" s="294"/>
      <c r="BD273" s="294"/>
      <c r="BE273" s="294"/>
      <c r="BF273" s="294"/>
      <c r="BG273" s="294"/>
      <c r="BH273" s="294"/>
      <c r="BI273" s="294"/>
      <c r="BJ273" s="294"/>
      <c r="BK273" s="294"/>
      <c r="BL273" s="294"/>
      <c r="BM273" s="294"/>
    </row>
    <row r="274" spans="1:65" x14ac:dyDescent="0.25">
      <c r="A274" s="294"/>
      <c r="B274" s="294"/>
      <c r="C274" s="294"/>
      <c r="D274" s="294"/>
      <c r="E274" s="294"/>
      <c r="F274" s="294"/>
      <c r="G274" s="294"/>
      <c r="H274" s="294"/>
      <c r="I274" s="294"/>
      <c r="J274" s="294"/>
      <c r="K274" s="294"/>
      <c r="L274" s="294"/>
      <c r="M274" s="294"/>
      <c r="N274" s="294"/>
      <c r="O274" s="294"/>
      <c r="P274" s="294"/>
      <c r="Q274" s="294"/>
      <c r="R274" s="294"/>
      <c r="S274" s="294"/>
      <c r="T274" s="294"/>
      <c r="U274" s="294"/>
      <c r="V274" s="294"/>
      <c r="W274" s="294"/>
      <c r="X274" s="294"/>
      <c r="Y274" s="294"/>
      <c r="Z274" s="294"/>
      <c r="AA274" s="294"/>
      <c r="AB274" s="294"/>
      <c r="AC274" s="294"/>
      <c r="AD274" s="294"/>
      <c r="AE274" s="294"/>
      <c r="AF274" s="294"/>
      <c r="AG274" s="294"/>
      <c r="AH274" s="294"/>
      <c r="AI274" s="294"/>
      <c r="AJ274" s="294"/>
      <c r="AK274" s="294"/>
      <c r="AL274" s="294"/>
      <c r="AM274" s="294"/>
      <c r="AN274" s="294"/>
      <c r="AO274" s="294"/>
      <c r="AP274" s="294"/>
      <c r="AQ274" s="294"/>
      <c r="AR274" s="294"/>
      <c r="AS274" s="294"/>
      <c r="AT274" s="294"/>
      <c r="AU274" s="294"/>
      <c r="AV274" s="294"/>
      <c r="AW274" s="294"/>
      <c r="AX274" s="294"/>
      <c r="AY274" s="294"/>
      <c r="AZ274" s="294"/>
      <c r="BA274" s="294"/>
      <c r="BB274" s="294"/>
      <c r="BC274" s="294"/>
      <c r="BD274" s="294"/>
      <c r="BE274" s="294"/>
      <c r="BF274" s="294"/>
      <c r="BG274" s="294"/>
      <c r="BH274" s="294"/>
      <c r="BI274" s="294"/>
      <c r="BJ274" s="294"/>
      <c r="BK274" s="294"/>
      <c r="BL274" s="294"/>
      <c r="BM274" s="294"/>
    </row>
    <row r="275" spans="1:65" x14ac:dyDescent="0.25">
      <c r="A275" s="294"/>
      <c r="B275" s="294"/>
      <c r="C275" s="294"/>
      <c r="D275" s="294"/>
      <c r="E275" s="294"/>
      <c r="F275" s="294"/>
      <c r="G275" s="294"/>
      <c r="H275" s="294"/>
      <c r="I275" s="294"/>
      <c r="J275" s="294"/>
      <c r="K275" s="294"/>
      <c r="L275" s="294"/>
      <c r="M275" s="294"/>
      <c r="N275" s="294"/>
      <c r="O275" s="294"/>
      <c r="P275" s="294"/>
      <c r="Q275" s="294"/>
      <c r="R275" s="294"/>
      <c r="S275" s="294"/>
      <c r="T275" s="294"/>
      <c r="U275" s="294"/>
      <c r="V275" s="294"/>
      <c r="W275" s="294"/>
      <c r="X275" s="294"/>
      <c r="Y275" s="294"/>
      <c r="Z275" s="294"/>
      <c r="AA275" s="294"/>
      <c r="AB275" s="294"/>
      <c r="AC275" s="294"/>
      <c r="AD275" s="294"/>
      <c r="AE275" s="294"/>
      <c r="AF275" s="294"/>
      <c r="AG275" s="294"/>
      <c r="AH275" s="294"/>
      <c r="AI275" s="294"/>
      <c r="AJ275" s="294"/>
      <c r="AK275" s="294"/>
      <c r="AL275" s="294"/>
      <c r="AM275" s="294"/>
      <c r="AN275" s="294"/>
      <c r="AO275" s="294"/>
      <c r="AP275" s="294"/>
      <c r="AQ275" s="294"/>
      <c r="AR275" s="294"/>
      <c r="AS275" s="294"/>
      <c r="AT275" s="294"/>
      <c r="AU275" s="294"/>
      <c r="AV275" s="294"/>
      <c r="AW275" s="294"/>
      <c r="AX275" s="294"/>
      <c r="AY275" s="294"/>
      <c r="AZ275" s="294"/>
      <c r="BA275" s="294"/>
      <c r="BB275" s="294"/>
      <c r="BC275" s="294"/>
      <c r="BD275" s="294"/>
      <c r="BE275" s="294"/>
      <c r="BF275" s="294"/>
      <c r="BG275" s="294"/>
      <c r="BH275" s="294"/>
      <c r="BI275" s="294"/>
      <c r="BJ275" s="294"/>
      <c r="BK275" s="294"/>
      <c r="BL275" s="294"/>
      <c r="BM275" s="294"/>
    </row>
    <row r="276" spans="1:65" x14ac:dyDescent="0.25">
      <c r="A276" s="294"/>
      <c r="B276" s="294"/>
      <c r="C276" s="294"/>
      <c r="D276" s="294"/>
      <c r="E276" s="294"/>
      <c r="F276" s="294"/>
      <c r="G276" s="294"/>
      <c r="H276" s="294"/>
      <c r="I276" s="294"/>
      <c r="J276" s="294"/>
      <c r="K276" s="294"/>
      <c r="L276" s="294"/>
      <c r="M276" s="294"/>
      <c r="N276" s="294"/>
      <c r="O276" s="294"/>
      <c r="P276" s="294"/>
      <c r="Q276" s="294"/>
      <c r="R276" s="294"/>
      <c r="S276" s="294"/>
      <c r="T276" s="294"/>
      <c r="U276" s="294"/>
      <c r="V276" s="294"/>
      <c r="W276" s="294"/>
      <c r="X276" s="294"/>
      <c r="Y276" s="294"/>
      <c r="Z276" s="294"/>
      <c r="AA276" s="294"/>
      <c r="AB276" s="294"/>
      <c r="AC276" s="294"/>
      <c r="AD276" s="294"/>
      <c r="AE276" s="294"/>
      <c r="AF276" s="294"/>
      <c r="AG276" s="294"/>
      <c r="AH276" s="294"/>
      <c r="AI276" s="294"/>
      <c r="AJ276" s="294"/>
      <c r="AK276" s="294"/>
      <c r="AL276" s="294"/>
      <c r="AM276" s="294"/>
      <c r="AN276" s="294"/>
      <c r="AO276" s="294"/>
      <c r="AP276" s="294"/>
      <c r="AQ276" s="294"/>
      <c r="AR276" s="294"/>
      <c r="AS276" s="294"/>
      <c r="AT276" s="294"/>
      <c r="AU276" s="294"/>
      <c r="AV276" s="294"/>
      <c r="AW276" s="294"/>
      <c r="AX276" s="294"/>
      <c r="AY276" s="294"/>
      <c r="AZ276" s="294"/>
      <c r="BA276" s="294"/>
      <c r="BB276" s="294"/>
      <c r="BC276" s="294"/>
      <c r="BD276" s="294"/>
      <c r="BE276" s="294"/>
      <c r="BF276" s="294"/>
      <c r="BG276" s="294"/>
      <c r="BH276" s="294"/>
      <c r="BI276" s="294"/>
      <c r="BJ276" s="294"/>
      <c r="BK276" s="294"/>
      <c r="BL276" s="294"/>
      <c r="BM276" s="294"/>
    </row>
    <row r="277" spans="1:65" x14ac:dyDescent="0.25">
      <c r="A277" s="294"/>
      <c r="B277" s="294"/>
      <c r="C277" s="294"/>
      <c r="D277" s="294"/>
      <c r="E277" s="294"/>
      <c r="F277" s="294"/>
      <c r="G277" s="294"/>
      <c r="H277" s="294"/>
      <c r="I277" s="294"/>
      <c r="J277" s="294"/>
      <c r="K277" s="294"/>
      <c r="L277" s="294"/>
      <c r="M277" s="294"/>
      <c r="N277" s="294"/>
      <c r="O277" s="294"/>
      <c r="P277" s="294"/>
      <c r="Q277" s="294"/>
      <c r="R277" s="294"/>
      <c r="S277" s="294"/>
      <c r="T277" s="294"/>
      <c r="U277" s="294"/>
      <c r="V277" s="294"/>
      <c r="W277" s="294"/>
      <c r="X277" s="294"/>
      <c r="Y277" s="294"/>
      <c r="Z277" s="294"/>
      <c r="AA277" s="294"/>
      <c r="AB277" s="294"/>
      <c r="AC277" s="294"/>
      <c r="AD277" s="294"/>
      <c r="AE277" s="294"/>
      <c r="AF277" s="294"/>
      <c r="AG277" s="294"/>
      <c r="AH277" s="294"/>
      <c r="AI277" s="294"/>
      <c r="AJ277" s="294"/>
      <c r="AK277" s="294"/>
      <c r="AL277" s="294"/>
      <c r="AM277" s="294"/>
      <c r="AN277" s="294"/>
      <c r="AO277" s="294"/>
      <c r="AP277" s="294"/>
      <c r="AQ277" s="294"/>
      <c r="AR277" s="294"/>
      <c r="AS277" s="294"/>
      <c r="AT277" s="294"/>
      <c r="AU277" s="294"/>
      <c r="AV277" s="294"/>
      <c r="AW277" s="294"/>
      <c r="AX277" s="294"/>
      <c r="AY277" s="294"/>
      <c r="AZ277" s="294"/>
      <c r="BA277" s="294"/>
      <c r="BB277" s="294"/>
      <c r="BC277" s="294"/>
      <c r="BD277" s="294"/>
      <c r="BE277" s="294"/>
      <c r="BF277" s="294"/>
      <c r="BG277" s="294"/>
      <c r="BH277" s="294"/>
      <c r="BI277" s="294"/>
      <c r="BJ277" s="294"/>
      <c r="BK277" s="294"/>
      <c r="BL277" s="294"/>
      <c r="BM277" s="294"/>
    </row>
    <row r="278" spans="1:65" x14ac:dyDescent="0.25">
      <c r="A278" s="294"/>
      <c r="B278" s="294"/>
      <c r="C278" s="294"/>
      <c r="D278" s="294"/>
      <c r="E278" s="294"/>
      <c r="F278" s="294"/>
      <c r="G278" s="294"/>
      <c r="H278" s="294"/>
      <c r="I278" s="294"/>
      <c r="J278" s="294"/>
      <c r="K278" s="294"/>
      <c r="L278" s="294"/>
      <c r="M278" s="294"/>
      <c r="N278" s="294"/>
      <c r="O278" s="294"/>
      <c r="P278" s="294"/>
      <c r="Q278" s="294"/>
      <c r="R278" s="294"/>
      <c r="S278" s="294"/>
      <c r="T278" s="294"/>
      <c r="U278" s="294"/>
      <c r="V278" s="294"/>
      <c r="W278" s="294"/>
      <c r="X278" s="294"/>
      <c r="Y278" s="294"/>
      <c r="Z278" s="294"/>
      <c r="AA278" s="294"/>
      <c r="AB278" s="294"/>
      <c r="AC278" s="294"/>
      <c r="AD278" s="294"/>
      <c r="AE278" s="294"/>
      <c r="AF278" s="294"/>
      <c r="AG278" s="294"/>
      <c r="AH278" s="294"/>
      <c r="AI278" s="294"/>
      <c r="AJ278" s="294"/>
      <c r="AK278" s="294"/>
      <c r="AL278" s="294"/>
      <c r="AM278" s="294"/>
      <c r="AN278" s="294"/>
      <c r="AO278" s="294"/>
      <c r="AP278" s="294"/>
      <c r="AQ278" s="294"/>
      <c r="AR278" s="294"/>
      <c r="AS278" s="294"/>
      <c r="AT278" s="294"/>
      <c r="AU278" s="294"/>
      <c r="AV278" s="294"/>
      <c r="AW278" s="294"/>
      <c r="AX278" s="294"/>
      <c r="AY278" s="294"/>
      <c r="AZ278" s="294"/>
      <c r="BA278" s="294"/>
      <c r="BB278" s="294"/>
      <c r="BC278" s="294"/>
      <c r="BD278" s="294"/>
      <c r="BE278" s="294"/>
      <c r="BF278" s="294"/>
      <c r="BG278" s="294"/>
      <c r="BH278" s="294"/>
      <c r="BI278" s="294"/>
      <c r="BJ278" s="294"/>
      <c r="BK278" s="294"/>
      <c r="BL278" s="294"/>
      <c r="BM278" s="294"/>
    </row>
    <row r="279" spans="1:65" x14ac:dyDescent="0.25">
      <c r="A279" s="294"/>
      <c r="B279" s="294"/>
      <c r="C279" s="294"/>
      <c r="D279" s="294"/>
      <c r="E279" s="294"/>
      <c r="F279" s="294"/>
      <c r="G279" s="294"/>
      <c r="H279" s="294"/>
      <c r="I279" s="294"/>
      <c r="J279" s="294"/>
      <c r="K279" s="294"/>
      <c r="L279" s="294"/>
      <c r="M279" s="294"/>
      <c r="N279" s="294"/>
      <c r="O279" s="294"/>
      <c r="P279" s="294"/>
      <c r="Q279" s="294"/>
      <c r="R279" s="294"/>
      <c r="S279" s="294"/>
      <c r="T279" s="294"/>
      <c r="U279" s="294"/>
      <c r="V279" s="294"/>
      <c r="W279" s="294"/>
      <c r="X279" s="294"/>
      <c r="Y279" s="294"/>
      <c r="Z279" s="294"/>
      <c r="AA279" s="294"/>
      <c r="AB279" s="294"/>
      <c r="AC279" s="294"/>
      <c r="AD279" s="294"/>
      <c r="AE279" s="294"/>
      <c r="AF279" s="294"/>
      <c r="AG279" s="294"/>
      <c r="AH279" s="294"/>
      <c r="AI279" s="294"/>
      <c r="AJ279" s="294"/>
      <c r="AK279" s="294"/>
      <c r="AL279" s="294"/>
      <c r="AM279" s="294"/>
      <c r="AN279" s="294"/>
      <c r="AO279" s="294"/>
      <c r="AP279" s="294"/>
      <c r="AQ279" s="294"/>
      <c r="AR279" s="294"/>
      <c r="AS279" s="294"/>
      <c r="AT279" s="294"/>
      <c r="AU279" s="294"/>
      <c r="AV279" s="294"/>
      <c r="AW279" s="294"/>
      <c r="AX279" s="294"/>
      <c r="AY279" s="294"/>
      <c r="AZ279" s="294"/>
      <c r="BA279" s="294"/>
      <c r="BB279" s="294"/>
      <c r="BC279" s="294"/>
      <c r="BD279" s="294"/>
      <c r="BE279" s="294"/>
      <c r="BF279" s="294"/>
      <c r="BG279" s="294"/>
      <c r="BH279" s="294"/>
      <c r="BI279" s="294"/>
      <c r="BJ279" s="294"/>
      <c r="BK279" s="294"/>
      <c r="BL279" s="294"/>
      <c r="BM279" s="294"/>
    </row>
    <row r="280" spans="1:65" x14ac:dyDescent="0.25">
      <c r="A280" s="294"/>
      <c r="B280" s="294"/>
      <c r="C280" s="294"/>
      <c r="D280" s="294"/>
      <c r="E280" s="294"/>
      <c r="F280" s="294"/>
      <c r="G280" s="294"/>
      <c r="H280" s="294"/>
      <c r="I280" s="294"/>
      <c r="J280" s="294"/>
      <c r="K280" s="294"/>
      <c r="L280" s="294"/>
      <c r="M280" s="294"/>
      <c r="N280" s="294"/>
      <c r="O280" s="294"/>
      <c r="P280" s="294"/>
      <c r="Q280" s="294"/>
      <c r="R280" s="294"/>
      <c r="S280" s="294"/>
      <c r="T280" s="294"/>
      <c r="U280" s="294"/>
      <c r="V280" s="294"/>
      <c r="W280" s="294"/>
      <c r="X280" s="294"/>
      <c r="Y280" s="294"/>
      <c r="Z280" s="294"/>
      <c r="AA280" s="294"/>
      <c r="AB280" s="294"/>
      <c r="AC280" s="294"/>
      <c r="AD280" s="294"/>
      <c r="AE280" s="294"/>
      <c r="AF280" s="294"/>
      <c r="AG280" s="294"/>
      <c r="AH280" s="294"/>
      <c r="AI280" s="294"/>
      <c r="AJ280" s="294"/>
      <c r="AK280" s="294"/>
      <c r="AL280" s="294"/>
      <c r="AM280" s="294"/>
      <c r="AN280" s="294"/>
      <c r="AO280" s="294"/>
      <c r="AP280" s="294"/>
      <c r="AQ280" s="294"/>
      <c r="AR280" s="294"/>
      <c r="AS280" s="294"/>
      <c r="AT280" s="294"/>
      <c r="AU280" s="294"/>
      <c r="AV280" s="294"/>
      <c r="AW280" s="294"/>
      <c r="AX280" s="294"/>
      <c r="AY280" s="294"/>
      <c r="AZ280" s="294"/>
      <c r="BA280" s="294"/>
      <c r="BB280" s="294"/>
      <c r="BC280" s="294"/>
      <c r="BD280" s="294"/>
      <c r="BE280" s="294"/>
      <c r="BF280" s="294"/>
      <c r="BG280" s="294"/>
      <c r="BH280" s="294"/>
      <c r="BI280" s="294"/>
      <c r="BJ280" s="294"/>
      <c r="BK280" s="294"/>
      <c r="BL280" s="294"/>
      <c r="BM280" s="294"/>
    </row>
    <row r="281" spans="1:65" x14ac:dyDescent="0.25">
      <c r="A281" s="294"/>
      <c r="B281" s="294"/>
      <c r="C281" s="294"/>
      <c r="D281" s="294"/>
      <c r="E281" s="294"/>
      <c r="F281" s="294"/>
      <c r="G281" s="294"/>
      <c r="H281" s="294"/>
      <c r="I281" s="294"/>
      <c r="J281" s="294"/>
      <c r="K281" s="294"/>
      <c r="L281" s="294"/>
      <c r="M281" s="294"/>
      <c r="N281" s="294"/>
      <c r="O281" s="294"/>
      <c r="P281" s="294"/>
      <c r="Q281" s="294"/>
      <c r="R281" s="294"/>
      <c r="S281" s="294"/>
      <c r="T281" s="294"/>
      <c r="U281" s="294"/>
      <c r="V281" s="294"/>
      <c r="W281" s="294"/>
      <c r="X281" s="294"/>
      <c r="Y281" s="294"/>
      <c r="Z281" s="294"/>
      <c r="AA281" s="294"/>
      <c r="AB281" s="294"/>
      <c r="AC281" s="294"/>
      <c r="AD281" s="294"/>
      <c r="AE281" s="294"/>
      <c r="AF281" s="294"/>
      <c r="AG281" s="294"/>
      <c r="AH281" s="294"/>
      <c r="AI281" s="294"/>
      <c r="AJ281" s="294"/>
      <c r="AK281" s="294"/>
      <c r="AL281" s="294"/>
      <c r="AM281" s="294"/>
      <c r="AN281" s="294"/>
      <c r="AO281" s="294"/>
      <c r="AP281" s="294"/>
      <c r="AQ281" s="294"/>
      <c r="AR281" s="294"/>
      <c r="AS281" s="294"/>
      <c r="AT281" s="294"/>
      <c r="AU281" s="294"/>
      <c r="AV281" s="294"/>
      <c r="AW281" s="294"/>
      <c r="AX281" s="294"/>
      <c r="AY281" s="294"/>
      <c r="AZ281" s="294"/>
      <c r="BA281" s="294"/>
      <c r="BB281" s="294"/>
      <c r="BC281" s="294"/>
      <c r="BD281" s="294"/>
      <c r="BE281" s="294"/>
      <c r="BF281" s="294"/>
      <c r="BG281" s="294"/>
      <c r="BH281" s="294"/>
      <c r="BI281" s="294"/>
      <c r="BJ281" s="294"/>
      <c r="BK281" s="294"/>
      <c r="BL281" s="294"/>
      <c r="BM281" s="294"/>
    </row>
    <row r="282" spans="1:65" x14ac:dyDescent="0.25">
      <c r="A282" s="294"/>
      <c r="B282" s="294"/>
      <c r="C282" s="294"/>
      <c r="D282" s="294"/>
      <c r="E282" s="294"/>
      <c r="F282" s="294"/>
      <c r="G282" s="294"/>
      <c r="H282" s="294"/>
      <c r="I282" s="294"/>
      <c r="J282" s="294"/>
      <c r="K282" s="294"/>
      <c r="L282" s="294"/>
      <c r="M282" s="294"/>
      <c r="N282" s="294"/>
      <c r="O282" s="294"/>
      <c r="P282" s="294"/>
      <c r="Q282" s="294"/>
      <c r="R282" s="294"/>
      <c r="S282" s="294"/>
      <c r="T282" s="294"/>
      <c r="U282" s="294"/>
      <c r="V282" s="294"/>
      <c r="W282" s="294"/>
      <c r="X282" s="294"/>
      <c r="Y282" s="294"/>
      <c r="Z282" s="294"/>
      <c r="AA282" s="294"/>
      <c r="AB282" s="294"/>
      <c r="AC282" s="294"/>
      <c r="AD282" s="294"/>
      <c r="AE282" s="294"/>
      <c r="AF282" s="294"/>
      <c r="AG282" s="294"/>
      <c r="AH282" s="294"/>
      <c r="AI282" s="294"/>
      <c r="AJ282" s="294"/>
      <c r="AK282" s="294"/>
      <c r="AL282" s="294"/>
      <c r="AM282" s="294"/>
      <c r="AN282" s="294"/>
      <c r="AO282" s="294"/>
      <c r="AP282" s="294"/>
      <c r="AQ282" s="294"/>
      <c r="AR282" s="294"/>
      <c r="AS282" s="294"/>
      <c r="AT282" s="294"/>
      <c r="AU282" s="294"/>
      <c r="AV282" s="294"/>
      <c r="AW282" s="294"/>
      <c r="AX282" s="294"/>
      <c r="AY282" s="294"/>
      <c r="AZ282" s="294"/>
      <c r="BA282" s="294"/>
      <c r="BB282" s="294"/>
      <c r="BC282" s="294"/>
      <c r="BD282" s="294"/>
      <c r="BE282" s="294"/>
      <c r="BF282" s="294"/>
      <c r="BG282" s="294"/>
      <c r="BH282" s="294"/>
      <c r="BI282" s="294"/>
      <c r="BJ282" s="294"/>
      <c r="BK282" s="294"/>
      <c r="BL282" s="294"/>
      <c r="BM282" s="294"/>
    </row>
    <row r="283" spans="1:65" x14ac:dyDescent="0.25">
      <c r="A283" s="294"/>
      <c r="B283" s="294"/>
      <c r="C283" s="294"/>
      <c r="D283" s="294"/>
      <c r="E283" s="294"/>
      <c r="F283" s="294"/>
      <c r="G283" s="294"/>
      <c r="H283" s="294"/>
      <c r="I283" s="294"/>
      <c r="J283" s="294"/>
      <c r="K283" s="294"/>
      <c r="L283" s="294"/>
      <c r="M283" s="294"/>
      <c r="N283" s="294"/>
      <c r="O283" s="294"/>
      <c r="P283" s="294"/>
      <c r="Q283" s="294"/>
      <c r="R283" s="294"/>
      <c r="S283" s="294"/>
      <c r="T283" s="294"/>
      <c r="U283" s="294"/>
      <c r="V283" s="294"/>
      <c r="W283" s="294"/>
      <c r="X283" s="294"/>
      <c r="Y283" s="294"/>
      <c r="Z283" s="294"/>
      <c r="AA283" s="294"/>
      <c r="AB283" s="294"/>
      <c r="AC283" s="294"/>
      <c r="AD283" s="294"/>
      <c r="AE283" s="294"/>
      <c r="AF283" s="294"/>
      <c r="AG283" s="294"/>
      <c r="AH283" s="294"/>
      <c r="AI283" s="294"/>
      <c r="AJ283" s="294"/>
      <c r="AK283" s="294"/>
      <c r="AL283" s="294"/>
      <c r="AM283" s="294"/>
      <c r="AN283" s="294"/>
      <c r="AO283" s="294"/>
      <c r="AP283" s="294"/>
      <c r="AQ283" s="294"/>
      <c r="AR283" s="294"/>
      <c r="AS283" s="294"/>
      <c r="AT283" s="294"/>
      <c r="AU283" s="294"/>
      <c r="AV283" s="294"/>
      <c r="AW283" s="294"/>
      <c r="AX283" s="294"/>
      <c r="AY283" s="294"/>
      <c r="AZ283" s="294"/>
      <c r="BA283" s="294"/>
      <c r="BB283" s="294"/>
      <c r="BC283" s="294"/>
      <c r="BD283" s="294"/>
      <c r="BE283" s="294"/>
      <c r="BF283" s="294"/>
      <c r="BG283" s="294"/>
      <c r="BH283" s="294"/>
      <c r="BI283" s="294"/>
      <c r="BJ283" s="294"/>
      <c r="BK283" s="294"/>
      <c r="BL283" s="294"/>
      <c r="BM283" s="294"/>
    </row>
    <row r="284" spans="1:65" x14ac:dyDescent="0.25">
      <c r="A284" s="294"/>
      <c r="B284" s="294"/>
      <c r="C284" s="294"/>
      <c r="D284" s="294"/>
      <c r="E284" s="294"/>
      <c r="F284" s="294"/>
      <c r="G284" s="294"/>
      <c r="H284" s="294"/>
      <c r="I284" s="294"/>
      <c r="J284" s="294"/>
      <c r="K284" s="294"/>
      <c r="L284" s="294"/>
      <c r="M284" s="294"/>
      <c r="N284" s="294"/>
      <c r="O284" s="294"/>
      <c r="P284" s="294"/>
      <c r="Q284" s="294"/>
      <c r="R284" s="294"/>
      <c r="S284" s="294"/>
      <c r="T284" s="294"/>
      <c r="U284" s="294"/>
      <c r="V284" s="294"/>
      <c r="W284" s="294"/>
      <c r="X284" s="294"/>
      <c r="Y284" s="294"/>
      <c r="Z284" s="294"/>
      <c r="AA284" s="294"/>
      <c r="AB284" s="294"/>
      <c r="AC284" s="294"/>
      <c r="AD284" s="294"/>
      <c r="AE284" s="294"/>
      <c r="AF284" s="294"/>
      <c r="AG284" s="294"/>
      <c r="AH284" s="294"/>
      <c r="AI284" s="294"/>
      <c r="AJ284" s="294"/>
      <c r="AK284" s="294"/>
      <c r="AL284" s="294"/>
      <c r="AM284" s="294"/>
      <c r="AN284" s="294"/>
      <c r="AO284" s="294"/>
      <c r="AP284" s="294"/>
      <c r="AQ284" s="294"/>
      <c r="AR284" s="294"/>
      <c r="AS284" s="294"/>
      <c r="AT284" s="294"/>
      <c r="AU284" s="294"/>
      <c r="AV284" s="294"/>
      <c r="AW284" s="294"/>
      <c r="AX284" s="294"/>
      <c r="AY284" s="294"/>
      <c r="AZ284" s="294"/>
      <c r="BA284" s="294"/>
      <c r="BB284" s="294"/>
      <c r="BC284" s="294"/>
      <c r="BD284" s="294"/>
      <c r="BE284" s="294"/>
      <c r="BF284" s="294"/>
      <c r="BG284" s="294"/>
      <c r="BH284" s="294"/>
      <c r="BI284" s="294"/>
      <c r="BJ284" s="294"/>
      <c r="BK284" s="294"/>
      <c r="BL284" s="294"/>
      <c r="BM284" s="294"/>
    </row>
    <row r="285" spans="1:65" x14ac:dyDescent="0.25">
      <c r="A285" s="294"/>
      <c r="B285" s="294"/>
      <c r="C285" s="294"/>
      <c r="D285" s="294"/>
      <c r="E285" s="294"/>
      <c r="F285" s="294"/>
      <c r="G285" s="294"/>
      <c r="H285" s="294"/>
      <c r="I285" s="294"/>
      <c r="J285" s="294"/>
      <c r="K285" s="294"/>
      <c r="L285" s="294"/>
      <c r="M285" s="294"/>
      <c r="N285" s="294"/>
      <c r="O285" s="294"/>
      <c r="P285" s="294"/>
      <c r="Q285" s="294"/>
      <c r="R285" s="294"/>
      <c r="S285" s="294"/>
      <c r="T285" s="294"/>
      <c r="U285" s="294"/>
      <c r="V285" s="294"/>
      <c r="W285" s="294"/>
      <c r="X285" s="294"/>
      <c r="Y285" s="294"/>
      <c r="Z285" s="294"/>
      <c r="AA285" s="294"/>
      <c r="AB285" s="294"/>
      <c r="AC285" s="294"/>
      <c r="AD285" s="294"/>
      <c r="AE285" s="294"/>
      <c r="AF285" s="294"/>
      <c r="AG285" s="294"/>
      <c r="AH285" s="294"/>
      <c r="AI285" s="294"/>
      <c r="AJ285" s="294"/>
      <c r="AK285" s="294"/>
      <c r="AL285" s="294"/>
      <c r="AM285" s="294"/>
      <c r="AN285" s="294"/>
      <c r="AO285" s="294"/>
      <c r="AP285" s="294"/>
      <c r="AQ285" s="294"/>
      <c r="AR285" s="294"/>
      <c r="AS285" s="294"/>
      <c r="AT285" s="294"/>
      <c r="AU285" s="294"/>
      <c r="AV285" s="294"/>
      <c r="AW285" s="294"/>
      <c r="AX285" s="294"/>
      <c r="AY285" s="294"/>
      <c r="AZ285" s="294"/>
      <c r="BA285" s="294"/>
      <c r="BB285" s="294"/>
      <c r="BC285" s="294"/>
      <c r="BD285" s="294"/>
      <c r="BE285" s="294"/>
      <c r="BF285" s="294"/>
      <c r="BG285" s="294"/>
      <c r="BH285" s="294"/>
      <c r="BI285" s="294"/>
      <c r="BJ285" s="294"/>
      <c r="BK285" s="294"/>
      <c r="BL285" s="294"/>
      <c r="BM285" s="294"/>
    </row>
    <row r="286" spans="1:65" x14ac:dyDescent="0.25">
      <c r="A286" s="294"/>
      <c r="B286" s="294"/>
      <c r="C286" s="294"/>
      <c r="D286" s="294"/>
      <c r="E286" s="294"/>
      <c r="F286" s="294"/>
      <c r="G286" s="294"/>
      <c r="H286" s="294"/>
      <c r="I286" s="294"/>
      <c r="J286" s="294"/>
      <c r="K286" s="294"/>
      <c r="L286" s="294"/>
      <c r="M286" s="294"/>
      <c r="N286" s="294"/>
      <c r="O286" s="294"/>
      <c r="P286" s="294"/>
      <c r="Q286" s="294"/>
      <c r="R286" s="294"/>
      <c r="S286" s="294"/>
      <c r="T286" s="294"/>
      <c r="U286" s="294"/>
      <c r="V286" s="294"/>
      <c r="W286" s="294"/>
      <c r="X286" s="294"/>
      <c r="Y286" s="294"/>
      <c r="Z286" s="294"/>
      <c r="AA286" s="294"/>
      <c r="AB286" s="294"/>
      <c r="AC286" s="294"/>
      <c r="AD286" s="294"/>
      <c r="AE286" s="294"/>
      <c r="AF286" s="294"/>
      <c r="AG286" s="294"/>
      <c r="AH286" s="294"/>
      <c r="AI286" s="294"/>
      <c r="AJ286" s="294"/>
      <c r="AK286" s="294"/>
      <c r="AL286" s="294"/>
      <c r="AM286" s="294"/>
      <c r="AN286" s="294"/>
      <c r="AO286" s="294"/>
      <c r="AP286" s="294"/>
      <c r="AQ286" s="294"/>
      <c r="AR286" s="294"/>
      <c r="AS286" s="294"/>
      <c r="AT286" s="294"/>
      <c r="AU286" s="294"/>
      <c r="AV286" s="294"/>
      <c r="AW286" s="294"/>
      <c r="AX286" s="294"/>
      <c r="AY286" s="294"/>
      <c r="AZ286" s="294"/>
      <c r="BA286" s="294"/>
      <c r="BB286" s="294"/>
      <c r="BC286" s="294"/>
      <c r="BD286" s="294"/>
      <c r="BE286" s="294"/>
      <c r="BF286" s="294"/>
      <c r="BG286" s="294"/>
      <c r="BH286" s="294"/>
      <c r="BI286" s="294"/>
      <c r="BJ286" s="294"/>
      <c r="BK286" s="294"/>
      <c r="BL286" s="294"/>
      <c r="BM286" s="294"/>
    </row>
    <row r="287" spans="1:65" x14ac:dyDescent="0.25">
      <c r="A287" s="294"/>
      <c r="B287" s="294"/>
      <c r="C287" s="294"/>
      <c r="D287" s="294"/>
      <c r="E287" s="294"/>
      <c r="F287" s="294"/>
      <c r="G287" s="294"/>
      <c r="H287" s="294"/>
      <c r="I287" s="294"/>
      <c r="J287" s="294"/>
      <c r="K287" s="294"/>
      <c r="L287" s="294"/>
      <c r="M287" s="294"/>
      <c r="N287" s="294"/>
      <c r="O287" s="294"/>
      <c r="P287" s="294"/>
      <c r="Q287" s="294"/>
      <c r="R287" s="294"/>
      <c r="S287" s="294"/>
      <c r="T287" s="294"/>
      <c r="U287" s="294"/>
      <c r="V287" s="294"/>
      <c r="W287" s="294"/>
      <c r="X287" s="294"/>
      <c r="Y287" s="294"/>
      <c r="Z287" s="294"/>
      <c r="AA287" s="294"/>
      <c r="AB287" s="294"/>
      <c r="AC287" s="294"/>
      <c r="AD287" s="294"/>
      <c r="AE287" s="294"/>
      <c r="AF287" s="294"/>
      <c r="AG287" s="294"/>
      <c r="AH287" s="294"/>
      <c r="AI287" s="294"/>
      <c r="AJ287" s="294"/>
      <c r="AK287" s="294"/>
      <c r="AL287" s="294"/>
      <c r="AM287" s="294"/>
      <c r="AN287" s="294"/>
      <c r="AO287" s="294"/>
      <c r="AP287" s="294"/>
      <c r="AQ287" s="294"/>
      <c r="AR287" s="294"/>
      <c r="AS287" s="294"/>
      <c r="AT287" s="294"/>
      <c r="AU287" s="294"/>
      <c r="AV287" s="294"/>
      <c r="AW287" s="294"/>
      <c r="AX287" s="294"/>
      <c r="AY287" s="294"/>
      <c r="AZ287" s="294"/>
      <c r="BA287" s="294"/>
      <c r="BB287" s="294"/>
      <c r="BC287" s="294"/>
      <c r="BD287" s="294"/>
      <c r="BE287" s="294"/>
      <c r="BF287" s="294"/>
      <c r="BG287" s="294"/>
      <c r="BH287" s="294"/>
      <c r="BI287" s="294"/>
      <c r="BJ287" s="294"/>
      <c r="BK287" s="294"/>
      <c r="BL287" s="294"/>
      <c r="BM287" s="294"/>
    </row>
    <row r="288" spans="1:65" x14ac:dyDescent="0.25">
      <c r="A288" s="294"/>
      <c r="B288" s="294"/>
      <c r="C288" s="294"/>
      <c r="D288" s="294"/>
      <c r="E288" s="294"/>
      <c r="F288" s="294"/>
      <c r="G288" s="294"/>
      <c r="H288" s="294"/>
      <c r="I288" s="294"/>
      <c r="J288" s="294"/>
      <c r="K288" s="294"/>
      <c r="L288" s="294"/>
      <c r="M288" s="294"/>
      <c r="N288" s="294"/>
      <c r="O288" s="294"/>
      <c r="P288" s="294"/>
      <c r="Q288" s="294"/>
      <c r="R288" s="294"/>
      <c r="S288" s="294"/>
      <c r="T288" s="294"/>
      <c r="U288" s="294"/>
      <c r="V288" s="294"/>
      <c r="W288" s="294"/>
      <c r="X288" s="294"/>
      <c r="Y288" s="294"/>
      <c r="Z288" s="294"/>
      <c r="AA288" s="294"/>
      <c r="AB288" s="294"/>
      <c r="AC288" s="294"/>
      <c r="AD288" s="294"/>
      <c r="AE288" s="294"/>
      <c r="AF288" s="294"/>
      <c r="AG288" s="294"/>
      <c r="AH288" s="294"/>
      <c r="AI288" s="294"/>
      <c r="AJ288" s="294"/>
      <c r="AK288" s="294"/>
      <c r="AL288" s="294"/>
      <c r="AM288" s="294"/>
      <c r="AN288" s="294"/>
      <c r="AO288" s="294"/>
      <c r="AP288" s="294"/>
      <c r="AQ288" s="294"/>
      <c r="AR288" s="294"/>
      <c r="AS288" s="294"/>
      <c r="AT288" s="294"/>
      <c r="AU288" s="294"/>
      <c r="AV288" s="294"/>
      <c r="AW288" s="294"/>
      <c r="AX288" s="294"/>
      <c r="AY288" s="294"/>
      <c r="AZ288" s="294"/>
      <c r="BA288" s="294"/>
      <c r="BB288" s="294"/>
      <c r="BC288" s="294"/>
      <c r="BD288" s="294"/>
      <c r="BE288" s="294"/>
      <c r="BF288" s="294"/>
      <c r="BG288" s="294"/>
      <c r="BH288" s="294"/>
      <c r="BI288" s="294"/>
      <c r="BJ288" s="294"/>
      <c r="BK288" s="294"/>
      <c r="BL288" s="294"/>
      <c r="BM288" s="294"/>
    </row>
    <row r="289" spans="1:65" x14ac:dyDescent="0.25">
      <c r="A289" s="294"/>
      <c r="B289" s="294"/>
      <c r="C289" s="294"/>
      <c r="D289" s="294"/>
      <c r="E289" s="294"/>
      <c r="F289" s="294"/>
      <c r="G289" s="294"/>
      <c r="H289" s="294"/>
      <c r="I289" s="294"/>
      <c r="J289" s="294"/>
      <c r="K289" s="294"/>
      <c r="L289" s="294"/>
      <c r="M289" s="294"/>
      <c r="N289" s="294"/>
      <c r="O289" s="294"/>
      <c r="P289" s="294"/>
      <c r="Q289" s="294"/>
      <c r="R289" s="294"/>
      <c r="S289" s="294"/>
      <c r="T289" s="294"/>
      <c r="U289" s="294"/>
      <c r="V289" s="294"/>
      <c r="W289" s="294"/>
      <c r="X289" s="294"/>
      <c r="Y289" s="294"/>
      <c r="Z289" s="294"/>
      <c r="AA289" s="294"/>
      <c r="AB289" s="294"/>
      <c r="AC289" s="294"/>
      <c r="AD289" s="294"/>
      <c r="AE289" s="294"/>
      <c r="AF289" s="294"/>
      <c r="AG289" s="294"/>
      <c r="AH289" s="294"/>
      <c r="AI289" s="294"/>
      <c r="AJ289" s="294"/>
      <c r="AK289" s="294"/>
      <c r="AL289" s="294"/>
      <c r="AM289" s="294"/>
      <c r="AN289" s="294"/>
      <c r="AO289" s="294"/>
      <c r="AP289" s="294"/>
      <c r="AQ289" s="294"/>
      <c r="AR289" s="294"/>
      <c r="AS289" s="294"/>
      <c r="AT289" s="294"/>
      <c r="AU289" s="294"/>
      <c r="AV289" s="294"/>
      <c r="AW289" s="294"/>
      <c r="AX289" s="294"/>
      <c r="AY289" s="294"/>
      <c r="AZ289" s="294"/>
      <c r="BA289" s="294"/>
      <c r="BB289" s="294"/>
      <c r="BC289" s="294"/>
      <c r="BD289" s="294"/>
      <c r="BE289" s="294"/>
      <c r="BF289" s="294"/>
      <c r="BG289" s="294"/>
      <c r="BH289" s="294"/>
      <c r="BI289" s="294"/>
      <c r="BJ289" s="294"/>
      <c r="BK289" s="294"/>
      <c r="BL289" s="294"/>
      <c r="BM289" s="294"/>
    </row>
    <row r="290" spans="1:65" x14ac:dyDescent="0.25">
      <c r="A290" s="294"/>
      <c r="B290" s="294"/>
      <c r="C290" s="294"/>
      <c r="D290" s="294"/>
      <c r="E290" s="294"/>
      <c r="F290" s="294"/>
      <c r="G290" s="294"/>
      <c r="H290" s="294"/>
      <c r="I290" s="294"/>
      <c r="J290" s="294"/>
      <c r="K290" s="294"/>
      <c r="L290" s="294"/>
      <c r="M290" s="294"/>
      <c r="N290" s="294"/>
      <c r="O290" s="294"/>
      <c r="P290" s="294"/>
      <c r="Q290" s="294"/>
      <c r="R290" s="294"/>
      <c r="S290" s="294"/>
      <c r="T290" s="294"/>
      <c r="U290" s="294"/>
      <c r="V290" s="294"/>
      <c r="W290" s="294"/>
      <c r="X290" s="294"/>
      <c r="Y290" s="294"/>
      <c r="Z290" s="294"/>
      <c r="AA290" s="294"/>
      <c r="AB290" s="294"/>
      <c r="AC290" s="294"/>
      <c r="AD290" s="294"/>
      <c r="AE290" s="294"/>
      <c r="AF290" s="294"/>
      <c r="AG290" s="294"/>
      <c r="AH290" s="294"/>
      <c r="AI290" s="294"/>
      <c r="AJ290" s="294"/>
      <c r="AK290" s="294"/>
      <c r="AL290" s="294"/>
      <c r="AM290" s="294"/>
      <c r="AN290" s="294"/>
      <c r="AO290" s="294"/>
      <c r="AP290" s="294"/>
      <c r="AQ290" s="294"/>
      <c r="AR290" s="294"/>
      <c r="AS290" s="294"/>
      <c r="AT290" s="294"/>
      <c r="AU290" s="294"/>
      <c r="AV290" s="294"/>
      <c r="AW290" s="294"/>
      <c r="AX290" s="294"/>
      <c r="AY290" s="294"/>
      <c r="AZ290" s="294"/>
      <c r="BA290" s="294"/>
      <c r="BB290" s="294"/>
      <c r="BC290" s="294"/>
      <c r="BD290" s="294"/>
      <c r="BE290" s="294"/>
      <c r="BF290" s="294"/>
      <c r="BG290" s="294"/>
      <c r="BH290" s="294"/>
      <c r="BI290" s="294"/>
      <c r="BJ290" s="294"/>
      <c r="BK290" s="294"/>
      <c r="BL290" s="294"/>
      <c r="BM290" s="294"/>
    </row>
    <row r="291" spans="1:65" x14ac:dyDescent="0.25">
      <c r="A291" s="294"/>
      <c r="B291" s="294"/>
      <c r="C291" s="294"/>
      <c r="D291" s="294"/>
      <c r="E291" s="294"/>
      <c r="F291" s="294"/>
      <c r="G291" s="294"/>
      <c r="H291" s="294"/>
      <c r="I291" s="294"/>
      <c r="J291" s="294"/>
      <c r="K291" s="294"/>
      <c r="L291" s="294"/>
      <c r="M291" s="294"/>
      <c r="N291" s="294"/>
      <c r="O291" s="294"/>
      <c r="P291" s="294"/>
      <c r="Q291" s="294"/>
      <c r="R291" s="294"/>
      <c r="S291" s="294"/>
      <c r="T291" s="294"/>
      <c r="U291" s="294"/>
      <c r="V291" s="294"/>
      <c r="W291" s="294"/>
      <c r="X291" s="294"/>
      <c r="Y291" s="294"/>
      <c r="Z291" s="294"/>
      <c r="AA291" s="294"/>
      <c r="AB291" s="294"/>
      <c r="AC291" s="294"/>
      <c r="AD291" s="294"/>
      <c r="AE291" s="294"/>
      <c r="AF291" s="294"/>
      <c r="AG291" s="294"/>
      <c r="AH291" s="294"/>
      <c r="AI291" s="294"/>
      <c r="AJ291" s="294"/>
      <c r="AK291" s="294"/>
      <c r="AL291" s="294"/>
      <c r="AM291" s="294"/>
      <c r="AN291" s="294"/>
      <c r="AO291" s="294"/>
      <c r="AP291" s="294"/>
      <c r="AQ291" s="294"/>
      <c r="AR291" s="294"/>
      <c r="AS291" s="294"/>
      <c r="AT291" s="294"/>
      <c r="AU291" s="294"/>
      <c r="AV291" s="294"/>
      <c r="AW291" s="294"/>
      <c r="AX291" s="294"/>
      <c r="AY291" s="294"/>
      <c r="AZ291" s="294"/>
      <c r="BA291" s="294"/>
      <c r="BB291" s="294"/>
      <c r="BC291" s="294"/>
      <c r="BD291" s="294"/>
      <c r="BE291" s="294"/>
      <c r="BF291" s="294"/>
      <c r="BG291" s="294"/>
      <c r="BH291" s="294"/>
      <c r="BI291" s="294"/>
      <c r="BJ291" s="294"/>
      <c r="BK291" s="294"/>
      <c r="BL291" s="294"/>
      <c r="BM291" s="294"/>
    </row>
    <row r="292" spans="1:65" x14ac:dyDescent="0.25">
      <c r="A292" s="294"/>
      <c r="B292" s="294"/>
      <c r="C292" s="294"/>
      <c r="D292" s="294"/>
      <c r="E292" s="294"/>
      <c r="F292" s="294"/>
      <c r="G292" s="294"/>
      <c r="H292" s="294"/>
      <c r="I292" s="294"/>
      <c r="J292" s="294"/>
      <c r="K292" s="294"/>
      <c r="L292" s="294"/>
      <c r="M292" s="294"/>
      <c r="N292" s="294"/>
      <c r="O292" s="294"/>
      <c r="P292" s="294"/>
      <c r="Q292" s="294"/>
      <c r="R292" s="294"/>
      <c r="S292" s="294"/>
      <c r="T292" s="294"/>
      <c r="U292" s="294"/>
      <c r="V292" s="294"/>
      <c r="W292" s="294"/>
      <c r="X292" s="294"/>
      <c r="Y292" s="294"/>
      <c r="Z292" s="294"/>
      <c r="AA292" s="294"/>
      <c r="AB292" s="294"/>
      <c r="AC292" s="294"/>
      <c r="AD292" s="294"/>
      <c r="AE292" s="294"/>
      <c r="AF292" s="294"/>
      <c r="AG292" s="294"/>
      <c r="AH292" s="294"/>
      <c r="AI292" s="294"/>
      <c r="AJ292" s="294"/>
      <c r="AK292" s="294"/>
      <c r="AL292" s="294"/>
      <c r="AM292" s="294"/>
      <c r="AN292" s="294"/>
      <c r="AO292" s="294"/>
      <c r="AP292" s="294"/>
      <c r="AQ292" s="294"/>
      <c r="AR292" s="294"/>
      <c r="AS292" s="294"/>
      <c r="AT292" s="294"/>
      <c r="AU292" s="294"/>
      <c r="AV292" s="294"/>
      <c r="AW292" s="294"/>
      <c r="AX292" s="294"/>
      <c r="AY292" s="294"/>
      <c r="AZ292" s="294"/>
      <c r="BA292" s="294"/>
      <c r="BB292" s="294"/>
      <c r="BC292" s="294"/>
      <c r="BD292" s="294"/>
      <c r="BE292" s="294"/>
      <c r="BF292" s="294"/>
      <c r="BG292" s="294"/>
      <c r="BH292" s="294"/>
      <c r="BI292" s="294"/>
      <c r="BJ292" s="294"/>
      <c r="BK292" s="294"/>
      <c r="BL292" s="294"/>
      <c r="BM292" s="294"/>
    </row>
    <row r="293" spans="1:65" x14ac:dyDescent="0.25">
      <c r="A293" s="294"/>
      <c r="B293" s="294"/>
      <c r="C293" s="294"/>
      <c r="D293" s="294"/>
      <c r="E293" s="294"/>
      <c r="F293" s="294"/>
      <c r="G293" s="294"/>
      <c r="H293" s="294"/>
      <c r="I293" s="294"/>
      <c r="J293" s="294"/>
      <c r="K293" s="294"/>
      <c r="L293" s="294"/>
      <c r="M293" s="294"/>
      <c r="N293" s="294"/>
      <c r="O293" s="294"/>
      <c r="P293" s="294"/>
      <c r="Q293" s="294"/>
      <c r="R293" s="294"/>
      <c r="S293" s="294"/>
      <c r="T293" s="294"/>
      <c r="U293" s="294"/>
      <c r="V293" s="294"/>
      <c r="W293" s="294"/>
      <c r="X293" s="294"/>
      <c r="Y293" s="294"/>
      <c r="Z293" s="294"/>
      <c r="AA293" s="294"/>
      <c r="AB293" s="294"/>
      <c r="AC293" s="294"/>
      <c r="AD293" s="294"/>
      <c r="AE293" s="294"/>
      <c r="AF293" s="294"/>
      <c r="AG293" s="294"/>
      <c r="AH293" s="294"/>
      <c r="AI293" s="294"/>
      <c r="AJ293" s="294"/>
      <c r="AK293" s="294"/>
      <c r="AL293" s="294"/>
      <c r="AM293" s="294"/>
      <c r="AN293" s="294"/>
      <c r="AO293" s="294"/>
      <c r="AP293" s="294"/>
      <c r="AQ293" s="294"/>
      <c r="AR293" s="294"/>
      <c r="AS293" s="294"/>
      <c r="AT293" s="294"/>
      <c r="AU293" s="294"/>
      <c r="AV293" s="294"/>
      <c r="AW293" s="294"/>
      <c r="AX293" s="294"/>
      <c r="AY293" s="294"/>
      <c r="AZ293" s="294"/>
      <c r="BA293" s="294"/>
      <c r="BB293" s="294"/>
      <c r="BC293" s="294"/>
      <c r="BD293" s="294"/>
      <c r="BE293" s="294"/>
      <c r="BF293" s="294"/>
      <c r="BG293" s="294"/>
      <c r="BH293" s="294"/>
      <c r="BI293" s="294"/>
      <c r="BJ293" s="294"/>
      <c r="BK293" s="294"/>
      <c r="BL293" s="294"/>
      <c r="BM293" s="294"/>
    </row>
    <row r="294" spans="1:65" x14ac:dyDescent="0.25">
      <c r="A294" s="294"/>
      <c r="B294" s="294"/>
      <c r="C294" s="294"/>
      <c r="D294" s="294"/>
      <c r="E294" s="294"/>
      <c r="F294" s="294"/>
      <c r="G294" s="294"/>
      <c r="H294" s="294"/>
      <c r="I294" s="294"/>
      <c r="J294" s="294"/>
      <c r="K294" s="294"/>
      <c r="L294" s="294"/>
      <c r="M294" s="294"/>
      <c r="N294" s="294"/>
      <c r="O294" s="294"/>
      <c r="P294" s="294"/>
      <c r="Q294" s="294"/>
      <c r="R294" s="294"/>
      <c r="S294" s="294"/>
      <c r="T294" s="294"/>
      <c r="U294" s="294"/>
      <c r="V294" s="294"/>
      <c r="W294" s="294"/>
      <c r="X294" s="294"/>
      <c r="Y294" s="294"/>
      <c r="Z294" s="294"/>
      <c r="AA294" s="294"/>
      <c r="AB294" s="294"/>
      <c r="AC294" s="294"/>
      <c r="AD294" s="294"/>
      <c r="AE294" s="294"/>
      <c r="AF294" s="294"/>
      <c r="AG294" s="294"/>
      <c r="AH294" s="294"/>
      <c r="AI294" s="294"/>
      <c r="AJ294" s="294"/>
      <c r="AK294" s="294"/>
      <c r="AL294" s="294"/>
      <c r="AM294" s="294"/>
      <c r="AN294" s="294"/>
      <c r="AO294" s="294"/>
      <c r="AP294" s="294"/>
      <c r="AQ294" s="294"/>
      <c r="AR294" s="294"/>
      <c r="AS294" s="294"/>
      <c r="AT294" s="294"/>
      <c r="AU294" s="294"/>
      <c r="AV294" s="294"/>
      <c r="AW294" s="294"/>
      <c r="AX294" s="294"/>
      <c r="AY294" s="294"/>
      <c r="AZ294" s="294"/>
      <c r="BA294" s="294"/>
      <c r="BB294" s="294"/>
      <c r="BC294" s="294"/>
      <c r="BD294" s="294"/>
      <c r="BE294" s="294"/>
      <c r="BF294" s="294"/>
      <c r="BG294" s="294"/>
      <c r="BH294" s="294"/>
      <c r="BI294" s="294"/>
      <c r="BJ294" s="294"/>
      <c r="BK294" s="294"/>
      <c r="BL294" s="294"/>
      <c r="BM294" s="294"/>
    </row>
    <row r="295" spans="1:65" x14ac:dyDescent="0.25">
      <c r="A295" s="294"/>
      <c r="B295" s="294"/>
      <c r="C295" s="294"/>
      <c r="D295" s="294"/>
      <c r="E295" s="294"/>
      <c r="F295" s="294"/>
      <c r="G295" s="294"/>
      <c r="H295" s="294"/>
      <c r="I295" s="294"/>
      <c r="J295" s="294"/>
      <c r="K295" s="294"/>
      <c r="L295" s="294"/>
      <c r="M295" s="294"/>
      <c r="N295" s="294"/>
      <c r="O295" s="294"/>
      <c r="P295" s="294"/>
      <c r="Q295" s="294"/>
      <c r="R295" s="294"/>
      <c r="S295" s="294"/>
      <c r="T295" s="294"/>
      <c r="U295" s="294"/>
      <c r="V295" s="294"/>
      <c r="W295" s="294"/>
      <c r="X295" s="294"/>
      <c r="Y295" s="294"/>
      <c r="Z295" s="294"/>
      <c r="AA295" s="294"/>
      <c r="AB295" s="294"/>
      <c r="AC295" s="294"/>
      <c r="AD295" s="294"/>
      <c r="AE295" s="294"/>
      <c r="AF295" s="294"/>
      <c r="AG295" s="294"/>
      <c r="AH295" s="294"/>
      <c r="AI295" s="294"/>
      <c r="AJ295" s="294"/>
      <c r="AK295" s="294"/>
      <c r="AL295" s="294"/>
      <c r="AM295" s="294"/>
      <c r="AN295" s="294"/>
      <c r="AO295" s="294"/>
      <c r="AP295" s="294"/>
      <c r="AQ295" s="294"/>
      <c r="AR295" s="294"/>
      <c r="AS295" s="294"/>
      <c r="AT295" s="294"/>
      <c r="AU295" s="294"/>
      <c r="AV295" s="294"/>
      <c r="AW295" s="294"/>
      <c r="AX295" s="294"/>
      <c r="AY295" s="294"/>
      <c r="AZ295" s="294"/>
      <c r="BA295" s="294"/>
      <c r="BB295" s="294"/>
      <c r="BC295" s="294"/>
      <c r="BD295" s="294"/>
      <c r="BE295" s="294"/>
      <c r="BF295" s="294"/>
      <c r="BG295" s="294"/>
      <c r="BH295" s="294"/>
      <c r="BI295" s="294"/>
      <c r="BJ295" s="294"/>
      <c r="BK295" s="294"/>
      <c r="BL295" s="294"/>
      <c r="BM295" s="294"/>
    </row>
    <row r="296" spans="1:65" x14ac:dyDescent="0.25">
      <c r="A296" s="294"/>
      <c r="B296" s="294"/>
      <c r="C296" s="294"/>
      <c r="D296" s="294"/>
      <c r="E296" s="294"/>
      <c r="F296" s="294"/>
      <c r="G296" s="294"/>
      <c r="H296" s="294"/>
      <c r="I296" s="294"/>
      <c r="J296" s="294"/>
      <c r="K296" s="294"/>
      <c r="L296" s="294"/>
      <c r="M296" s="294"/>
      <c r="N296" s="294"/>
      <c r="O296" s="294"/>
      <c r="P296" s="294"/>
      <c r="Q296" s="294"/>
      <c r="R296" s="294"/>
      <c r="S296" s="294"/>
      <c r="T296" s="294"/>
      <c r="U296" s="294"/>
      <c r="V296" s="294"/>
      <c r="W296" s="294"/>
      <c r="X296" s="294"/>
      <c r="Y296" s="294"/>
      <c r="Z296" s="294"/>
      <c r="AA296" s="294"/>
      <c r="AB296" s="294"/>
      <c r="AC296" s="294"/>
      <c r="AD296" s="294"/>
      <c r="AE296" s="294"/>
      <c r="AF296" s="294"/>
      <c r="AG296" s="294"/>
      <c r="AH296" s="294"/>
      <c r="AI296" s="294"/>
      <c r="AJ296" s="294"/>
      <c r="AK296" s="294"/>
      <c r="AL296" s="294"/>
      <c r="AM296" s="294"/>
      <c r="AN296" s="294"/>
      <c r="AO296" s="294"/>
      <c r="AP296" s="294"/>
      <c r="AQ296" s="294"/>
      <c r="AR296" s="294"/>
      <c r="AS296" s="294"/>
      <c r="AT296" s="294"/>
      <c r="AU296" s="294"/>
      <c r="AV296" s="294"/>
      <c r="AW296" s="294"/>
      <c r="AX296" s="294"/>
      <c r="AY296" s="294"/>
      <c r="AZ296" s="294"/>
      <c r="BA296" s="294"/>
      <c r="BB296" s="294"/>
      <c r="BC296" s="294"/>
      <c r="BD296" s="294"/>
      <c r="BE296" s="294"/>
      <c r="BF296" s="294"/>
      <c r="BG296" s="294"/>
      <c r="BH296" s="294"/>
      <c r="BI296" s="294"/>
      <c r="BJ296" s="294"/>
      <c r="BK296" s="294"/>
      <c r="BL296" s="294"/>
      <c r="BM296" s="294"/>
    </row>
    <row r="297" spans="1:65" x14ac:dyDescent="0.25">
      <c r="A297" s="294"/>
      <c r="B297" s="294"/>
      <c r="C297" s="294"/>
      <c r="D297" s="294"/>
      <c r="E297" s="294"/>
      <c r="F297" s="294"/>
      <c r="G297" s="294"/>
      <c r="H297" s="294"/>
      <c r="I297" s="294"/>
      <c r="J297" s="294"/>
      <c r="K297" s="294"/>
      <c r="L297" s="294"/>
      <c r="M297" s="294"/>
      <c r="N297" s="294"/>
      <c r="O297" s="294"/>
      <c r="P297" s="294"/>
      <c r="Q297" s="294"/>
      <c r="R297" s="294"/>
      <c r="S297" s="294"/>
      <c r="T297" s="294"/>
      <c r="U297" s="294"/>
      <c r="V297" s="294"/>
      <c r="W297" s="294"/>
      <c r="X297" s="294"/>
      <c r="Y297" s="294"/>
      <c r="Z297" s="294"/>
      <c r="AA297" s="294"/>
      <c r="AB297" s="294"/>
      <c r="AC297" s="294"/>
      <c r="AD297" s="294"/>
      <c r="AE297" s="294"/>
      <c r="AF297" s="294"/>
      <c r="AG297" s="294"/>
      <c r="AH297" s="294"/>
      <c r="AI297" s="294"/>
      <c r="AJ297" s="294"/>
      <c r="AK297" s="294"/>
      <c r="AL297" s="294"/>
      <c r="AM297" s="294"/>
      <c r="AN297" s="294"/>
      <c r="AO297" s="294"/>
      <c r="AP297" s="294"/>
      <c r="AQ297" s="294"/>
      <c r="AR297" s="294"/>
      <c r="AS297" s="294"/>
      <c r="AT297" s="294"/>
      <c r="AU297" s="294"/>
      <c r="AV297" s="294"/>
      <c r="AW297" s="294"/>
      <c r="AX297" s="294"/>
      <c r="AY297" s="294"/>
      <c r="AZ297" s="294"/>
      <c r="BA297" s="294"/>
      <c r="BB297" s="294"/>
      <c r="BC297" s="294"/>
      <c r="BD297" s="294"/>
      <c r="BE297" s="294"/>
      <c r="BF297" s="294"/>
      <c r="BG297" s="294"/>
      <c r="BH297" s="294"/>
      <c r="BI297" s="294"/>
      <c r="BJ297" s="294"/>
      <c r="BK297" s="294"/>
      <c r="BL297" s="294"/>
      <c r="BM297" s="294"/>
    </row>
    <row r="298" spans="1:65" x14ac:dyDescent="0.25">
      <c r="A298" s="294"/>
      <c r="B298" s="294"/>
      <c r="C298" s="294"/>
      <c r="D298" s="294"/>
      <c r="E298" s="294"/>
      <c r="F298" s="294"/>
      <c r="G298" s="294"/>
      <c r="H298" s="294"/>
      <c r="I298" s="294"/>
      <c r="J298" s="294"/>
      <c r="K298" s="294"/>
      <c r="L298" s="294"/>
      <c r="M298" s="294"/>
      <c r="N298" s="294"/>
      <c r="O298" s="294"/>
      <c r="P298" s="294"/>
      <c r="Q298" s="294"/>
      <c r="R298" s="294"/>
      <c r="S298" s="294"/>
      <c r="T298" s="294"/>
      <c r="U298" s="294"/>
      <c r="V298" s="294"/>
      <c r="W298" s="294"/>
      <c r="X298" s="294"/>
      <c r="Y298" s="294"/>
      <c r="Z298" s="294"/>
      <c r="AA298" s="294"/>
      <c r="AB298" s="294"/>
      <c r="AC298" s="294"/>
      <c r="AD298" s="294"/>
      <c r="AE298" s="294"/>
      <c r="AF298" s="294"/>
      <c r="AG298" s="294"/>
      <c r="AH298" s="294"/>
      <c r="AI298" s="294"/>
      <c r="AJ298" s="294"/>
      <c r="AK298" s="294"/>
      <c r="AL298" s="294"/>
      <c r="AM298" s="294"/>
      <c r="AN298" s="294"/>
      <c r="AO298" s="294"/>
      <c r="AP298" s="294"/>
      <c r="AQ298" s="294"/>
      <c r="AR298" s="294"/>
      <c r="AS298" s="294"/>
      <c r="AT298" s="294"/>
      <c r="AU298" s="294"/>
      <c r="AV298" s="294"/>
      <c r="AW298" s="294"/>
      <c r="AX298" s="294"/>
      <c r="AY298" s="294"/>
      <c r="AZ298" s="294"/>
      <c r="BA298" s="294"/>
      <c r="BB298" s="294"/>
      <c r="BC298" s="294"/>
      <c r="BD298" s="294"/>
      <c r="BE298" s="294"/>
      <c r="BF298" s="294"/>
      <c r="BG298" s="294"/>
      <c r="BH298" s="294"/>
      <c r="BI298" s="294"/>
      <c r="BJ298" s="294"/>
      <c r="BK298" s="294"/>
      <c r="BL298" s="294"/>
      <c r="BM298" s="294"/>
    </row>
    <row r="299" spans="1:65" x14ac:dyDescent="0.25">
      <c r="A299" s="294"/>
      <c r="B299" s="294"/>
      <c r="C299" s="294"/>
      <c r="D299" s="294"/>
      <c r="E299" s="294"/>
      <c r="F299" s="294"/>
      <c r="G299" s="294"/>
      <c r="H299" s="294"/>
      <c r="I299" s="294"/>
      <c r="J299" s="294"/>
      <c r="K299" s="294"/>
      <c r="L299" s="294"/>
      <c r="M299" s="294"/>
      <c r="N299" s="294"/>
      <c r="O299" s="294"/>
      <c r="P299" s="294"/>
      <c r="Q299" s="294"/>
      <c r="R299" s="294"/>
      <c r="S299" s="294"/>
      <c r="T299" s="294"/>
      <c r="U299" s="294"/>
      <c r="V299" s="294"/>
      <c r="W299" s="294"/>
      <c r="X299" s="294"/>
      <c r="Y299" s="294"/>
      <c r="Z299" s="294"/>
      <c r="AA299" s="294"/>
      <c r="AB299" s="294"/>
      <c r="AC299" s="294"/>
      <c r="AD299" s="294"/>
      <c r="AE299" s="294"/>
      <c r="AF299" s="294"/>
      <c r="AG299" s="294"/>
      <c r="AH299" s="294"/>
      <c r="AI299" s="294"/>
      <c r="AJ299" s="294"/>
      <c r="AK299" s="294"/>
      <c r="AL299" s="294"/>
      <c r="AM299" s="294"/>
      <c r="AN299" s="294"/>
      <c r="AO299" s="294"/>
      <c r="AP299" s="294"/>
      <c r="AQ299" s="294"/>
      <c r="AR299" s="294"/>
      <c r="AS299" s="294"/>
      <c r="AT299" s="294"/>
      <c r="AU299" s="294"/>
      <c r="AV299" s="294"/>
      <c r="AW299" s="294"/>
      <c r="AX299" s="294"/>
      <c r="AY299" s="294"/>
      <c r="AZ299" s="294"/>
      <c r="BA299" s="294"/>
      <c r="BB299" s="294"/>
      <c r="BC299" s="294"/>
      <c r="BD299" s="294"/>
      <c r="BE299" s="294"/>
      <c r="BF299" s="294"/>
      <c r="BG299" s="294"/>
      <c r="BH299" s="294"/>
      <c r="BI299" s="294"/>
      <c r="BJ299" s="294"/>
      <c r="BK299" s="294"/>
      <c r="BL299" s="294"/>
      <c r="BM299" s="294"/>
    </row>
    <row r="300" spans="1:65" x14ac:dyDescent="0.25">
      <c r="A300" s="294"/>
      <c r="B300" s="294"/>
      <c r="C300" s="294"/>
      <c r="D300" s="294"/>
      <c r="E300" s="294"/>
      <c r="F300" s="294"/>
      <c r="G300" s="294"/>
      <c r="H300" s="294"/>
      <c r="I300" s="294"/>
      <c r="J300" s="294"/>
      <c r="K300" s="294"/>
      <c r="L300" s="294"/>
      <c r="M300" s="294"/>
      <c r="N300" s="294"/>
      <c r="O300" s="294"/>
      <c r="P300" s="294"/>
      <c r="Q300" s="294"/>
      <c r="R300" s="294"/>
      <c r="S300" s="294"/>
      <c r="T300" s="294"/>
      <c r="U300" s="294"/>
      <c r="V300" s="294"/>
      <c r="W300" s="294"/>
      <c r="X300" s="294"/>
      <c r="Y300" s="294"/>
      <c r="Z300" s="294"/>
      <c r="AA300" s="294"/>
      <c r="AB300" s="294"/>
      <c r="AC300" s="294"/>
      <c r="AD300" s="294"/>
      <c r="AE300" s="294"/>
      <c r="AF300" s="294"/>
      <c r="AG300" s="294"/>
      <c r="AH300" s="294"/>
      <c r="AI300" s="294"/>
      <c r="AJ300" s="294"/>
      <c r="AK300" s="294"/>
      <c r="AL300" s="294"/>
      <c r="AM300" s="294"/>
      <c r="AN300" s="294"/>
      <c r="AO300" s="294"/>
      <c r="AP300" s="294"/>
      <c r="AQ300" s="294"/>
      <c r="AR300" s="294"/>
      <c r="AS300" s="294"/>
      <c r="AT300" s="294"/>
      <c r="AU300" s="294"/>
      <c r="AV300" s="294"/>
      <c r="AW300" s="294"/>
      <c r="AX300" s="294"/>
      <c r="AY300" s="294"/>
      <c r="AZ300" s="294"/>
      <c r="BA300" s="294"/>
      <c r="BB300" s="294"/>
      <c r="BC300" s="294"/>
      <c r="BD300" s="294"/>
      <c r="BE300" s="294"/>
      <c r="BF300" s="294"/>
      <c r="BG300" s="294"/>
      <c r="BH300" s="294"/>
      <c r="BI300" s="294"/>
      <c r="BJ300" s="294"/>
      <c r="BK300" s="294"/>
      <c r="BL300" s="294"/>
      <c r="BM300" s="294"/>
    </row>
    <row r="301" spans="1:65" x14ac:dyDescent="0.25">
      <c r="A301" s="294"/>
      <c r="B301" s="294"/>
      <c r="C301" s="294"/>
      <c r="D301" s="294"/>
      <c r="E301" s="294"/>
      <c r="F301" s="294"/>
      <c r="G301" s="294"/>
      <c r="H301" s="294"/>
      <c r="I301" s="294"/>
      <c r="J301" s="294"/>
      <c r="K301" s="294"/>
      <c r="L301" s="294"/>
      <c r="M301" s="294"/>
      <c r="N301" s="294"/>
      <c r="O301" s="294"/>
      <c r="P301" s="294"/>
      <c r="Q301" s="294"/>
      <c r="R301" s="294"/>
      <c r="S301" s="294"/>
      <c r="T301" s="294"/>
      <c r="U301" s="294"/>
      <c r="V301" s="294"/>
      <c r="W301" s="294"/>
      <c r="X301" s="294"/>
      <c r="Y301" s="294"/>
      <c r="Z301" s="294"/>
      <c r="AA301" s="294"/>
      <c r="AB301" s="294"/>
      <c r="AC301" s="294"/>
      <c r="AD301" s="294"/>
      <c r="AE301" s="294"/>
      <c r="AF301" s="294"/>
      <c r="AG301" s="294"/>
      <c r="AH301" s="294"/>
      <c r="AI301" s="294"/>
      <c r="AJ301" s="294"/>
      <c r="AK301" s="294"/>
      <c r="AL301" s="294"/>
      <c r="AM301" s="294"/>
      <c r="AN301" s="294"/>
      <c r="AO301" s="294"/>
      <c r="AP301" s="294"/>
      <c r="AQ301" s="294"/>
      <c r="AR301" s="294"/>
      <c r="AS301" s="294"/>
      <c r="AT301" s="294"/>
      <c r="AU301" s="294"/>
      <c r="AV301" s="294"/>
      <c r="AW301" s="294"/>
      <c r="AX301" s="294"/>
      <c r="AY301" s="294"/>
      <c r="AZ301" s="294"/>
      <c r="BA301" s="294"/>
      <c r="BB301" s="294"/>
      <c r="BC301" s="294"/>
      <c r="BD301" s="294"/>
      <c r="BE301" s="294"/>
      <c r="BF301" s="294"/>
      <c r="BG301" s="294"/>
      <c r="BH301" s="294"/>
      <c r="BI301" s="294"/>
      <c r="BJ301" s="294"/>
      <c r="BK301" s="294"/>
      <c r="BL301" s="294"/>
      <c r="BM301" s="294"/>
    </row>
    <row r="302" spans="1:65" x14ac:dyDescent="0.25">
      <c r="A302" s="294"/>
      <c r="B302" s="294"/>
      <c r="C302" s="294"/>
      <c r="D302" s="294"/>
      <c r="E302" s="294"/>
      <c r="F302" s="294"/>
      <c r="G302" s="294"/>
      <c r="H302" s="294"/>
      <c r="I302" s="294"/>
      <c r="J302" s="294"/>
      <c r="K302" s="294"/>
      <c r="L302" s="294"/>
      <c r="M302" s="294"/>
      <c r="N302" s="294"/>
      <c r="O302" s="294"/>
      <c r="P302" s="294"/>
      <c r="Q302" s="294"/>
      <c r="R302" s="294"/>
      <c r="S302" s="294"/>
      <c r="T302" s="294"/>
      <c r="U302" s="294"/>
      <c r="V302" s="294"/>
      <c r="W302" s="294"/>
      <c r="X302" s="294"/>
      <c r="Y302" s="294"/>
      <c r="Z302" s="294"/>
      <c r="AA302" s="294"/>
      <c r="AB302" s="294"/>
      <c r="AC302" s="294"/>
      <c r="AD302" s="294"/>
      <c r="AE302" s="294"/>
      <c r="AF302" s="294"/>
      <c r="AG302" s="294"/>
      <c r="AH302" s="294"/>
      <c r="AI302" s="294"/>
      <c r="AJ302" s="294"/>
      <c r="AK302" s="294"/>
      <c r="AL302" s="294"/>
      <c r="AM302" s="294"/>
      <c r="AN302" s="294"/>
      <c r="AO302" s="294"/>
      <c r="AP302" s="294"/>
      <c r="AQ302" s="294"/>
      <c r="AR302" s="294"/>
      <c r="AS302" s="294"/>
      <c r="AT302" s="294"/>
      <c r="AU302" s="294"/>
      <c r="AV302" s="294"/>
      <c r="AW302" s="294"/>
      <c r="AX302" s="294"/>
      <c r="AY302" s="294"/>
      <c r="AZ302" s="294"/>
      <c r="BA302" s="294"/>
      <c r="BB302" s="294"/>
      <c r="BC302" s="294"/>
      <c r="BD302" s="294"/>
      <c r="BE302" s="294"/>
      <c r="BF302" s="294"/>
      <c r="BG302" s="294"/>
      <c r="BH302" s="294"/>
      <c r="BI302" s="294"/>
      <c r="BJ302" s="294"/>
      <c r="BK302" s="294"/>
      <c r="BL302" s="294"/>
      <c r="BM302" s="294"/>
    </row>
    <row r="303" spans="1:65" x14ac:dyDescent="0.25">
      <c r="A303" s="294"/>
      <c r="B303" s="294"/>
      <c r="C303" s="294"/>
      <c r="D303" s="294"/>
      <c r="E303" s="294"/>
      <c r="F303" s="294"/>
      <c r="G303" s="294"/>
      <c r="H303" s="294"/>
      <c r="I303" s="294"/>
      <c r="J303" s="294"/>
      <c r="K303" s="294"/>
      <c r="L303" s="294"/>
      <c r="M303" s="294"/>
      <c r="N303" s="294"/>
      <c r="O303" s="294"/>
      <c r="P303" s="294"/>
      <c r="Q303" s="294"/>
      <c r="R303" s="294"/>
      <c r="S303" s="294"/>
      <c r="T303" s="294"/>
      <c r="U303" s="294"/>
      <c r="V303" s="294"/>
      <c r="W303" s="294"/>
      <c r="X303" s="294"/>
      <c r="Y303" s="294"/>
      <c r="Z303" s="294"/>
      <c r="AA303" s="294"/>
      <c r="AB303" s="294"/>
      <c r="AC303" s="294"/>
      <c r="AD303" s="294"/>
      <c r="AE303" s="294"/>
      <c r="AF303" s="294"/>
      <c r="AG303" s="294"/>
      <c r="AH303" s="294"/>
      <c r="AI303" s="294"/>
      <c r="AJ303" s="294"/>
      <c r="AK303" s="294"/>
      <c r="AL303" s="294"/>
      <c r="AM303" s="294"/>
      <c r="AN303" s="294"/>
      <c r="AO303" s="294"/>
      <c r="AP303" s="294"/>
      <c r="AQ303" s="294"/>
      <c r="AR303" s="294"/>
      <c r="AS303" s="294"/>
      <c r="AT303" s="294"/>
      <c r="AU303" s="294"/>
      <c r="AV303" s="294"/>
      <c r="AW303" s="294"/>
      <c r="AX303" s="294"/>
      <c r="AY303" s="294"/>
      <c r="AZ303" s="294"/>
      <c r="BA303" s="294"/>
      <c r="BB303" s="294"/>
      <c r="BC303" s="294"/>
      <c r="BD303" s="294"/>
      <c r="BE303" s="294"/>
      <c r="BF303" s="294"/>
      <c r="BG303" s="294"/>
      <c r="BH303" s="294"/>
      <c r="BI303" s="294"/>
      <c r="BJ303" s="294"/>
      <c r="BK303" s="294"/>
      <c r="BL303" s="294"/>
      <c r="BM303" s="294"/>
    </row>
    <row r="304" spans="1:65" x14ac:dyDescent="0.25">
      <c r="A304" s="294"/>
      <c r="B304" s="294"/>
      <c r="C304" s="294"/>
      <c r="D304" s="294"/>
      <c r="E304" s="294"/>
      <c r="F304" s="294"/>
      <c r="G304" s="294"/>
      <c r="H304" s="294"/>
      <c r="I304" s="294"/>
      <c r="J304" s="294"/>
      <c r="K304" s="294"/>
      <c r="L304" s="294"/>
      <c r="M304" s="294"/>
      <c r="N304" s="294"/>
      <c r="O304" s="294"/>
      <c r="P304" s="294"/>
      <c r="Q304" s="294"/>
      <c r="R304" s="294"/>
      <c r="S304" s="294"/>
      <c r="T304" s="294"/>
      <c r="U304" s="294"/>
      <c r="V304" s="294"/>
      <c r="W304" s="294"/>
      <c r="X304" s="294"/>
      <c r="Y304" s="294"/>
      <c r="Z304" s="294"/>
      <c r="AA304" s="294"/>
      <c r="AB304" s="294"/>
      <c r="AC304" s="294"/>
      <c r="AD304" s="294"/>
      <c r="AE304" s="294"/>
      <c r="AF304" s="294"/>
      <c r="AG304" s="294"/>
      <c r="AH304" s="294"/>
      <c r="AI304" s="294"/>
      <c r="AJ304" s="294"/>
      <c r="AK304" s="294"/>
      <c r="AL304" s="294"/>
      <c r="AM304" s="294"/>
      <c r="AN304" s="294"/>
      <c r="AO304" s="294"/>
      <c r="AP304" s="294"/>
      <c r="AQ304" s="294"/>
      <c r="AR304" s="294"/>
      <c r="AS304" s="294"/>
      <c r="AT304" s="294"/>
      <c r="AU304" s="294"/>
      <c r="AV304" s="294"/>
      <c r="AW304" s="294"/>
      <c r="AX304" s="294"/>
      <c r="AY304" s="294"/>
      <c r="AZ304" s="294"/>
      <c r="BA304" s="294"/>
      <c r="BB304" s="294"/>
      <c r="BC304" s="294"/>
      <c r="BD304" s="294"/>
      <c r="BE304" s="294"/>
      <c r="BF304" s="294"/>
      <c r="BG304" s="294"/>
      <c r="BH304" s="294"/>
      <c r="BI304" s="294"/>
      <c r="BJ304" s="294"/>
      <c r="BK304" s="294"/>
      <c r="BL304" s="294"/>
      <c r="BM304" s="294"/>
    </row>
    <row r="305" spans="1:65" x14ac:dyDescent="0.25">
      <c r="A305" s="294"/>
      <c r="B305" s="294"/>
      <c r="C305" s="294"/>
      <c r="D305" s="294"/>
      <c r="E305" s="294"/>
      <c r="F305" s="294"/>
      <c r="G305" s="294"/>
      <c r="H305" s="294"/>
      <c r="I305" s="294"/>
      <c r="J305" s="294"/>
      <c r="K305" s="294"/>
      <c r="L305" s="294"/>
      <c r="M305" s="294"/>
      <c r="N305" s="294"/>
      <c r="O305" s="294"/>
      <c r="P305" s="294"/>
      <c r="Q305" s="294"/>
      <c r="R305" s="294"/>
      <c r="S305" s="294"/>
      <c r="T305" s="294"/>
      <c r="U305" s="294"/>
      <c r="V305" s="294"/>
      <c r="W305" s="294"/>
      <c r="X305" s="294"/>
      <c r="Y305" s="294"/>
      <c r="Z305" s="294"/>
      <c r="AA305" s="294"/>
      <c r="AB305" s="294"/>
      <c r="AC305" s="294"/>
      <c r="AD305" s="294"/>
      <c r="AE305" s="294"/>
      <c r="AF305" s="294"/>
      <c r="AG305" s="294"/>
      <c r="AH305" s="294"/>
      <c r="AI305" s="294"/>
      <c r="AJ305" s="294"/>
      <c r="AK305" s="294"/>
      <c r="AL305" s="294"/>
      <c r="AM305" s="294"/>
      <c r="AN305" s="294"/>
      <c r="AO305" s="294"/>
      <c r="AP305" s="294"/>
      <c r="AQ305" s="294"/>
      <c r="AR305" s="294"/>
      <c r="AS305" s="294"/>
      <c r="AT305" s="294"/>
      <c r="AU305" s="294"/>
      <c r="AV305" s="294"/>
      <c r="AW305" s="294"/>
      <c r="AX305" s="294"/>
      <c r="AY305" s="294"/>
      <c r="AZ305" s="294"/>
      <c r="BA305" s="294"/>
      <c r="BB305" s="294"/>
      <c r="BC305" s="294"/>
      <c r="BD305" s="294"/>
      <c r="BE305" s="294"/>
      <c r="BF305" s="294"/>
      <c r="BG305" s="294"/>
      <c r="BH305" s="294"/>
      <c r="BI305" s="294"/>
      <c r="BJ305" s="294"/>
      <c r="BK305" s="294"/>
      <c r="BL305" s="294"/>
      <c r="BM305" s="294"/>
    </row>
    <row r="306" spans="1:65" x14ac:dyDescent="0.25">
      <c r="A306" s="294"/>
      <c r="B306" s="294"/>
      <c r="C306" s="294"/>
      <c r="D306" s="294"/>
      <c r="E306" s="294"/>
      <c r="F306" s="294"/>
      <c r="G306" s="294"/>
      <c r="H306" s="294"/>
      <c r="I306" s="294"/>
      <c r="J306" s="294"/>
      <c r="K306" s="294"/>
      <c r="L306" s="294"/>
      <c r="M306" s="294"/>
      <c r="N306" s="294"/>
      <c r="O306" s="294"/>
      <c r="P306" s="294"/>
      <c r="Q306" s="294"/>
      <c r="R306" s="294"/>
      <c r="S306" s="294"/>
      <c r="T306" s="294"/>
      <c r="U306" s="294"/>
      <c r="V306" s="294"/>
      <c r="W306" s="294"/>
      <c r="X306" s="294"/>
      <c r="Y306" s="294"/>
      <c r="Z306" s="294"/>
      <c r="AA306" s="294"/>
      <c r="AB306" s="294"/>
      <c r="AC306" s="294"/>
      <c r="AD306" s="294"/>
      <c r="AE306" s="294"/>
      <c r="AF306" s="294"/>
      <c r="AG306" s="294"/>
      <c r="AH306" s="294"/>
      <c r="AI306" s="294"/>
      <c r="AJ306" s="294"/>
      <c r="AK306" s="294"/>
      <c r="AL306" s="294"/>
      <c r="AM306" s="294"/>
      <c r="AN306" s="294"/>
      <c r="AO306" s="294"/>
      <c r="AP306" s="294"/>
      <c r="AQ306" s="294"/>
      <c r="AR306" s="294"/>
      <c r="AS306" s="294"/>
      <c r="AT306" s="294"/>
      <c r="AU306" s="294"/>
      <c r="AV306" s="294"/>
      <c r="AW306" s="294"/>
      <c r="AX306" s="294"/>
      <c r="AY306" s="294"/>
      <c r="AZ306" s="294"/>
      <c r="BA306" s="294"/>
      <c r="BB306" s="294"/>
      <c r="BC306" s="294"/>
      <c r="BD306" s="294"/>
      <c r="BE306" s="294"/>
      <c r="BF306" s="294"/>
      <c r="BG306" s="294"/>
      <c r="BH306" s="294"/>
      <c r="BI306" s="294"/>
      <c r="BJ306" s="294"/>
      <c r="BK306" s="294"/>
      <c r="BL306" s="294"/>
      <c r="BM306" s="294"/>
    </row>
    <row r="307" spans="1:65" x14ac:dyDescent="0.25">
      <c r="A307" s="294"/>
      <c r="B307" s="294"/>
      <c r="C307" s="294"/>
      <c r="D307" s="294"/>
      <c r="E307" s="294"/>
      <c r="F307" s="294"/>
      <c r="G307" s="294"/>
      <c r="H307" s="294"/>
      <c r="I307" s="294"/>
      <c r="J307" s="294"/>
      <c r="K307" s="294"/>
      <c r="L307" s="294"/>
      <c r="M307" s="294"/>
      <c r="N307" s="294"/>
      <c r="O307" s="294"/>
      <c r="P307" s="294"/>
      <c r="Q307" s="294"/>
      <c r="R307" s="294"/>
      <c r="S307" s="294"/>
      <c r="T307" s="294"/>
      <c r="U307" s="294"/>
      <c r="V307" s="294"/>
      <c r="W307" s="294"/>
      <c r="X307" s="294"/>
      <c r="Y307" s="294"/>
      <c r="Z307" s="294"/>
      <c r="AA307" s="294"/>
      <c r="AB307" s="294"/>
      <c r="AC307" s="294"/>
      <c r="AD307" s="294"/>
      <c r="AE307" s="294"/>
      <c r="AF307" s="294"/>
      <c r="AG307" s="294"/>
      <c r="AH307" s="294"/>
      <c r="AI307" s="294"/>
      <c r="AJ307" s="294"/>
      <c r="AK307" s="294"/>
      <c r="AL307" s="294"/>
      <c r="AM307" s="294"/>
      <c r="AN307" s="294"/>
      <c r="AO307" s="294"/>
      <c r="AP307" s="294"/>
      <c r="AQ307" s="294"/>
      <c r="AR307" s="294"/>
      <c r="AS307" s="294"/>
      <c r="AT307" s="294"/>
      <c r="AU307" s="294"/>
      <c r="AV307" s="294"/>
      <c r="AW307" s="294"/>
      <c r="AX307" s="294"/>
      <c r="AY307" s="294"/>
      <c r="AZ307" s="294"/>
      <c r="BA307" s="294"/>
      <c r="BB307" s="294"/>
      <c r="BC307" s="294"/>
      <c r="BD307" s="294"/>
      <c r="BE307" s="294"/>
      <c r="BF307" s="294"/>
      <c r="BG307" s="294"/>
      <c r="BH307" s="294"/>
      <c r="BI307" s="294"/>
      <c r="BJ307" s="294"/>
      <c r="BK307" s="294"/>
      <c r="BL307" s="294"/>
      <c r="BM307" s="294"/>
    </row>
    <row r="308" spans="1:65" x14ac:dyDescent="0.25">
      <c r="A308" s="294"/>
      <c r="B308" s="294"/>
      <c r="C308" s="294"/>
      <c r="D308" s="294"/>
      <c r="E308" s="294"/>
      <c r="F308" s="294"/>
      <c r="G308" s="294"/>
      <c r="H308" s="294"/>
      <c r="I308" s="294"/>
      <c r="J308" s="294"/>
      <c r="K308" s="294"/>
      <c r="L308" s="294"/>
      <c r="M308" s="294"/>
      <c r="N308" s="294"/>
      <c r="O308" s="294"/>
      <c r="P308" s="294"/>
      <c r="Q308" s="294"/>
      <c r="R308" s="294"/>
      <c r="S308" s="294"/>
      <c r="T308" s="294"/>
      <c r="U308" s="294"/>
      <c r="V308" s="294"/>
      <c r="W308" s="294"/>
      <c r="X308" s="294"/>
      <c r="Y308" s="294"/>
      <c r="Z308" s="294"/>
      <c r="AA308" s="294"/>
      <c r="AB308" s="294"/>
      <c r="AC308" s="294"/>
      <c r="AD308" s="294"/>
      <c r="AE308" s="294"/>
      <c r="AF308" s="294"/>
      <c r="AG308" s="294"/>
      <c r="AH308" s="294"/>
      <c r="AI308" s="294"/>
      <c r="AJ308" s="294"/>
      <c r="AK308" s="294"/>
      <c r="AL308" s="294"/>
      <c r="AM308" s="294"/>
      <c r="AN308" s="294"/>
      <c r="AO308" s="294"/>
      <c r="AP308" s="294"/>
      <c r="AQ308" s="294"/>
      <c r="AR308" s="294"/>
      <c r="AS308" s="294"/>
      <c r="AT308" s="294"/>
      <c r="AU308" s="294"/>
      <c r="AV308" s="294"/>
      <c r="AW308" s="294"/>
      <c r="AX308" s="294"/>
      <c r="AY308" s="294"/>
      <c r="AZ308" s="294"/>
      <c r="BA308" s="294"/>
      <c r="BB308" s="294"/>
      <c r="BC308" s="294"/>
      <c r="BD308" s="294"/>
      <c r="BE308" s="294"/>
      <c r="BF308" s="294"/>
      <c r="BG308" s="294"/>
      <c r="BH308" s="294"/>
      <c r="BI308" s="294"/>
      <c r="BJ308" s="294"/>
      <c r="BK308" s="294"/>
      <c r="BL308" s="294"/>
      <c r="BM308" s="294"/>
    </row>
    <row r="309" spans="1:65" x14ac:dyDescent="0.25">
      <c r="A309" s="294"/>
      <c r="B309" s="294"/>
      <c r="C309" s="294"/>
      <c r="D309" s="294"/>
      <c r="E309" s="294"/>
      <c r="F309" s="294"/>
      <c r="G309" s="294"/>
      <c r="H309" s="294"/>
      <c r="I309" s="294"/>
      <c r="J309" s="294"/>
      <c r="K309" s="294"/>
      <c r="L309" s="294"/>
      <c r="M309" s="294"/>
      <c r="N309" s="294"/>
      <c r="O309" s="294"/>
      <c r="P309" s="294"/>
      <c r="Q309" s="294"/>
      <c r="R309" s="294"/>
      <c r="S309" s="294"/>
      <c r="T309" s="294"/>
      <c r="U309" s="294"/>
      <c r="V309" s="294"/>
      <c r="W309" s="294"/>
      <c r="X309" s="294"/>
      <c r="Y309" s="294"/>
      <c r="Z309" s="294"/>
      <c r="AA309" s="294"/>
      <c r="AB309" s="294"/>
      <c r="AC309" s="294"/>
      <c r="AD309" s="294"/>
      <c r="AE309" s="294"/>
      <c r="AF309" s="294"/>
      <c r="AG309" s="294"/>
      <c r="AH309" s="294"/>
      <c r="AI309" s="294"/>
      <c r="AJ309" s="294"/>
      <c r="AK309" s="294"/>
      <c r="AL309" s="294"/>
      <c r="AM309" s="294"/>
      <c r="AN309" s="294"/>
      <c r="AO309" s="294"/>
      <c r="AP309" s="294"/>
      <c r="AQ309" s="294"/>
      <c r="AR309" s="294"/>
      <c r="AS309" s="294"/>
      <c r="AT309" s="294"/>
      <c r="AU309" s="294"/>
      <c r="AV309" s="294"/>
      <c r="AW309" s="294"/>
      <c r="AX309" s="294"/>
      <c r="AY309" s="294"/>
      <c r="AZ309" s="294"/>
      <c r="BA309" s="294"/>
      <c r="BB309" s="294"/>
      <c r="BC309" s="294"/>
      <c r="BD309" s="294"/>
      <c r="BE309" s="294"/>
      <c r="BF309" s="294"/>
      <c r="BG309" s="294"/>
      <c r="BH309" s="294"/>
      <c r="BI309" s="294"/>
      <c r="BJ309" s="294"/>
      <c r="BK309" s="294"/>
      <c r="BL309" s="294"/>
      <c r="BM309" s="294"/>
    </row>
    <row r="310" spans="1:65" x14ac:dyDescent="0.25">
      <c r="A310" s="294"/>
      <c r="B310" s="294"/>
      <c r="C310" s="294"/>
      <c r="D310" s="294"/>
      <c r="E310" s="294"/>
      <c r="F310" s="294"/>
      <c r="G310" s="294"/>
      <c r="H310" s="294"/>
      <c r="I310" s="294"/>
      <c r="J310" s="294"/>
      <c r="K310" s="294"/>
      <c r="L310" s="294"/>
      <c r="M310" s="294"/>
      <c r="N310" s="294"/>
      <c r="O310" s="294"/>
      <c r="P310" s="294"/>
      <c r="Q310" s="294"/>
      <c r="R310" s="294"/>
      <c r="S310" s="294"/>
      <c r="T310" s="294"/>
      <c r="U310" s="294"/>
      <c r="V310" s="294"/>
      <c r="W310" s="294"/>
      <c r="X310" s="294"/>
      <c r="Y310" s="294"/>
      <c r="Z310" s="294"/>
      <c r="AA310" s="294"/>
      <c r="AB310" s="294"/>
      <c r="AC310" s="294"/>
      <c r="AD310" s="294"/>
      <c r="AE310" s="294"/>
      <c r="AF310" s="294"/>
      <c r="AG310" s="294"/>
      <c r="AH310" s="294"/>
      <c r="AI310" s="294"/>
      <c r="AJ310" s="294"/>
      <c r="AK310" s="294"/>
      <c r="AL310" s="294"/>
      <c r="AM310" s="294"/>
      <c r="AN310" s="294"/>
      <c r="AO310" s="294"/>
      <c r="AP310" s="294"/>
      <c r="AQ310" s="294"/>
      <c r="AR310" s="294"/>
      <c r="AS310" s="294"/>
      <c r="AT310" s="294"/>
      <c r="AU310" s="294"/>
      <c r="AV310" s="294"/>
      <c r="AW310" s="294"/>
      <c r="AX310" s="294"/>
      <c r="AY310" s="294"/>
      <c r="AZ310" s="294"/>
      <c r="BA310" s="294"/>
      <c r="BB310" s="294"/>
      <c r="BC310" s="294"/>
      <c r="BD310" s="294"/>
      <c r="BE310" s="294"/>
      <c r="BF310" s="294"/>
      <c r="BG310" s="294"/>
      <c r="BH310" s="294"/>
      <c r="BI310" s="294"/>
      <c r="BJ310" s="294"/>
      <c r="BK310" s="294"/>
      <c r="BL310" s="294"/>
      <c r="BM310" s="294"/>
    </row>
    <row r="311" spans="1:65" x14ac:dyDescent="0.25">
      <c r="A311" s="294"/>
      <c r="B311" s="294"/>
      <c r="C311" s="294"/>
      <c r="D311" s="294"/>
      <c r="E311" s="294"/>
      <c r="F311" s="294"/>
      <c r="G311" s="294"/>
      <c r="H311" s="294"/>
      <c r="I311" s="294"/>
      <c r="J311" s="294"/>
      <c r="K311" s="294"/>
      <c r="L311" s="294"/>
      <c r="M311" s="294"/>
      <c r="N311" s="294"/>
      <c r="O311" s="294"/>
      <c r="P311" s="294"/>
      <c r="Q311" s="294"/>
      <c r="R311" s="294"/>
      <c r="S311" s="294"/>
      <c r="T311" s="294"/>
      <c r="U311" s="294"/>
      <c r="V311" s="294"/>
      <c r="W311" s="294"/>
      <c r="X311" s="294"/>
      <c r="Y311" s="294"/>
      <c r="Z311" s="294"/>
      <c r="AA311" s="294"/>
      <c r="AB311" s="294"/>
      <c r="AC311" s="294"/>
      <c r="AD311" s="294"/>
      <c r="AE311" s="294"/>
      <c r="AF311" s="294"/>
      <c r="AG311" s="294"/>
      <c r="AH311" s="294"/>
      <c r="AI311" s="294"/>
      <c r="AJ311" s="294"/>
      <c r="AK311" s="294"/>
      <c r="AL311" s="294"/>
      <c r="AM311" s="294"/>
      <c r="AN311" s="294"/>
      <c r="AO311" s="294"/>
      <c r="AP311" s="294"/>
      <c r="AQ311" s="294"/>
      <c r="AR311" s="294"/>
      <c r="AS311" s="294"/>
      <c r="AT311" s="294"/>
      <c r="AU311" s="294"/>
      <c r="AV311" s="294"/>
      <c r="AW311" s="294"/>
      <c r="AX311" s="294"/>
      <c r="AY311" s="294"/>
      <c r="AZ311" s="294"/>
      <c r="BA311" s="294"/>
      <c r="BB311" s="294"/>
      <c r="BC311" s="294"/>
      <c r="BD311" s="294"/>
      <c r="BE311" s="294"/>
      <c r="BF311" s="294"/>
      <c r="BG311" s="294"/>
      <c r="BH311" s="294"/>
      <c r="BI311" s="294"/>
      <c r="BJ311" s="294"/>
      <c r="BK311" s="294"/>
      <c r="BL311" s="294"/>
      <c r="BM311" s="294"/>
    </row>
    <row r="312" spans="1:65" x14ac:dyDescent="0.25">
      <c r="A312" s="294"/>
      <c r="B312" s="294"/>
      <c r="C312" s="294"/>
      <c r="D312" s="294"/>
      <c r="E312" s="294"/>
      <c r="F312" s="294"/>
      <c r="G312" s="294"/>
      <c r="H312" s="294"/>
      <c r="I312" s="294"/>
      <c r="J312" s="294"/>
      <c r="K312" s="294"/>
      <c r="L312" s="294"/>
      <c r="M312" s="294"/>
      <c r="N312" s="294"/>
      <c r="O312" s="294"/>
      <c r="P312" s="294"/>
      <c r="Q312" s="294"/>
      <c r="R312" s="294"/>
      <c r="S312" s="294"/>
      <c r="T312" s="294"/>
      <c r="U312" s="294"/>
      <c r="V312" s="294"/>
      <c r="W312" s="294"/>
      <c r="X312" s="294"/>
      <c r="Y312" s="294"/>
      <c r="Z312" s="294"/>
      <c r="AA312" s="294"/>
      <c r="AB312" s="294"/>
      <c r="AC312" s="294"/>
      <c r="AD312" s="294"/>
      <c r="AE312" s="294"/>
      <c r="AF312" s="294"/>
      <c r="AG312" s="294"/>
      <c r="AH312" s="294"/>
      <c r="AI312" s="294"/>
      <c r="AJ312" s="294"/>
      <c r="AK312" s="294"/>
      <c r="AL312" s="294"/>
      <c r="AM312" s="294"/>
      <c r="AN312" s="294"/>
      <c r="AO312" s="294"/>
      <c r="AP312" s="294"/>
      <c r="AQ312" s="294"/>
      <c r="AR312" s="294"/>
      <c r="AS312" s="294"/>
      <c r="AT312" s="294"/>
      <c r="AU312" s="294"/>
      <c r="AV312" s="294"/>
      <c r="AW312" s="294"/>
      <c r="AX312" s="294"/>
      <c r="AY312" s="294"/>
      <c r="AZ312" s="294"/>
      <c r="BA312" s="294"/>
      <c r="BB312" s="294"/>
      <c r="BC312" s="294"/>
      <c r="BD312" s="294"/>
      <c r="BE312" s="294"/>
      <c r="BF312" s="294"/>
      <c r="BG312" s="294"/>
      <c r="BH312" s="294"/>
      <c r="BI312" s="294"/>
      <c r="BJ312" s="294"/>
      <c r="BK312" s="294"/>
      <c r="BL312" s="294"/>
      <c r="BM312" s="294"/>
    </row>
    <row r="313" spans="1:65" x14ac:dyDescent="0.25">
      <c r="A313" s="294"/>
      <c r="B313" s="294"/>
      <c r="C313" s="294"/>
      <c r="D313" s="294"/>
      <c r="E313" s="294"/>
      <c r="F313" s="294"/>
      <c r="G313" s="294"/>
      <c r="H313" s="294"/>
      <c r="I313" s="294"/>
      <c r="J313" s="294"/>
      <c r="K313" s="294"/>
      <c r="L313" s="294"/>
      <c r="M313" s="294"/>
      <c r="N313" s="294"/>
      <c r="O313" s="294"/>
      <c r="P313" s="294"/>
      <c r="Q313" s="294"/>
      <c r="R313" s="294"/>
      <c r="S313" s="294"/>
      <c r="T313" s="294"/>
      <c r="U313" s="294"/>
      <c r="V313" s="294"/>
      <c r="W313" s="294"/>
      <c r="X313" s="294"/>
      <c r="Y313" s="294"/>
      <c r="Z313" s="294"/>
      <c r="AA313" s="294"/>
      <c r="AB313" s="294"/>
      <c r="AC313" s="294"/>
      <c r="AD313" s="294"/>
      <c r="AE313" s="294"/>
      <c r="AF313" s="294"/>
      <c r="AG313" s="294"/>
      <c r="AH313" s="294"/>
      <c r="AI313" s="294"/>
      <c r="AJ313" s="294"/>
      <c r="AK313" s="294"/>
      <c r="AL313" s="294"/>
      <c r="AM313" s="294"/>
      <c r="AN313" s="294"/>
      <c r="AO313" s="294"/>
      <c r="AP313" s="294"/>
      <c r="AQ313" s="294"/>
      <c r="AR313" s="294"/>
      <c r="AS313" s="294"/>
      <c r="AT313" s="294"/>
      <c r="AU313" s="294"/>
      <c r="AV313" s="294"/>
      <c r="AW313" s="294"/>
      <c r="AX313" s="294"/>
      <c r="AY313" s="294"/>
      <c r="AZ313" s="294"/>
      <c r="BA313" s="294"/>
      <c r="BB313" s="294"/>
      <c r="BC313" s="294"/>
      <c r="BD313" s="294"/>
      <c r="BE313" s="294"/>
      <c r="BF313" s="294"/>
      <c r="BG313" s="294"/>
      <c r="BH313" s="294"/>
      <c r="BI313" s="294"/>
      <c r="BJ313" s="294"/>
      <c r="BK313" s="294"/>
      <c r="BL313" s="294"/>
      <c r="BM313" s="294"/>
    </row>
    <row r="314" spans="1:65" x14ac:dyDescent="0.25">
      <c r="A314" s="294"/>
      <c r="B314" s="294"/>
      <c r="C314" s="294"/>
      <c r="D314" s="294"/>
      <c r="E314" s="294"/>
      <c r="F314" s="294"/>
      <c r="G314" s="294"/>
      <c r="H314" s="294"/>
      <c r="I314" s="294"/>
      <c r="J314" s="294"/>
      <c r="K314" s="294"/>
      <c r="L314" s="294"/>
      <c r="M314" s="294"/>
      <c r="N314" s="294"/>
      <c r="O314" s="294"/>
      <c r="P314" s="294"/>
      <c r="Q314" s="294"/>
      <c r="R314" s="294"/>
      <c r="S314" s="294"/>
      <c r="T314" s="294"/>
      <c r="U314" s="294"/>
      <c r="V314" s="294"/>
      <c r="W314" s="294"/>
      <c r="X314" s="294"/>
      <c r="Y314" s="294"/>
      <c r="Z314" s="294"/>
      <c r="AA314" s="294"/>
      <c r="AB314" s="294"/>
      <c r="AC314" s="294"/>
      <c r="AD314" s="294"/>
      <c r="AE314" s="294"/>
      <c r="AF314" s="294"/>
      <c r="AG314" s="294"/>
      <c r="AH314" s="294"/>
      <c r="AI314" s="294"/>
      <c r="AJ314" s="294"/>
      <c r="AK314" s="294"/>
      <c r="AL314" s="294"/>
      <c r="AM314" s="294"/>
      <c r="AN314" s="294"/>
      <c r="AO314" s="294"/>
      <c r="AP314" s="294"/>
      <c r="AQ314" s="294"/>
      <c r="AR314" s="294"/>
      <c r="AS314" s="294"/>
      <c r="AT314" s="294"/>
      <c r="AU314" s="294"/>
      <c r="AV314" s="294"/>
      <c r="AW314" s="294"/>
      <c r="AX314" s="294"/>
      <c r="AY314" s="294"/>
      <c r="AZ314" s="294"/>
      <c r="BA314" s="294"/>
      <c r="BB314" s="294"/>
      <c r="BC314" s="294"/>
      <c r="BD314" s="294"/>
      <c r="BE314" s="294"/>
      <c r="BF314" s="294"/>
      <c r="BG314" s="294"/>
      <c r="BH314" s="294"/>
      <c r="BI314" s="294"/>
      <c r="BJ314" s="294"/>
      <c r="BK314" s="294"/>
      <c r="BL314" s="294"/>
      <c r="BM314" s="294"/>
    </row>
    <row r="315" spans="1:65" x14ac:dyDescent="0.25">
      <c r="A315" s="294"/>
      <c r="B315" s="294"/>
      <c r="C315" s="294"/>
      <c r="D315" s="294"/>
      <c r="E315" s="294"/>
      <c r="F315" s="294"/>
      <c r="G315" s="294"/>
      <c r="H315" s="294"/>
      <c r="I315" s="294"/>
      <c r="J315" s="294"/>
      <c r="K315" s="294"/>
      <c r="L315" s="294"/>
      <c r="M315" s="294"/>
      <c r="N315" s="294"/>
      <c r="O315" s="294"/>
      <c r="P315" s="294"/>
      <c r="Q315" s="294"/>
      <c r="R315" s="294"/>
      <c r="S315" s="294"/>
      <c r="T315" s="294"/>
      <c r="U315" s="294"/>
      <c r="V315" s="294"/>
      <c r="W315" s="294"/>
      <c r="X315" s="294"/>
      <c r="Y315" s="294"/>
      <c r="Z315" s="294"/>
      <c r="AA315" s="294"/>
      <c r="AB315" s="294"/>
      <c r="AC315" s="294"/>
      <c r="AD315" s="294"/>
      <c r="AE315" s="294"/>
      <c r="AF315" s="294"/>
      <c r="AG315" s="294"/>
      <c r="AH315" s="294"/>
      <c r="AI315" s="294"/>
      <c r="AJ315" s="294"/>
      <c r="AK315" s="294"/>
      <c r="AL315" s="294"/>
      <c r="AM315" s="294"/>
      <c r="AN315" s="294"/>
      <c r="AO315" s="294"/>
      <c r="AP315" s="294"/>
      <c r="AQ315" s="294"/>
      <c r="AR315" s="294"/>
      <c r="AS315" s="294"/>
      <c r="AT315" s="294"/>
      <c r="AU315" s="294"/>
      <c r="AV315" s="294"/>
      <c r="AW315" s="294"/>
      <c r="AX315" s="294"/>
      <c r="AY315" s="294"/>
      <c r="AZ315" s="294"/>
      <c r="BA315" s="294"/>
      <c r="BB315" s="294"/>
      <c r="BC315" s="294"/>
      <c r="BD315" s="294"/>
      <c r="BE315" s="294"/>
      <c r="BF315" s="294"/>
      <c r="BG315" s="294"/>
      <c r="BH315" s="294"/>
      <c r="BI315" s="294"/>
      <c r="BJ315" s="294"/>
      <c r="BK315" s="294"/>
      <c r="BL315" s="294"/>
      <c r="BM315" s="294"/>
    </row>
    <row r="316" spans="1:65" x14ac:dyDescent="0.25">
      <c r="A316" s="294"/>
      <c r="B316" s="294"/>
      <c r="C316" s="294"/>
      <c r="D316" s="294"/>
      <c r="E316" s="294"/>
      <c r="F316" s="294"/>
      <c r="G316" s="294"/>
      <c r="H316" s="294"/>
      <c r="I316" s="294"/>
      <c r="J316" s="294"/>
      <c r="K316" s="294"/>
      <c r="L316" s="294"/>
      <c r="M316" s="294"/>
      <c r="N316" s="294"/>
      <c r="O316" s="294"/>
      <c r="P316" s="294"/>
      <c r="Q316" s="294"/>
      <c r="R316" s="294"/>
      <c r="S316" s="294"/>
      <c r="T316" s="294"/>
      <c r="U316" s="294"/>
      <c r="V316" s="294"/>
      <c r="W316" s="294"/>
      <c r="X316" s="294"/>
      <c r="Y316" s="294"/>
      <c r="Z316" s="294"/>
      <c r="AA316" s="294"/>
      <c r="AB316" s="294"/>
      <c r="AC316" s="294"/>
      <c r="AD316" s="294"/>
      <c r="AE316" s="294"/>
      <c r="AF316" s="294"/>
      <c r="AG316" s="294"/>
      <c r="AH316" s="294"/>
      <c r="AI316" s="294"/>
      <c r="AJ316" s="294"/>
      <c r="AK316" s="294"/>
      <c r="AL316" s="294"/>
      <c r="AM316" s="294"/>
      <c r="AN316" s="294"/>
      <c r="AO316" s="294"/>
      <c r="AP316" s="294"/>
      <c r="AQ316" s="294"/>
      <c r="AR316" s="294"/>
      <c r="AS316" s="294"/>
      <c r="AT316" s="294"/>
      <c r="AU316" s="294"/>
      <c r="AV316" s="294"/>
      <c r="AW316" s="294"/>
      <c r="AX316" s="294"/>
      <c r="AY316" s="294"/>
      <c r="AZ316" s="294"/>
      <c r="BA316" s="294"/>
      <c r="BB316" s="294"/>
      <c r="BC316" s="294"/>
      <c r="BD316" s="294"/>
      <c r="BE316" s="294"/>
      <c r="BF316" s="294"/>
      <c r="BG316" s="294"/>
      <c r="BH316" s="294"/>
      <c r="BI316" s="294"/>
      <c r="BJ316" s="294"/>
      <c r="BK316" s="294"/>
      <c r="BL316" s="294"/>
      <c r="BM316" s="294"/>
    </row>
    <row r="317" spans="1:65" x14ac:dyDescent="0.25">
      <c r="A317" s="294"/>
      <c r="B317" s="294"/>
      <c r="C317" s="294"/>
      <c r="D317" s="294"/>
      <c r="E317" s="294"/>
      <c r="F317" s="294"/>
      <c r="G317" s="294"/>
      <c r="H317" s="294"/>
      <c r="I317" s="294"/>
      <c r="J317" s="294"/>
      <c r="K317" s="294"/>
      <c r="L317" s="294"/>
      <c r="M317" s="294"/>
      <c r="N317" s="294"/>
      <c r="O317" s="294"/>
      <c r="P317" s="294"/>
      <c r="Q317" s="294"/>
      <c r="R317" s="294"/>
      <c r="S317" s="294"/>
      <c r="T317" s="294"/>
      <c r="U317" s="294"/>
      <c r="V317" s="294"/>
      <c r="W317" s="294"/>
      <c r="X317" s="294"/>
      <c r="Y317" s="294"/>
      <c r="Z317" s="294"/>
      <c r="AA317" s="294"/>
      <c r="AB317" s="294"/>
      <c r="AC317" s="294"/>
      <c r="AD317" s="294"/>
      <c r="AE317" s="294"/>
      <c r="AF317" s="294"/>
      <c r="AG317" s="294"/>
      <c r="AH317" s="294"/>
      <c r="AI317" s="294"/>
      <c r="AJ317" s="294"/>
      <c r="AK317" s="294"/>
      <c r="AL317" s="294"/>
      <c r="AM317" s="294"/>
      <c r="AN317" s="294"/>
      <c r="AO317" s="294"/>
      <c r="AP317" s="294"/>
      <c r="AQ317" s="294"/>
      <c r="AR317" s="294"/>
      <c r="AS317" s="294"/>
      <c r="AT317" s="294"/>
      <c r="AU317" s="294"/>
      <c r="AV317" s="294"/>
      <c r="AW317" s="294"/>
      <c r="AX317" s="294"/>
      <c r="AY317" s="294"/>
      <c r="AZ317" s="294"/>
      <c r="BA317" s="294"/>
      <c r="BB317" s="294"/>
      <c r="BC317" s="294"/>
      <c r="BD317" s="294"/>
      <c r="BE317" s="294"/>
      <c r="BF317" s="294"/>
      <c r="BG317" s="294"/>
      <c r="BH317" s="294"/>
      <c r="BI317" s="294"/>
      <c r="BJ317" s="294"/>
      <c r="BK317" s="294"/>
      <c r="BL317" s="294"/>
      <c r="BM317" s="294"/>
    </row>
    <row r="318" spans="1:65" x14ac:dyDescent="0.25">
      <c r="A318" s="294"/>
      <c r="B318" s="294"/>
      <c r="C318" s="294"/>
      <c r="D318" s="294"/>
      <c r="E318" s="294"/>
      <c r="F318" s="294"/>
      <c r="G318" s="294"/>
      <c r="H318" s="294"/>
      <c r="I318" s="294"/>
      <c r="J318" s="294"/>
      <c r="K318" s="294"/>
      <c r="L318" s="294"/>
      <c r="M318" s="294"/>
      <c r="N318" s="294"/>
      <c r="O318" s="294"/>
      <c r="P318" s="294"/>
      <c r="Q318" s="294"/>
      <c r="R318" s="294"/>
      <c r="S318" s="294"/>
      <c r="T318" s="294"/>
      <c r="U318" s="294"/>
      <c r="V318" s="294"/>
      <c r="W318" s="294"/>
      <c r="X318" s="294"/>
      <c r="Y318" s="294"/>
      <c r="Z318" s="294"/>
      <c r="AA318" s="294"/>
      <c r="AB318" s="294"/>
      <c r="AC318" s="294"/>
      <c r="AD318" s="294"/>
      <c r="AE318" s="294"/>
      <c r="AF318" s="294"/>
      <c r="AG318" s="294"/>
      <c r="AH318" s="294"/>
      <c r="AI318" s="294"/>
      <c r="AJ318" s="294"/>
      <c r="AK318" s="294"/>
      <c r="AL318" s="294"/>
      <c r="AM318" s="294"/>
      <c r="AN318" s="294"/>
      <c r="AO318" s="294"/>
      <c r="AP318" s="294"/>
      <c r="AQ318" s="294"/>
      <c r="AR318" s="294"/>
      <c r="AS318" s="294"/>
      <c r="AT318" s="294"/>
      <c r="AU318" s="294"/>
      <c r="AV318" s="294"/>
      <c r="AW318" s="294"/>
      <c r="AX318" s="294"/>
      <c r="AY318" s="294"/>
      <c r="AZ318" s="294"/>
      <c r="BA318" s="294"/>
      <c r="BB318" s="294"/>
      <c r="BC318" s="294"/>
      <c r="BD318" s="294"/>
      <c r="BE318" s="294"/>
      <c r="BF318" s="294"/>
      <c r="BG318" s="294"/>
      <c r="BH318" s="294"/>
      <c r="BI318" s="294"/>
      <c r="BJ318" s="294"/>
      <c r="BK318" s="294"/>
      <c r="BL318" s="294"/>
      <c r="BM318" s="294"/>
    </row>
    <row r="319" spans="1:65" x14ac:dyDescent="0.25">
      <c r="A319" s="294"/>
      <c r="B319" s="294"/>
      <c r="C319" s="294"/>
      <c r="D319" s="294"/>
      <c r="E319" s="294"/>
      <c r="F319" s="294"/>
      <c r="G319" s="294"/>
      <c r="H319" s="294"/>
      <c r="I319" s="294"/>
      <c r="J319" s="294"/>
      <c r="K319" s="294"/>
      <c r="L319" s="294"/>
      <c r="M319" s="294"/>
      <c r="N319" s="294"/>
      <c r="O319" s="294"/>
      <c r="P319" s="294"/>
      <c r="Q319" s="294"/>
      <c r="R319" s="294"/>
      <c r="S319" s="294"/>
      <c r="T319" s="294"/>
      <c r="U319" s="294"/>
      <c r="V319" s="294"/>
      <c r="W319" s="294"/>
      <c r="X319" s="294"/>
      <c r="Y319" s="294"/>
      <c r="Z319" s="294"/>
      <c r="AA319" s="294"/>
      <c r="AB319" s="294"/>
      <c r="AC319" s="294"/>
      <c r="AD319" s="294"/>
      <c r="AE319" s="294"/>
      <c r="AF319" s="294"/>
      <c r="AG319" s="294"/>
      <c r="AH319" s="294"/>
      <c r="AI319" s="294"/>
      <c r="AJ319" s="294"/>
      <c r="AK319" s="294"/>
      <c r="AL319" s="294"/>
      <c r="AM319" s="294"/>
      <c r="AN319" s="294"/>
      <c r="AO319" s="294"/>
      <c r="AP319" s="294"/>
      <c r="AQ319" s="294"/>
      <c r="AR319" s="294"/>
      <c r="AS319" s="294"/>
      <c r="AT319" s="294"/>
      <c r="AU319" s="294"/>
      <c r="AV319" s="294"/>
      <c r="AW319" s="294"/>
      <c r="AX319" s="294"/>
      <c r="AY319" s="294"/>
      <c r="AZ319" s="294"/>
      <c r="BA319" s="294"/>
      <c r="BB319" s="294"/>
      <c r="BC319" s="294"/>
      <c r="BD319" s="294"/>
      <c r="BE319" s="294"/>
      <c r="BF319" s="294"/>
      <c r="BG319" s="294"/>
      <c r="BH319" s="294"/>
      <c r="BI319" s="294"/>
      <c r="BJ319" s="294"/>
      <c r="BK319" s="294"/>
      <c r="BL319" s="294"/>
      <c r="BM319" s="294"/>
    </row>
    <row r="320" spans="1:65" x14ac:dyDescent="0.25">
      <c r="A320" s="294"/>
      <c r="B320" s="294"/>
      <c r="C320" s="294"/>
      <c r="D320" s="294"/>
      <c r="E320" s="294"/>
      <c r="F320" s="294"/>
      <c r="G320" s="294"/>
      <c r="H320" s="294"/>
      <c r="I320" s="294"/>
      <c r="J320" s="294"/>
      <c r="K320" s="294"/>
      <c r="L320" s="294"/>
      <c r="M320" s="294"/>
      <c r="N320" s="294"/>
      <c r="O320" s="294"/>
      <c r="P320" s="294"/>
      <c r="Q320" s="294"/>
      <c r="R320" s="294"/>
      <c r="S320" s="294"/>
      <c r="T320" s="294"/>
      <c r="U320" s="294"/>
      <c r="V320" s="294"/>
      <c r="W320" s="294"/>
      <c r="X320" s="294"/>
      <c r="Y320" s="294"/>
      <c r="Z320" s="294"/>
      <c r="AA320" s="294"/>
      <c r="AB320" s="294"/>
      <c r="AC320" s="294"/>
      <c r="AD320" s="294"/>
      <c r="AE320" s="294"/>
      <c r="AF320" s="294"/>
      <c r="AG320" s="294"/>
      <c r="AH320" s="294"/>
      <c r="AI320" s="294"/>
      <c r="AJ320" s="294"/>
      <c r="AK320" s="294"/>
      <c r="AL320" s="294"/>
      <c r="AM320" s="294"/>
      <c r="AN320" s="294"/>
      <c r="AO320" s="294"/>
      <c r="AP320" s="294"/>
      <c r="AQ320" s="294"/>
      <c r="AR320" s="294"/>
      <c r="AS320" s="294"/>
      <c r="AT320" s="294"/>
      <c r="AU320" s="294"/>
      <c r="AV320" s="294"/>
      <c r="AW320" s="294"/>
      <c r="AX320" s="294"/>
      <c r="AY320" s="294"/>
      <c r="AZ320" s="294"/>
      <c r="BA320" s="294"/>
      <c r="BB320" s="294"/>
      <c r="BC320" s="294"/>
      <c r="BD320" s="294"/>
      <c r="BE320" s="294"/>
      <c r="BF320" s="294"/>
      <c r="BG320" s="294"/>
      <c r="BH320" s="294"/>
      <c r="BI320" s="294"/>
      <c r="BJ320" s="294"/>
      <c r="BK320" s="294"/>
      <c r="BL320" s="294"/>
      <c r="BM320" s="294"/>
    </row>
    <row r="321" spans="1:65" x14ac:dyDescent="0.25">
      <c r="A321" s="294"/>
      <c r="B321" s="294"/>
      <c r="C321" s="294"/>
      <c r="D321" s="294"/>
      <c r="E321" s="294"/>
      <c r="F321" s="294"/>
      <c r="G321" s="294"/>
      <c r="H321" s="294"/>
      <c r="I321" s="294"/>
      <c r="J321" s="294"/>
      <c r="K321" s="294"/>
      <c r="L321" s="294"/>
      <c r="M321" s="294"/>
      <c r="N321" s="294"/>
      <c r="O321" s="294"/>
      <c r="P321" s="294"/>
      <c r="Q321" s="294"/>
      <c r="R321" s="294"/>
      <c r="S321" s="294"/>
      <c r="T321" s="294"/>
      <c r="U321" s="294"/>
      <c r="V321" s="294"/>
      <c r="W321" s="294"/>
      <c r="X321" s="294"/>
      <c r="Y321" s="294"/>
      <c r="Z321" s="294"/>
      <c r="AA321" s="294"/>
      <c r="AB321" s="294"/>
      <c r="AC321" s="294"/>
      <c r="AD321" s="294"/>
      <c r="AE321" s="294"/>
      <c r="AF321" s="294"/>
      <c r="AG321" s="294"/>
      <c r="AH321" s="294"/>
      <c r="AI321" s="294"/>
      <c r="AJ321" s="294"/>
      <c r="AK321" s="294"/>
      <c r="AL321" s="294"/>
      <c r="AM321" s="294"/>
      <c r="AN321" s="294"/>
      <c r="AO321" s="294"/>
      <c r="AP321" s="294"/>
      <c r="AQ321" s="294"/>
      <c r="AR321" s="294"/>
      <c r="AS321" s="294"/>
      <c r="AT321" s="294"/>
      <c r="AU321" s="294"/>
      <c r="AV321" s="294"/>
      <c r="AW321" s="294"/>
      <c r="AX321" s="294"/>
      <c r="AY321" s="294"/>
      <c r="AZ321" s="294"/>
      <c r="BA321" s="294"/>
      <c r="BB321" s="294"/>
      <c r="BC321" s="294"/>
      <c r="BD321" s="294"/>
      <c r="BE321" s="294"/>
      <c r="BF321" s="294"/>
      <c r="BG321" s="294"/>
      <c r="BH321" s="294"/>
      <c r="BI321" s="294"/>
      <c r="BJ321" s="294"/>
      <c r="BK321" s="294"/>
      <c r="BL321" s="294"/>
      <c r="BM321" s="294"/>
    </row>
    <row r="322" spans="1:65" x14ac:dyDescent="0.25">
      <c r="A322" s="294"/>
      <c r="B322" s="294"/>
      <c r="C322" s="294"/>
      <c r="D322" s="294"/>
      <c r="E322" s="294"/>
      <c r="F322" s="294"/>
      <c r="G322" s="294"/>
      <c r="H322" s="294"/>
      <c r="I322" s="294"/>
      <c r="J322" s="294"/>
      <c r="K322" s="294"/>
      <c r="L322" s="294"/>
      <c r="M322" s="294"/>
      <c r="N322" s="294"/>
      <c r="O322" s="294"/>
      <c r="P322" s="294"/>
      <c r="Q322" s="294"/>
      <c r="R322" s="294"/>
      <c r="S322" s="294"/>
      <c r="T322" s="294"/>
      <c r="U322" s="294"/>
      <c r="V322" s="294"/>
      <c r="W322" s="294"/>
      <c r="X322" s="294"/>
      <c r="Y322" s="294"/>
      <c r="Z322" s="294"/>
      <c r="AA322" s="294"/>
      <c r="AB322" s="294"/>
      <c r="AC322" s="294"/>
      <c r="AD322" s="294"/>
      <c r="AE322" s="294"/>
      <c r="AF322" s="294"/>
      <c r="AG322" s="294"/>
      <c r="AH322" s="294"/>
      <c r="AI322" s="294"/>
      <c r="AJ322" s="294"/>
      <c r="AK322" s="294"/>
      <c r="AL322" s="294"/>
      <c r="AM322" s="294"/>
      <c r="AN322" s="294"/>
      <c r="AO322" s="294"/>
      <c r="AP322" s="294"/>
      <c r="AQ322" s="294"/>
      <c r="AR322" s="294"/>
      <c r="AS322" s="294"/>
      <c r="AT322" s="294"/>
      <c r="AU322" s="294"/>
      <c r="AV322" s="294"/>
      <c r="AW322" s="294"/>
      <c r="AX322" s="294"/>
      <c r="AY322" s="294"/>
      <c r="AZ322" s="294"/>
      <c r="BA322" s="294"/>
      <c r="BB322" s="294"/>
      <c r="BC322" s="294"/>
      <c r="BD322" s="294"/>
      <c r="BE322" s="294"/>
      <c r="BF322" s="294"/>
      <c r="BG322" s="294"/>
      <c r="BH322" s="294"/>
      <c r="BI322" s="294"/>
      <c r="BJ322" s="294"/>
      <c r="BK322" s="294"/>
      <c r="BL322" s="294"/>
      <c r="BM322" s="294"/>
    </row>
    <row r="323" spans="1:65" x14ac:dyDescent="0.25">
      <c r="A323" s="294"/>
      <c r="B323" s="294"/>
      <c r="C323" s="294"/>
      <c r="D323" s="294"/>
      <c r="E323" s="294"/>
      <c r="F323" s="294"/>
      <c r="G323" s="294"/>
      <c r="H323" s="294"/>
      <c r="I323" s="294"/>
      <c r="J323" s="294"/>
      <c r="K323" s="294"/>
      <c r="L323" s="294"/>
      <c r="M323" s="294"/>
      <c r="N323" s="294"/>
      <c r="O323" s="294"/>
      <c r="P323" s="294"/>
      <c r="Q323" s="294"/>
      <c r="R323" s="294"/>
      <c r="S323" s="294"/>
      <c r="T323" s="294"/>
      <c r="U323" s="294"/>
      <c r="V323" s="294"/>
      <c r="W323" s="294"/>
      <c r="X323" s="294"/>
      <c r="Y323" s="294"/>
      <c r="Z323" s="294"/>
      <c r="AA323" s="294"/>
      <c r="AB323" s="294"/>
      <c r="AC323" s="294"/>
      <c r="AD323" s="294"/>
      <c r="AE323" s="294"/>
      <c r="AF323" s="294"/>
      <c r="AG323" s="294"/>
      <c r="AH323" s="294"/>
      <c r="AI323" s="294"/>
      <c r="AJ323" s="294"/>
      <c r="AK323" s="294"/>
      <c r="AL323" s="294"/>
      <c r="AM323" s="294"/>
      <c r="AN323" s="294"/>
      <c r="AO323" s="294"/>
      <c r="AP323" s="294"/>
      <c r="AQ323" s="294"/>
      <c r="AR323" s="294"/>
      <c r="AS323" s="294"/>
      <c r="AT323" s="294"/>
      <c r="AU323" s="294"/>
      <c r="AV323" s="294"/>
      <c r="AW323" s="294"/>
      <c r="AX323" s="294"/>
      <c r="AY323" s="294"/>
      <c r="AZ323" s="294"/>
      <c r="BA323" s="294"/>
      <c r="BB323" s="294"/>
      <c r="BC323" s="294"/>
      <c r="BD323" s="294"/>
      <c r="BE323" s="294"/>
      <c r="BF323" s="294"/>
      <c r="BG323" s="294"/>
      <c r="BH323" s="294"/>
      <c r="BI323" s="294"/>
      <c r="BJ323" s="294"/>
      <c r="BK323" s="294"/>
      <c r="BL323" s="294"/>
      <c r="BM323" s="294"/>
    </row>
    <row r="324" spans="1:65" x14ac:dyDescent="0.25">
      <c r="A324" s="294"/>
      <c r="B324" s="294"/>
      <c r="C324" s="294"/>
      <c r="D324" s="294"/>
      <c r="E324" s="294"/>
      <c r="F324" s="294"/>
      <c r="G324" s="294"/>
      <c r="H324" s="294"/>
      <c r="I324" s="294"/>
      <c r="J324" s="294"/>
      <c r="K324" s="294"/>
      <c r="L324" s="294"/>
      <c r="M324" s="294"/>
      <c r="N324" s="294"/>
      <c r="O324" s="294"/>
      <c r="P324" s="294"/>
      <c r="Q324" s="294"/>
      <c r="R324" s="294"/>
      <c r="S324" s="294"/>
      <c r="T324" s="294"/>
      <c r="U324" s="294"/>
      <c r="V324" s="294"/>
      <c r="W324" s="294"/>
      <c r="X324" s="294"/>
      <c r="Y324" s="294"/>
      <c r="Z324" s="294"/>
      <c r="AA324" s="294"/>
      <c r="AB324" s="294"/>
      <c r="AC324" s="294"/>
      <c r="AD324" s="294"/>
      <c r="AE324" s="294"/>
      <c r="AF324" s="294"/>
      <c r="AG324" s="294"/>
      <c r="AH324" s="294"/>
      <c r="AI324" s="294"/>
      <c r="AJ324" s="294"/>
      <c r="AK324" s="294"/>
      <c r="AL324" s="294"/>
      <c r="AM324" s="294"/>
      <c r="AN324" s="294"/>
      <c r="AO324" s="294"/>
      <c r="AP324" s="294"/>
      <c r="AQ324" s="294"/>
      <c r="AR324" s="294"/>
      <c r="AS324" s="294"/>
      <c r="AT324" s="294"/>
      <c r="AU324" s="294"/>
      <c r="AV324" s="294"/>
      <c r="AW324" s="294"/>
      <c r="AX324" s="294"/>
      <c r="AY324" s="294"/>
      <c r="AZ324" s="294"/>
      <c r="BA324" s="294"/>
      <c r="BB324" s="294"/>
      <c r="BC324" s="294"/>
      <c r="BD324" s="294"/>
      <c r="BE324" s="294"/>
      <c r="BF324" s="294"/>
      <c r="BG324" s="294"/>
      <c r="BH324" s="294"/>
      <c r="BI324" s="294"/>
      <c r="BJ324" s="294"/>
      <c r="BK324" s="294"/>
      <c r="BL324" s="294"/>
      <c r="BM324" s="294"/>
    </row>
    <row r="325" spans="1:65" x14ac:dyDescent="0.25">
      <c r="A325" s="294"/>
      <c r="B325" s="294"/>
      <c r="C325" s="294"/>
      <c r="D325" s="294"/>
      <c r="E325" s="294"/>
      <c r="F325" s="294"/>
      <c r="G325" s="294"/>
      <c r="H325" s="294"/>
      <c r="I325" s="294"/>
      <c r="J325" s="294"/>
      <c r="K325" s="294"/>
      <c r="L325" s="294"/>
      <c r="M325" s="294"/>
      <c r="N325" s="294"/>
      <c r="O325" s="294"/>
      <c r="P325" s="294"/>
      <c r="Q325" s="294"/>
      <c r="R325" s="294"/>
      <c r="S325" s="294"/>
      <c r="T325" s="294"/>
      <c r="U325" s="294"/>
      <c r="V325" s="294"/>
      <c r="W325" s="294"/>
      <c r="X325" s="294"/>
      <c r="Y325" s="294"/>
      <c r="Z325" s="294"/>
      <c r="AA325" s="294"/>
      <c r="AB325" s="294"/>
      <c r="AC325" s="294"/>
      <c r="AD325" s="294"/>
      <c r="AE325" s="294"/>
      <c r="AF325" s="294"/>
      <c r="AG325" s="294"/>
      <c r="AH325" s="294"/>
      <c r="AI325" s="294"/>
      <c r="AJ325" s="294"/>
      <c r="AK325" s="294"/>
      <c r="AL325" s="294"/>
      <c r="AM325" s="294"/>
      <c r="AN325" s="294"/>
      <c r="AO325" s="294"/>
      <c r="AP325" s="294"/>
      <c r="AQ325" s="294"/>
      <c r="AR325" s="294"/>
      <c r="AS325" s="294"/>
      <c r="AT325" s="294"/>
      <c r="AU325" s="294"/>
      <c r="AV325" s="294"/>
      <c r="AW325" s="294"/>
      <c r="AX325" s="294"/>
      <c r="AY325" s="294"/>
      <c r="AZ325" s="294"/>
      <c r="BA325" s="294"/>
      <c r="BB325" s="294"/>
      <c r="BC325" s="294"/>
      <c r="BD325" s="294"/>
      <c r="BE325" s="294"/>
      <c r="BF325" s="294"/>
      <c r="BG325" s="294"/>
      <c r="BH325" s="294"/>
      <c r="BI325" s="294"/>
      <c r="BJ325" s="294"/>
      <c r="BK325" s="294"/>
      <c r="BL325" s="294"/>
      <c r="BM325" s="294"/>
    </row>
    <row r="326" spans="1:65" x14ac:dyDescent="0.25">
      <c r="A326" s="294"/>
      <c r="B326" s="294"/>
      <c r="C326" s="294"/>
      <c r="D326" s="294"/>
      <c r="E326" s="294"/>
      <c r="F326" s="294"/>
      <c r="G326" s="294"/>
      <c r="H326" s="294"/>
      <c r="I326" s="294"/>
      <c r="J326" s="294"/>
      <c r="K326" s="294"/>
      <c r="L326" s="294"/>
      <c r="M326" s="294"/>
      <c r="N326" s="294"/>
      <c r="O326" s="294"/>
      <c r="P326" s="294"/>
      <c r="Q326" s="294"/>
      <c r="R326" s="294"/>
      <c r="S326" s="294"/>
      <c r="T326" s="294"/>
      <c r="U326" s="294"/>
      <c r="V326" s="294"/>
      <c r="W326" s="294"/>
      <c r="X326" s="294"/>
      <c r="Y326" s="294"/>
      <c r="Z326" s="294"/>
      <c r="AA326" s="294"/>
      <c r="AB326" s="294"/>
      <c r="AC326" s="294"/>
      <c r="AD326" s="294"/>
      <c r="AE326" s="294"/>
      <c r="AF326" s="294"/>
      <c r="AG326" s="294"/>
      <c r="AH326" s="294"/>
      <c r="AI326" s="294"/>
      <c r="AJ326" s="294"/>
      <c r="AK326" s="294"/>
      <c r="AL326" s="294"/>
      <c r="AM326" s="294"/>
      <c r="AN326" s="294"/>
      <c r="AO326" s="294"/>
      <c r="AP326" s="294"/>
      <c r="AQ326" s="294"/>
      <c r="AR326" s="294"/>
      <c r="AS326" s="294"/>
      <c r="AT326" s="294"/>
      <c r="AU326" s="294"/>
      <c r="AV326" s="294"/>
      <c r="AW326" s="294"/>
      <c r="AX326" s="294"/>
      <c r="AY326" s="294"/>
      <c r="AZ326" s="294"/>
      <c r="BA326" s="294"/>
      <c r="BB326" s="294"/>
      <c r="BC326" s="294"/>
      <c r="BD326" s="294"/>
      <c r="BE326" s="294"/>
      <c r="BF326" s="294"/>
      <c r="BG326" s="294"/>
      <c r="BH326" s="294"/>
      <c r="BI326" s="294"/>
      <c r="BJ326" s="294"/>
      <c r="BK326" s="294"/>
      <c r="BL326" s="294"/>
      <c r="BM326" s="294"/>
    </row>
    <row r="327" spans="1:65" x14ac:dyDescent="0.25">
      <c r="A327" s="294"/>
      <c r="B327" s="294"/>
      <c r="C327" s="294"/>
      <c r="D327" s="294"/>
      <c r="E327" s="294"/>
      <c r="F327" s="294"/>
      <c r="G327" s="294"/>
      <c r="H327" s="294"/>
      <c r="I327" s="294"/>
      <c r="J327" s="294"/>
      <c r="K327" s="294"/>
      <c r="L327" s="294"/>
      <c r="M327" s="294"/>
      <c r="N327" s="294"/>
      <c r="O327" s="294"/>
      <c r="P327" s="294"/>
      <c r="Q327" s="294"/>
      <c r="R327" s="294"/>
      <c r="S327" s="294"/>
      <c r="T327" s="294"/>
      <c r="U327" s="294"/>
      <c r="V327" s="294"/>
      <c r="W327" s="294"/>
      <c r="X327" s="294"/>
      <c r="Y327" s="294"/>
      <c r="Z327" s="294"/>
      <c r="AA327" s="294"/>
      <c r="AB327" s="294"/>
      <c r="AC327" s="294"/>
      <c r="AD327" s="294"/>
      <c r="AE327" s="294"/>
      <c r="AF327" s="294"/>
      <c r="AG327" s="294"/>
      <c r="AH327" s="294"/>
      <c r="AI327" s="294"/>
      <c r="AJ327" s="294"/>
      <c r="AK327" s="294"/>
      <c r="AL327" s="294"/>
      <c r="AM327" s="294"/>
      <c r="AN327" s="294"/>
      <c r="AO327" s="294"/>
      <c r="AP327" s="294"/>
      <c r="AQ327" s="294"/>
      <c r="AR327" s="294"/>
      <c r="AS327" s="294"/>
      <c r="AT327" s="294"/>
      <c r="AU327" s="294"/>
      <c r="AV327" s="294"/>
      <c r="AW327" s="294"/>
      <c r="AX327" s="294"/>
      <c r="AY327" s="294"/>
      <c r="AZ327" s="294"/>
      <c r="BA327" s="294"/>
      <c r="BB327" s="294"/>
      <c r="BC327" s="294"/>
      <c r="BD327" s="294"/>
      <c r="BE327" s="294"/>
      <c r="BF327" s="294"/>
      <c r="BG327" s="294"/>
      <c r="BH327" s="294"/>
      <c r="BI327" s="294"/>
      <c r="BJ327" s="294"/>
      <c r="BK327" s="294"/>
      <c r="BL327" s="294"/>
      <c r="BM327" s="294"/>
    </row>
    <row r="328" spans="1:65" x14ac:dyDescent="0.25">
      <c r="A328" s="294"/>
      <c r="B328" s="294"/>
      <c r="C328" s="294"/>
      <c r="D328" s="294"/>
      <c r="E328" s="294"/>
      <c r="F328" s="294"/>
      <c r="G328" s="294"/>
      <c r="H328" s="294"/>
      <c r="I328" s="294"/>
      <c r="J328" s="294"/>
      <c r="K328" s="294"/>
      <c r="L328" s="294"/>
      <c r="M328" s="294"/>
      <c r="N328" s="294"/>
      <c r="O328" s="294"/>
      <c r="P328" s="294"/>
      <c r="Q328" s="294"/>
      <c r="R328" s="294"/>
      <c r="S328" s="294"/>
      <c r="T328" s="294"/>
      <c r="U328" s="294"/>
      <c r="V328" s="294"/>
      <c r="W328" s="294"/>
      <c r="X328" s="294"/>
      <c r="Y328" s="294"/>
      <c r="Z328" s="294"/>
      <c r="AA328" s="294"/>
      <c r="AB328" s="294"/>
      <c r="AC328" s="294"/>
      <c r="AD328" s="294"/>
      <c r="AE328" s="294"/>
      <c r="AF328" s="294"/>
      <c r="AG328" s="294"/>
      <c r="AH328" s="294"/>
      <c r="AI328" s="294"/>
      <c r="AJ328" s="294"/>
      <c r="AK328" s="294"/>
      <c r="AL328" s="294"/>
      <c r="AM328" s="294"/>
      <c r="AN328" s="294"/>
      <c r="AO328" s="294"/>
      <c r="AP328" s="294"/>
      <c r="AQ328" s="294"/>
      <c r="AR328" s="294"/>
      <c r="AS328" s="294"/>
      <c r="AT328" s="294"/>
      <c r="AU328" s="294"/>
      <c r="AV328" s="294"/>
      <c r="AW328" s="294"/>
      <c r="AX328" s="294"/>
      <c r="AY328" s="294"/>
      <c r="AZ328" s="294"/>
      <c r="BA328" s="294"/>
      <c r="BB328" s="294"/>
      <c r="BC328" s="294"/>
      <c r="BD328" s="294"/>
      <c r="BE328" s="294"/>
      <c r="BF328" s="294"/>
      <c r="BG328" s="294"/>
      <c r="BH328" s="294"/>
      <c r="BI328" s="294"/>
      <c r="BJ328" s="294"/>
      <c r="BK328" s="294"/>
      <c r="BL328" s="294"/>
      <c r="BM328" s="294"/>
    </row>
    <row r="329" spans="1:65" x14ac:dyDescent="0.25">
      <c r="A329" s="294"/>
      <c r="B329" s="294"/>
      <c r="C329" s="294"/>
      <c r="D329" s="294"/>
      <c r="E329" s="294"/>
      <c r="F329" s="294"/>
      <c r="G329" s="294"/>
      <c r="H329" s="294"/>
      <c r="I329" s="294"/>
      <c r="J329" s="294"/>
      <c r="K329" s="294"/>
      <c r="L329" s="294"/>
      <c r="M329" s="294"/>
      <c r="N329" s="294"/>
      <c r="O329" s="294"/>
      <c r="P329" s="294"/>
      <c r="Q329" s="294"/>
      <c r="R329" s="294"/>
      <c r="S329" s="294"/>
      <c r="T329" s="294"/>
      <c r="U329" s="294"/>
      <c r="V329" s="294"/>
      <c r="W329" s="294"/>
      <c r="X329" s="294"/>
      <c r="Y329" s="294"/>
      <c r="Z329" s="294"/>
      <c r="AA329" s="294"/>
      <c r="AB329" s="294"/>
      <c r="AC329" s="294"/>
      <c r="AD329" s="294"/>
      <c r="AE329" s="294"/>
      <c r="AF329" s="294"/>
      <c r="AG329" s="294"/>
      <c r="AH329" s="294"/>
      <c r="AI329" s="294"/>
      <c r="AJ329" s="294"/>
      <c r="AK329" s="294"/>
      <c r="AL329" s="294"/>
      <c r="AM329" s="294"/>
      <c r="AN329" s="294"/>
      <c r="AO329" s="294"/>
      <c r="AP329" s="294"/>
      <c r="AQ329" s="294"/>
      <c r="AR329" s="294"/>
      <c r="AS329" s="294"/>
      <c r="AT329" s="294"/>
      <c r="AU329" s="294"/>
      <c r="AV329" s="294"/>
      <c r="AW329" s="294"/>
      <c r="AX329" s="294"/>
      <c r="AY329" s="294"/>
      <c r="AZ329" s="294"/>
      <c r="BA329" s="294"/>
      <c r="BB329" s="294"/>
      <c r="BC329" s="294"/>
      <c r="BD329" s="294"/>
      <c r="BE329" s="294"/>
      <c r="BF329" s="294"/>
      <c r="BG329" s="294"/>
      <c r="BH329" s="294"/>
      <c r="BI329" s="294"/>
      <c r="BJ329" s="294"/>
      <c r="BK329" s="294"/>
      <c r="BL329" s="294"/>
      <c r="BM329" s="294"/>
    </row>
    <row r="330" spans="1:65" x14ac:dyDescent="0.25">
      <c r="A330" s="294"/>
      <c r="B330" s="294"/>
      <c r="C330" s="294"/>
      <c r="D330" s="294"/>
      <c r="E330" s="294"/>
      <c r="F330" s="294"/>
      <c r="G330" s="294"/>
      <c r="H330" s="294"/>
      <c r="I330" s="294"/>
      <c r="J330" s="294"/>
      <c r="K330" s="294"/>
      <c r="L330" s="294"/>
      <c r="M330" s="294"/>
      <c r="N330" s="294"/>
      <c r="O330" s="294"/>
      <c r="P330" s="294"/>
      <c r="Q330" s="294"/>
      <c r="R330" s="294"/>
      <c r="S330" s="294"/>
      <c r="T330" s="294"/>
      <c r="U330" s="294"/>
      <c r="V330" s="294"/>
      <c r="W330" s="294"/>
      <c r="X330" s="294"/>
      <c r="Y330" s="294"/>
      <c r="Z330" s="294"/>
      <c r="AA330" s="294"/>
      <c r="AB330" s="294"/>
      <c r="AC330" s="294"/>
      <c r="AD330" s="294"/>
      <c r="AE330" s="294"/>
      <c r="AF330" s="294"/>
      <c r="AG330" s="294"/>
      <c r="AH330" s="294"/>
      <c r="AI330" s="294"/>
      <c r="AJ330" s="294"/>
      <c r="AK330" s="294"/>
      <c r="AL330" s="294"/>
      <c r="AM330" s="294"/>
      <c r="AN330" s="294"/>
      <c r="AO330" s="294"/>
      <c r="AP330" s="294"/>
      <c r="AQ330" s="294"/>
      <c r="AR330" s="294"/>
      <c r="AS330" s="294"/>
      <c r="AT330" s="294"/>
      <c r="AU330" s="294"/>
      <c r="AV330" s="294"/>
      <c r="AW330" s="294"/>
      <c r="AX330" s="294"/>
      <c r="AY330" s="294"/>
      <c r="AZ330" s="294"/>
      <c r="BA330" s="294"/>
      <c r="BB330" s="294"/>
      <c r="BC330" s="294"/>
      <c r="BD330" s="294"/>
      <c r="BE330" s="294"/>
      <c r="BF330" s="294"/>
      <c r="BG330" s="294"/>
      <c r="BH330" s="294"/>
      <c r="BI330" s="294"/>
      <c r="BJ330" s="294"/>
      <c r="BK330" s="294"/>
      <c r="BL330" s="294"/>
      <c r="BM330" s="294"/>
    </row>
    <row r="331" spans="1:65" x14ac:dyDescent="0.25">
      <c r="A331" s="294"/>
      <c r="B331" s="294"/>
      <c r="C331" s="294"/>
      <c r="D331" s="294"/>
      <c r="E331" s="294"/>
      <c r="F331" s="294"/>
      <c r="G331" s="294"/>
      <c r="H331" s="294"/>
      <c r="I331" s="294"/>
      <c r="J331" s="294"/>
      <c r="K331" s="294"/>
      <c r="L331" s="294"/>
      <c r="M331" s="294"/>
      <c r="N331" s="294"/>
      <c r="O331" s="294"/>
      <c r="P331" s="294"/>
      <c r="Q331" s="294"/>
      <c r="R331" s="294"/>
      <c r="S331" s="294"/>
      <c r="T331" s="294"/>
      <c r="U331" s="294"/>
      <c r="V331" s="294"/>
      <c r="W331" s="294"/>
      <c r="X331" s="294"/>
      <c r="Y331" s="294"/>
      <c r="Z331" s="294"/>
      <c r="AA331" s="294"/>
      <c r="AB331" s="294"/>
      <c r="AC331" s="294"/>
      <c r="AD331" s="294"/>
      <c r="AE331" s="294"/>
      <c r="AF331" s="294"/>
      <c r="AG331" s="294"/>
      <c r="AH331" s="294"/>
      <c r="AI331" s="294"/>
      <c r="AJ331" s="294"/>
      <c r="AK331" s="294"/>
      <c r="AL331" s="294"/>
      <c r="AM331" s="294"/>
      <c r="AN331" s="294"/>
      <c r="AO331" s="294"/>
      <c r="AP331" s="294"/>
      <c r="AQ331" s="294"/>
      <c r="AR331" s="294"/>
      <c r="AS331" s="294"/>
      <c r="AT331" s="294"/>
      <c r="AU331" s="294"/>
      <c r="AV331" s="294"/>
      <c r="AW331" s="294"/>
      <c r="AX331" s="294"/>
      <c r="AY331" s="294"/>
      <c r="AZ331" s="294"/>
      <c r="BA331" s="294"/>
      <c r="BB331" s="294"/>
      <c r="BC331" s="294"/>
      <c r="BD331" s="294"/>
      <c r="BE331" s="294"/>
      <c r="BF331" s="294"/>
      <c r="BG331" s="294"/>
      <c r="BH331" s="294"/>
      <c r="BI331" s="294"/>
      <c r="BJ331" s="294"/>
      <c r="BK331" s="294"/>
      <c r="BL331" s="294"/>
      <c r="BM331" s="294"/>
    </row>
    <row r="332" spans="1:65" x14ac:dyDescent="0.25">
      <c r="A332" s="294"/>
      <c r="B332" s="294"/>
      <c r="C332" s="294"/>
      <c r="D332" s="294"/>
      <c r="E332" s="294"/>
      <c r="F332" s="294"/>
      <c r="G332" s="294"/>
      <c r="H332" s="294"/>
      <c r="I332" s="294"/>
      <c r="J332" s="294"/>
      <c r="K332" s="294"/>
      <c r="L332" s="294"/>
      <c r="M332" s="294"/>
      <c r="N332" s="294"/>
      <c r="O332" s="294"/>
      <c r="P332" s="294"/>
      <c r="Q332" s="294"/>
      <c r="R332" s="294"/>
      <c r="S332" s="294"/>
      <c r="T332" s="294"/>
      <c r="U332" s="294"/>
      <c r="V332" s="294"/>
      <c r="W332" s="294"/>
      <c r="X332" s="294"/>
      <c r="Y332" s="294"/>
      <c r="Z332" s="294"/>
      <c r="AA332" s="294"/>
      <c r="AB332" s="294"/>
      <c r="AC332" s="294"/>
      <c r="AD332" s="294"/>
      <c r="AE332" s="294"/>
      <c r="AF332" s="294"/>
      <c r="AG332" s="294"/>
      <c r="AH332" s="294"/>
      <c r="AI332" s="294"/>
      <c r="AJ332" s="294"/>
      <c r="AK332" s="294"/>
      <c r="AL332" s="294"/>
      <c r="AM332" s="294"/>
      <c r="AN332" s="294"/>
      <c r="AO332" s="294"/>
      <c r="AP332" s="294"/>
      <c r="AQ332" s="294"/>
      <c r="AR332" s="294"/>
      <c r="AS332" s="294"/>
      <c r="AT332" s="294"/>
      <c r="AU332" s="294"/>
      <c r="AV332" s="294"/>
      <c r="AW332" s="294"/>
      <c r="AX332" s="294"/>
      <c r="AY332" s="294"/>
      <c r="AZ332" s="294"/>
      <c r="BA332" s="294"/>
      <c r="BB332" s="294"/>
      <c r="BC332" s="294"/>
      <c r="BD332" s="294"/>
      <c r="BE332" s="294"/>
      <c r="BF332" s="294"/>
      <c r="BG332" s="294"/>
      <c r="BH332" s="294"/>
      <c r="BI332" s="294"/>
      <c r="BJ332" s="294"/>
      <c r="BK332" s="294"/>
      <c r="BL332" s="294"/>
      <c r="BM332" s="294"/>
    </row>
    <row r="333" spans="1:65" x14ac:dyDescent="0.25">
      <c r="A333" s="294"/>
      <c r="B333" s="294"/>
      <c r="C333" s="294"/>
      <c r="D333" s="294"/>
      <c r="E333" s="294"/>
      <c r="F333" s="294"/>
      <c r="G333" s="294"/>
      <c r="H333" s="294"/>
      <c r="I333" s="294"/>
      <c r="J333" s="294"/>
      <c r="K333" s="294"/>
      <c r="L333" s="294"/>
      <c r="M333" s="294"/>
      <c r="N333" s="294"/>
      <c r="O333" s="294"/>
      <c r="P333" s="294"/>
      <c r="Q333" s="294"/>
      <c r="R333" s="294"/>
      <c r="S333" s="294"/>
      <c r="T333" s="294"/>
      <c r="U333" s="294"/>
      <c r="V333" s="294"/>
      <c r="W333" s="294"/>
      <c r="X333" s="294"/>
      <c r="Y333" s="294"/>
      <c r="Z333" s="294"/>
      <c r="AA333" s="294"/>
      <c r="AB333" s="294"/>
      <c r="AC333" s="294"/>
      <c r="AD333" s="294"/>
      <c r="AE333" s="294"/>
      <c r="AF333" s="294"/>
      <c r="AG333" s="294"/>
      <c r="AH333" s="294"/>
      <c r="AI333" s="294"/>
      <c r="AJ333" s="294"/>
      <c r="AK333" s="294"/>
      <c r="AL333" s="294"/>
      <c r="AM333" s="294"/>
      <c r="AN333" s="294"/>
      <c r="AO333" s="294"/>
      <c r="AP333" s="294"/>
      <c r="AQ333" s="294"/>
      <c r="AR333" s="294"/>
      <c r="AS333" s="294"/>
      <c r="AT333" s="294"/>
      <c r="AU333" s="294"/>
      <c r="AV333" s="294"/>
      <c r="AW333" s="294"/>
      <c r="AX333" s="294"/>
      <c r="AY333" s="294"/>
      <c r="AZ333" s="294"/>
      <c r="BA333" s="294"/>
      <c r="BB333" s="294"/>
      <c r="BC333" s="294"/>
      <c r="BD333" s="294"/>
      <c r="BE333" s="294"/>
      <c r="BF333" s="294"/>
      <c r="BG333" s="294"/>
      <c r="BH333" s="294"/>
      <c r="BI333" s="294"/>
      <c r="BJ333" s="294"/>
      <c r="BK333" s="294"/>
      <c r="BL333" s="294"/>
      <c r="BM333" s="294"/>
    </row>
    <row r="334" spans="1:65" x14ac:dyDescent="0.25">
      <c r="A334" s="294"/>
      <c r="B334" s="294"/>
      <c r="C334" s="294"/>
      <c r="D334" s="294"/>
      <c r="E334" s="294"/>
      <c r="F334" s="294"/>
      <c r="G334" s="294"/>
      <c r="H334" s="294"/>
      <c r="I334" s="294"/>
      <c r="J334" s="294"/>
      <c r="K334" s="294"/>
      <c r="L334" s="294"/>
      <c r="M334" s="294"/>
      <c r="N334" s="294"/>
      <c r="O334" s="294"/>
      <c r="P334" s="294"/>
      <c r="Q334" s="294"/>
      <c r="R334" s="294"/>
      <c r="S334" s="294"/>
      <c r="T334" s="294"/>
      <c r="U334" s="294"/>
      <c r="V334" s="294"/>
      <c r="W334" s="294"/>
      <c r="X334" s="294"/>
      <c r="Y334" s="294"/>
      <c r="Z334" s="294"/>
      <c r="AA334" s="294"/>
      <c r="AB334" s="294"/>
      <c r="AC334" s="294"/>
      <c r="AD334" s="294"/>
      <c r="AE334" s="294"/>
      <c r="AF334" s="294"/>
      <c r="AG334" s="294"/>
      <c r="AH334" s="294"/>
      <c r="AI334" s="294"/>
      <c r="AJ334" s="294"/>
      <c r="AK334" s="294"/>
      <c r="AL334" s="294"/>
      <c r="AM334" s="294"/>
      <c r="AN334" s="294"/>
      <c r="AO334" s="294"/>
      <c r="AP334" s="294"/>
      <c r="AQ334" s="294"/>
      <c r="AR334" s="294"/>
      <c r="AS334" s="294"/>
      <c r="AT334" s="294"/>
      <c r="AU334" s="294"/>
      <c r="AV334" s="294"/>
      <c r="AW334" s="294"/>
      <c r="AX334" s="294"/>
      <c r="AY334" s="294"/>
      <c r="AZ334" s="294"/>
      <c r="BA334" s="294"/>
      <c r="BB334" s="294"/>
      <c r="BC334" s="294"/>
      <c r="BD334" s="294"/>
      <c r="BE334" s="294"/>
      <c r="BF334" s="294"/>
      <c r="BG334" s="294"/>
      <c r="BH334" s="294"/>
      <c r="BI334" s="294"/>
      <c r="BJ334" s="294"/>
      <c r="BK334" s="294"/>
      <c r="BL334" s="294"/>
      <c r="BM334" s="294"/>
    </row>
    <row r="335" spans="1:65" x14ac:dyDescent="0.25">
      <c r="A335" s="294"/>
      <c r="B335" s="294"/>
      <c r="C335" s="294"/>
      <c r="D335" s="294"/>
      <c r="E335" s="294"/>
      <c r="F335" s="294"/>
      <c r="G335" s="294"/>
      <c r="H335" s="294"/>
      <c r="I335" s="294"/>
      <c r="J335" s="294"/>
      <c r="K335" s="294"/>
      <c r="L335" s="294"/>
      <c r="M335" s="294"/>
      <c r="N335" s="294"/>
      <c r="O335" s="294"/>
      <c r="P335" s="294"/>
      <c r="Q335" s="294"/>
      <c r="R335" s="294"/>
      <c r="S335" s="294"/>
      <c r="T335" s="294"/>
      <c r="U335" s="294"/>
      <c r="V335" s="294"/>
      <c r="W335" s="294"/>
      <c r="X335" s="294"/>
      <c r="Y335" s="294"/>
      <c r="Z335" s="294"/>
      <c r="AA335" s="294"/>
      <c r="AB335" s="294"/>
      <c r="AC335" s="294"/>
      <c r="AD335" s="294"/>
      <c r="AE335" s="294"/>
      <c r="AF335" s="294"/>
      <c r="AG335" s="294"/>
      <c r="AH335" s="294"/>
      <c r="AI335" s="294"/>
      <c r="AJ335" s="294"/>
      <c r="AK335" s="294"/>
      <c r="AL335" s="294"/>
      <c r="AM335" s="294"/>
      <c r="AN335" s="294"/>
      <c r="AO335" s="294"/>
      <c r="AP335" s="294"/>
      <c r="AQ335" s="294"/>
      <c r="AR335" s="294"/>
      <c r="AS335" s="294"/>
      <c r="AT335" s="294"/>
      <c r="AU335" s="294"/>
      <c r="AV335" s="294"/>
      <c r="AW335" s="294"/>
      <c r="AX335" s="294"/>
      <c r="AY335" s="294"/>
      <c r="AZ335" s="294"/>
      <c r="BA335" s="294"/>
      <c r="BB335" s="294"/>
      <c r="BC335" s="294"/>
      <c r="BD335" s="294"/>
      <c r="BE335" s="294"/>
      <c r="BF335" s="294"/>
      <c r="BG335" s="294"/>
      <c r="BH335" s="294"/>
      <c r="BI335" s="294"/>
      <c r="BJ335" s="294"/>
      <c r="BK335" s="294"/>
      <c r="BL335" s="294"/>
      <c r="BM335" s="294"/>
    </row>
    <row r="336" spans="1:65" x14ac:dyDescent="0.25">
      <c r="A336" s="294"/>
      <c r="B336" s="294"/>
      <c r="C336" s="294"/>
      <c r="D336" s="294"/>
      <c r="E336" s="294"/>
      <c r="F336" s="294"/>
      <c r="G336" s="294"/>
      <c r="H336" s="294"/>
      <c r="I336" s="294"/>
      <c r="J336" s="294"/>
      <c r="K336" s="294"/>
      <c r="L336" s="294"/>
      <c r="M336" s="294"/>
      <c r="N336" s="294"/>
      <c r="O336" s="294"/>
      <c r="P336" s="294"/>
      <c r="Q336" s="294"/>
      <c r="R336" s="294"/>
      <c r="S336" s="294"/>
      <c r="T336" s="294"/>
      <c r="U336" s="294"/>
      <c r="V336" s="294"/>
      <c r="W336" s="294"/>
      <c r="X336" s="294"/>
      <c r="Y336" s="294"/>
      <c r="Z336" s="294"/>
      <c r="AA336" s="294"/>
      <c r="AB336" s="294"/>
      <c r="AC336" s="294"/>
      <c r="AD336" s="294"/>
      <c r="AE336" s="294"/>
      <c r="AF336" s="294"/>
      <c r="AG336" s="294"/>
      <c r="AH336" s="294"/>
      <c r="AI336" s="294"/>
      <c r="AJ336" s="294"/>
      <c r="AK336" s="294"/>
      <c r="AL336" s="294"/>
      <c r="AM336" s="294"/>
      <c r="AN336" s="294"/>
      <c r="AO336" s="294"/>
      <c r="AP336" s="294"/>
      <c r="AQ336" s="294"/>
      <c r="AR336" s="294"/>
      <c r="AS336" s="294"/>
      <c r="AT336" s="294"/>
      <c r="AU336" s="294"/>
      <c r="AV336" s="294"/>
      <c r="AW336" s="294"/>
      <c r="AX336" s="294"/>
      <c r="AY336" s="294"/>
      <c r="AZ336" s="294"/>
      <c r="BA336" s="294"/>
      <c r="BB336" s="294"/>
      <c r="BC336" s="294"/>
      <c r="BD336" s="294"/>
      <c r="BE336" s="294"/>
      <c r="BF336" s="294"/>
      <c r="BG336" s="294"/>
      <c r="BH336" s="294"/>
      <c r="BI336" s="294"/>
      <c r="BJ336" s="294"/>
      <c r="BK336" s="294"/>
      <c r="BL336" s="294"/>
      <c r="BM336" s="294"/>
    </row>
    <row r="337" spans="1:65" x14ac:dyDescent="0.25">
      <c r="A337" s="294"/>
      <c r="B337" s="294"/>
      <c r="C337" s="294"/>
      <c r="D337" s="294"/>
      <c r="E337" s="294"/>
      <c r="F337" s="294"/>
      <c r="G337" s="294"/>
      <c r="H337" s="294"/>
      <c r="I337" s="294"/>
      <c r="J337" s="294"/>
      <c r="K337" s="294"/>
      <c r="L337" s="294"/>
      <c r="M337" s="294"/>
      <c r="N337" s="294"/>
      <c r="O337" s="294"/>
      <c r="P337" s="294"/>
      <c r="Q337" s="294"/>
      <c r="R337" s="294"/>
      <c r="S337" s="294"/>
      <c r="T337" s="294"/>
      <c r="U337" s="294"/>
      <c r="V337" s="294"/>
      <c r="W337" s="294"/>
      <c r="X337" s="294"/>
      <c r="Y337" s="294"/>
      <c r="Z337" s="294"/>
      <c r="AA337" s="294"/>
      <c r="AB337" s="294"/>
      <c r="AC337" s="294"/>
      <c r="AD337" s="294"/>
      <c r="AE337" s="294"/>
      <c r="AF337" s="294"/>
      <c r="AG337" s="294"/>
      <c r="AH337" s="294"/>
      <c r="AI337" s="294"/>
      <c r="AJ337" s="294"/>
      <c r="AK337" s="294"/>
      <c r="AL337" s="294"/>
      <c r="AM337" s="294"/>
      <c r="AN337" s="294"/>
      <c r="AO337" s="294"/>
      <c r="AP337" s="294"/>
      <c r="AQ337" s="294"/>
      <c r="AR337" s="294"/>
      <c r="AS337" s="294"/>
      <c r="AT337" s="294"/>
      <c r="AU337" s="294"/>
      <c r="AV337" s="294"/>
      <c r="AW337" s="294"/>
      <c r="AX337" s="294"/>
      <c r="AY337" s="294"/>
      <c r="AZ337" s="294"/>
      <c r="BA337" s="294"/>
      <c r="BB337" s="294"/>
      <c r="BC337" s="294"/>
      <c r="BD337" s="294"/>
      <c r="BE337" s="294"/>
      <c r="BF337" s="294"/>
      <c r="BG337" s="294"/>
      <c r="BH337" s="294"/>
      <c r="BI337" s="294"/>
      <c r="BJ337" s="294"/>
      <c r="BK337" s="294"/>
      <c r="BL337" s="294"/>
      <c r="BM337" s="294"/>
    </row>
    <row r="338" spans="1:65" x14ac:dyDescent="0.25">
      <c r="A338" s="294"/>
      <c r="B338" s="294"/>
      <c r="C338" s="294"/>
      <c r="D338" s="294"/>
      <c r="E338" s="294"/>
      <c r="F338" s="294"/>
      <c r="G338" s="294"/>
      <c r="H338" s="294"/>
      <c r="I338" s="294"/>
      <c r="J338" s="294"/>
      <c r="K338" s="294"/>
      <c r="L338" s="294"/>
      <c r="M338" s="294"/>
      <c r="N338" s="294"/>
      <c r="O338" s="294"/>
      <c r="P338" s="294"/>
      <c r="Q338" s="294"/>
      <c r="R338" s="294"/>
      <c r="S338" s="294"/>
      <c r="T338" s="294"/>
      <c r="U338" s="294"/>
      <c r="V338" s="294"/>
      <c r="W338" s="294"/>
      <c r="X338" s="294"/>
      <c r="Y338" s="294"/>
      <c r="Z338" s="294"/>
      <c r="AA338" s="294"/>
      <c r="AB338" s="294"/>
      <c r="AC338" s="294"/>
      <c r="AD338" s="294"/>
      <c r="AE338" s="294"/>
      <c r="AF338" s="294"/>
      <c r="AG338" s="294"/>
      <c r="AH338" s="294"/>
      <c r="AI338" s="294"/>
      <c r="AJ338" s="294"/>
      <c r="AK338" s="294"/>
      <c r="AL338" s="294"/>
      <c r="AM338" s="294"/>
      <c r="AN338" s="294"/>
      <c r="AO338" s="294"/>
      <c r="AP338" s="294"/>
      <c r="AQ338" s="294"/>
      <c r="AR338" s="294"/>
      <c r="AS338" s="294"/>
      <c r="AT338" s="294"/>
      <c r="AU338" s="294"/>
      <c r="AV338" s="294"/>
      <c r="AW338" s="294"/>
      <c r="AX338" s="294"/>
      <c r="AY338" s="294"/>
      <c r="AZ338" s="294"/>
      <c r="BA338" s="294"/>
      <c r="BB338" s="294"/>
      <c r="BC338" s="294"/>
      <c r="BD338" s="294"/>
      <c r="BE338" s="294"/>
      <c r="BF338" s="294"/>
      <c r="BG338" s="294"/>
      <c r="BH338" s="294"/>
      <c r="BI338" s="294"/>
      <c r="BJ338" s="294"/>
      <c r="BK338" s="294"/>
      <c r="BL338" s="294"/>
      <c r="BM338" s="294"/>
    </row>
    <row r="339" spans="1:65" x14ac:dyDescent="0.25">
      <c r="A339" s="294"/>
      <c r="B339" s="294"/>
      <c r="C339" s="294"/>
      <c r="D339" s="294"/>
      <c r="E339" s="294"/>
      <c r="F339" s="294"/>
      <c r="G339" s="294"/>
      <c r="H339" s="294"/>
      <c r="I339" s="294"/>
      <c r="J339" s="294"/>
      <c r="K339" s="294"/>
      <c r="L339" s="294"/>
      <c r="M339" s="294"/>
      <c r="N339" s="294"/>
      <c r="O339" s="294"/>
      <c r="P339" s="294"/>
      <c r="Q339" s="294"/>
      <c r="R339" s="294"/>
      <c r="S339" s="294"/>
      <c r="T339" s="294"/>
      <c r="U339" s="294"/>
      <c r="V339" s="294"/>
      <c r="W339" s="294"/>
      <c r="X339" s="294"/>
      <c r="Y339" s="294"/>
      <c r="Z339" s="294"/>
      <c r="AA339" s="294"/>
      <c r="AB339" s="294"/>
      <c r="AC339" s="294"/>
      <c r="AD339" s="294"/>
      <c r="AE339" s="294"/>
      <c r="AF339" s="294"/>
      <c r="AG339" s="294"/>
      <c r="AH339" s="294"/>
      <c r="AI339" s="294"/>
      <c r="AJ339" s="294"/>
      <c r="AK339" s="294"/>
      <c r="AL339" s="294"/>
      <c r="AM339" s="294"/>
      <c r="AN339" s="294"/>
      <c r="AO339" s="294"/>
      <c r="AP339" s="294"/>
      <c r="AQ339" s="294"/>
      <c r="AR339" s="294"/>
      <c r="AS339" s="294"/>
      <c r="AT339" s="294"/>
      <c r="AU339" s="294"/>
      <c r="AV339" s="294"/>
      <c r="AW339" s="294"/>
      <c r="AX339" s="294"/>
      <c r="AY339" s="294"/>
      <c r="AZ339" s="294"/>
      <c r="BA339" s="294"/>
      <c r="BB339" s="294"/>
      <c r="BC339" s="294"/>
      <c r="BD339" s="294"/>
      <c r="BE339" s="294"/>
      <c r="BF339" s="294"/>
      <c r="BG339" s="294"/>
      <c r="BH339" s="294"/>
      <c r="BI339" s="294"/>
      <c r="BJ339" s="294"/>
      <c r="BK339" s="294"/>
      <c r="BL339" s="294"/>
      <c r="BM339" s="294"/>
    </row>
    <row r="340" spans="1:65" x14ac:dyDescent="0.25">
      <c r="A340" s="294"/>
      <c r="B340" s="294"/>
      <c r="C340" s="294"/>
      <c r="D340" s="294"/>
      <c r="E340" s="294"/>
      <c r="F340" s="294"/>
      <c r="G340" s="294"/>
      <c r="H340" s="294"/>
      <c r="I340" s="294"/>
      <c r="J340" s="294"/>
      <c r="K340" s="294"/>
      <c r="L340" s="294"/>
      <c r="M340" s="294"/>
      <c r="N340" s="294"/>
      <c r="O340" s="294"/>
      <c r="P340" s="294"/>
      <c r="Q340" s="294"/>
      <c r="R340" s="294"/>
      <c r="S340" s="294"/>
      <c r="T340" s="294"/>
      <c r="U340" s="294"/>
      <c r="V340" s="294"/>
      <c r="W340" s="294"/>
      <c r="X340" s="294"/>
      <c r="Y340" s="294"/>
      <c r="Z340" s="294"/>
      <c r="AA340" s="294"/>
      <c r="AB340" s="294"/>
      <c r="AC340" s="294"/>
      <c r="AD340" s="294"/>
      <c r="AE340" s="294"/>
      <c r="AF340" s="294"/>
      <c r="AG340" s="294"/>
      <c r="AH340" s="294"/>
      <c r="AI340" s="294"/>
      <c r="AJ340" s="294"/>
      <c r="AK340" s="294"/>
      <c r="AL340" s="294"/>
      <c r="AM340" s="294"/>
      <c r="AN340" s="294"/>
      <c r="AO340" s="294"/>
      <c r="AP340" s="294"/>
      <c r="AQ340" s="294"/>
      <c r="AR340" s="294"/>
      <c r="AS340" s="294"/>
      <c r="AT340" s="294"/>
      <c r="AU340" s="294"/>
      <c r="AV340" s="294"/>
      <c r="AW340" s="294"/>
      <c r="AX340" s="294"/>
      <c r="AY340" s="294"/>
      <c r="AZ340" s="294"/>
      <c r="BA340" s="294"/>
      <c r="BB340" s="294"/>
      <c r="BC340" s="294"/>
      <c r="BD340" s="294"/>
      <c r="BE340" s="294"/>
      <c r="BF340" s="294"/>
      <c r="BG340" s="294"/>
      <c r="BH340" s="294"/>
      <c r="BI340" s="294"/>
      <c r="BJ340" s="294"/>
      <c r="BK340" s="294"/>
      <c r="BL340" s="294"/>
      <c r="BM340" s="294"/>
    </row>
    <row r="341" spans="1:65" x14ac:dyDescent="0.25">
      <c r="A341" s="294"/>
      <c r="B341" s="294"/>
      <c r="C341" s="294"/>
      <c r="D341" s="294"/>
      <c r="E341" s="294"/>
      <c r="F341" s="294"/>
      <c r="G341" s="294"/>
      <c r="H341" s="294"/>
      <c r="I341" s="294"/>
      <c r="J341" s="294"/>
      <c r="K341" s="294"/>
      <c r="L341" s="294"/>
      <c r="M341" s="294"/>
      <c r="N341" s="294"/>
      <c r="O341" s="294"/>
      <c r="P341" s="294"/>
      <c r="Q341" s="294"/>
      <c r="R341" s="294"/>
      <c r="S341" s="294"/>
      <c r="T341" s="294"/>
      <c r="U341" s="294"/>
      <c r="V341" s="294"/>
      <c r="W341" s="294"/>
      <c r="X341" s="294"/>
      <c r="Y341" s="294"/>
      <c r="Z341" s="294"/>
      <c r="AA341" s="294"/>
      <c r="AB341" s="294"/>
      <c r="AC341" s="294"/>
      <c r="AD341" s="294"/>
      <c r="AE341" s="294"/>
      <c r="AF341" s="294"/>
      <c r="AG341" s="294"/>
      <c r="AH341" s="294"/>
      <c r="AI341" s="294"/>
      <c r="AJ341" s="294"/>
      <c r="AK341" s="294"/>
      <c r="AL341" s="294"/>
      <c r="AM341" s="294"/>
      <c r="AN341" s="294"/>
      <c r="AO341" s="294"/>
      <c r="AP341" s="294"/>
      <c r="AQ341" s="294"/>
      <c r="AR341" s="294"/>
      <c r="AS341" s="294"/>
      <c r="AT341" s="294"/>
      <c r="AU341" s="294"/>
      <c r="AV341" s="294"/>
      <c r="AW341" s="294"/>
      <c r="AX341" s="294"/>
      <c r="AY341" s="294"/>
      <c r="AZ341" s="294"/>
      <c r="BA341" s="294"/>
      <c r="BB341" s="294"/>
      <c r="BC341" s="294"/>
      <c r="BD341" s="294"/>
      <c r="BE341" s="294"/>
      <c r="BF341" s="294"/>
      <c r="BG341" s="294"/>
      <c r="BH341" s="294"/>
      <c r="BI341" s="294"/>
      <c r="BJ341" s="294"/>
      <c r="BK341" s="294"/>
      <c r="BL341" s="294"/>
      <c r="BM341" s="294"/>
    </row>
    <row r="342" spans="1:65" x14ac:dyDescent="0.25">
      <c r="A342" s="294"/>
      <c r="B342" s="294"/>
      <c r="C342" s="294"/>
      <c r="D342" s="294"/>
      <c r="E342" s="294"/>
      <c r="F342" s="294"/>
      <c r="G342" s="294"/>
      <c r="H342" s="294"/>
      <c r="I342" s="294"/>
      <c r="J342" s="294"/>
      <c r="K342" s="294"/>
      <c r="L342" s="294"/>
      <c r="M342" s="294"/>
      <c r="N342" s="294"/>
      <c r="O342" s="294"/>
      <c r="P342" s="294"/>
      <c r="Q342" s="294"/>
      <c r="R342" s="294"/>
      <c r="S342" s="294"/>
      <c r="T342" s="294"/>
      <c r="U342" s="294"/>
      <c r="V342" s="294"/>
      <c r="W342" s="294"/>
      <c r="X342" s="294"/>
      <c r="Y342" s="294"/>
      <c r="Z342" s="294"/>
      <c r="AA342" s="294"/>
      <c r="AB342" s="294"/>
      <c r="AC342" s="294"/>
      <c r="AD342" s="294"/>
      <c r="AE342" s="294"/>
      <c r="AF342" s="294"/>
      <c r="AG342" s="294"/>
      <c r="AH342" s="294"/>
      <c r="AI342" s="294"/>
      <c r="AJ342" s="294"/>
      <c r="AK342" s="294"/>
      <c r="AL342" s="294"/>
      <c r="AM342" s="294"/>
      <c r="AN342" s="294"/>
      <c r="AO342" s="294"/>
      <c r="AP342" s="294"/>
      <c r="AQ342" s="294"/>
      <c r="AR342" s="294"/>
      <c r="AS342" s="294"/>
      <c r="AT342" s="294"/>
      <c r="AU342" s="294"/>
      <c r="AV342" s="294"/>
      <c r="AW342" s="294"/>
      <c r="AX342" s="294"/>
      <c r="AY342" s="294"/>
      <c r="AZ342" s="294"/>
      <c r="BA342" s="294"/>
      <c r="BB342" s="294"/>
      <c r="BC342" s="294"/>
      <c r="BD342" s="294"/>
      <c r="BE342" s="294"/>
      <c r="BF342" s="294"/>
      <c r="BG342" s="294"/>
      <c r="BH342" s="294"/>
      <c r="BI342" s="294"/>
      <c r="BJ342" s="294"/>
      <c r="BK342" s="294"/>
      <c r="BL342" s="294"/>
      <c r="BM342" s="294"/>
    </row>
    <row r="343" spans="1:65" x14ac:dyDescent="0.25">
      <c r="A343" s="294"/>
      <c r="B343" s="294"/>
      <c r="C343" s="294"/>
      <c r="D343" s="294"/>
      <c r="E343" s="294"/>
      <c r="F343" s="294"/>
      <c r="G343" s="294"/>
      <c r="H343" s="294"/>
      <c r="I343" s="294"/>
      <c r="J343" s="294"/>
      <c r="K343" s="294"/>
      <c r="L343" s="294"/>
      <c r="M343" s="294"/>
      <c r="N343" s="294"/>
      <c r="O343" s="294"/>
      <c r="P343" s="294"/>
      <c r="Q343" s="294"/>
      <c r="R343" s="294"/>
      <c r="S343" s="294"/>
      <c r="T343" s="294"/>
      <c r="U343" s="294"/>
      <c r="V343" s="294"/>
      <c r="W343" s="294"/>
      <c r="X343" s="294"/>
      <c r="Y343" s="294"/>
      <c r="Z343" s="294"/>
      <c r="AA343" s="294"/>
      <c r="AB343" s="294"/>
      <c r="AC343" s="294"/>
      <c r="AD343" s="294"/>
      <c r="AE343" s="294"/>
      <c r="AF343" s="294"/>
      <c r="AG343" s="294"/>
      <c r="AH343" s="294"/>
      <c r="AI343" s="294"/>
      <c r="AJ343" s="294"/>
      <c r="AK343" s="294"/>
      <c r="AL343" s="294"/>
      <c r="AM343" s="294"/>
      <c r="AN343" s="294"/>
      <c r="AO343" s="294"/>
      <c r="AP343" s="294"/>
      <c r="AQ343" s="294"/>
      <c r="AR343" s="294"/>
      <c r="AS343" s="294"/>
      <c r="AT343" s="294"/>
      <c r="AU343" s="294"/>
      <c r="AV343" s="294"/>
      <c r="AW343" s="294"/>
      <c r="AX343" s="294"/>
      <c r="AY343" s="294"/>
      <c r="AZ343" s="294"/>
      <c r="BA343" s="294"/>
      <c r="BB343" s="294"/>
      <c r="BC343" s="294"/>
      <c r="BD343" s="294"/>
      <c r="BE343" s="294"/>
      <c r="BF343" s="294"/>
      <c r="BG343" s="294"/>
      <c r="BH343" s="294"/>
      <c r="BI343" s="294"/>
      <c r="BJ343" s="294"/>
      <c r="BK343" s="294"/>
      <c r="BL343" s="294"/>
      <c r="BM343" s="294"/>
    </row>
    <row r="344" spans="1:65" x14ac:dyDescent="0.25">
      <c r="A344" s="294"/>
      <c r="B344" s="294"/>
      <c r="C344" s="294"/>
      <c r="D344" s="294"/>
      <c r="E344" s="294"/>
      <c r="F344" s="294"/>
      <c r="G344" s="294"/>
      <c r="H344" s="294"/>
      <c r="I344" s="294"/>
      <c r="J344" s="294"/>
      <c r="K344" s="294"/>
      <c r="L344" s="294"/>
      <c r="M344" s="294"/>
      <c r="N344" s="294"/>
      <c r="O344" s="294"/>
      <c r="P344" s="294"/>
      <c r="Q344" s="294"/>
      <c r="R344" s="294"/>
      <c r="S344" s="294"/>
      <c r="T344" s="294"/>
      <c r="U344" s="294"/>
      <c r="V344" s="294"/>
      <c r="W344" s="294"/>
      <c r="X344" s="294"/>
      <c r="Y344" s="294"/>
      <c r="Z344" s="294"/>
      <c r="AA344" s="294"/>
      <c r="AB344" s="294"/>
      <c r="AC344" s="294"/>
      <c r="AD344" s="294"/>
      <c r="AE344" s="294"/>
      <c r="AF344" s="294"/>
      <c r="AG344" s="294"/>
      <c r="AH344" s="294"/>
      <c r="AI344" s="294"/>
      <c r="AJ344" s="294"/>
      <c r="AK344" s="294"/>
      <c r="AL344" s="294"/>
      <c r="AM344" s="294"/>
      <c r="AN344" s="294"/>
      <c r="AO344" s="294"/>
      <c r="AP344" s="294"/>
      <c r="AQ344" s="294"/>
      <c r="AR344" s="294"/>
      <c r="AS344" s="294"/>
      <c r="AT344" s="294"/>
      <c r="AU344" s="294"/>
      <c r="AV344" s="294"/>
      <c r="AW344" s="294"/>
      <c r="AX344" s="294"/>
      <c r="AY344" s="294"/>
      <c r="AZ344" s="294"/>
      <c r="BA344" s="294"/>
      <c r="BB344" s="294"/>
      <c r="BC344" s="294"/>
      <c r="BD344" s="294"/>
      <c r="BE344" s="294"/>
      <c r="BF344" s="294"/>
      <c r="BG344" s="294"/>
      <c r="BH344" s="294"/>
      <c r="BI344" s="294"/>
      <c r="BJ344" s="294"/>
      <c r="BK344" s="294"/>
      <c r="BL344" s="294"/>
      <c r="BM344" s="294"/>
    </row>
    <row r="345" spans="1:65" x14ac:dyDescent="0.25">
      <c r="A345" s="294"/>
      <c r="B345" s="294"/>
      <c r="C345" s="294"/>
      <c r="D345" s="294"/>
      <c r="E345" s="294"/>
      <c r="F345" s="294"/>
      <c r="G345" s="294"/>
      <c r="H345" s="294"/>
      <c r="I345" s="294"/>
      <c r="J345" s="294"/>
      <c r="K345" s="294"/>
      <c r="L345" s="294"/>
      <c r="M345" s="294"/>
      <c r="N345" s="294"/>
      <c r="O345" s="294"/>
      <c r="P345" s="294"/>
      <c r="Q345" s="294"/>
      <c r="R345" s="294"/>
      <c r="S345" s="294"/>
      <c r="T345" s="294"/>
      <c r="U345" s="294"/>
      <c r="V345" s="294"/>
      <c r="W345" s="294"/>
      <c r="X345" s="294"/>
      <c r="Y345" s="294"/>
      <c r="Z345" s="294"/>
      <c r="AA345" s="294"/>
      <c r="AB345" s="294"/>
      <c r="AC345" s="294"/>
      <c r="AD345" s="294"/>
      <c r="AE345" s="294"/>
      <c r="AF345" s="294"/>
      <c r="AG345" s="294"/>
      <c r="AH345" s="294"/>
      <c r="AI345" s="294"/>
      <c r="AJ345" s="294"/>
      <c r="AK345" s="294"/>
      <c r="AL345" s="294"/>
      <c r="AM345" s="294"/>
      <c r="AN345" s="294"/>
      <c r="AO345" s="294"/>
      <c r="AP345" s="294"/>
      <c r="AQ345" s="294"/>
      <c r="AR345" s="294"/>
      <c r="AS345" s="294"/>
      <c r="AT345" s="294"/>
      <c r="AU345" s="294"/>
      <c r="AV345" s="294"/>
      <c r="AW345" s="294"/>
      <c r="AX345" s="294"/>
      <c r="AY345" s="294"/>
      <c r="AZ345" s="294"/>
      <c r="BA345" s="294"/>
      <c r="BB345" s="294"/>
      <c r="BC345" s="294"/>
      <c r="BD345" s="294"/>
      <c r="BE345" s="294"/>
      <c r="BF345" s="294"/>
      <c r="BG345" s="294"/>
      <c r="BH345" s="294"/>
      <c r="BI345" s="294"/>
      <c r="BJ345" s="294"/>
      <c r="BK345" s="294"/>
      <c r="BL345" s="294"/>
      <c r="BM345" s="294"/>
    </row>
    <row r="346" spans="1:65" x14ac:dyDescent="0.25">
      <c r="A346" s="294"/>
      <c r="B346" s="294"/>
      <c r="C346" s="294"/>
      <c r="D346" s="294"/>
      <c r="E346" s="294"/>
      <c r="F346" s="294"/>
      <c r="G346" s="294"/>
      <c r="H346" s="294"/>
      <c r="I346" s="294"/>
      <c r="J346" s="294"/>
      <c r="K346" s="294"/>
      <c r="L346" s="294"/>
      <c r="M346" s="294"/>
      <c r="N346" s="294"/>
      <c r="O346" s="294"/>
      <c r="P346" s="294"/>
      <c r="Q346" s="294"/>
      <c r="R346" s="294"/>
      <c r="S346" s="294"/>
      <c r="T346" s="294"/>
      <c r="U346" s="294"/>
      <c r="V346" s="294"/>
      <c r="W346" s="294"/>
      <c r="X346" s="294"/>
      <c r="Y346" s="294"/>
      <c r="Z346" s="294"/>
      <c r="AA346" s="294"/>
      <c r="AB346" s="294"/>
      <c r="AC346" s="294"/>
      <c r="AD346" s="294"/>
      <c r="AE346" s="294"/>
      <c r="AF346" s="294"/>
      <c r="AG346" s="294"/>
      <c r="AH346" s="294"/>
      <c r="AI346" s="294"/>
      <c r="AJ346" s="294"/>
      <c r="AK346" s="294"/>
      <c r="AL346" s="294"/>
      <c r="AM346" s="294"/>
      <c r="AN346" s="294"/>
      <c r="AO346" s="294"/>
      <c r="AP346" s="294"/>
      <c r="AQ346" s="294"/>
      <c r="AR346" s="294"/>
      <c r="AS346" s="294"/>
      <c r="AT346" s="294"/>
      <c r="AU346" s="294"/>
      <c r="AV346" s="294"/>
      <c r="AW346" s="294"/>
      <c r="AX346" s="294"/>
      <c r="AY346" s="294"/>
      <c r="AZ346" s="294"/>
      <c r="BA346" s="294"/>
      <c r="BB346" s="294"/>
      <c r="BC346" s="294"/>
      <c r="BD346" s="294"/>
      <c r="BE346" s="294"/>
      <c r="BF346" s="294"/>
      <c r="BG346" s="294"/>
      <c r="BH346" s="294"/>
      <c r="BI346" s="294"/>
      <c r="BJ346" s="294"/>
      <c r="BK346" s="294"/>
      <c r="BL346" s="294"/>
      <c r="BM346" s="294"/>
    </row>
    <row r="347" spans="1:65" x14ac:dyDescent="0.25">
      <c r="A347" s="294"/>
      <c r="B347" s="294"/>
      <c r="C347" s="294"/>
      <c r="D347" s="294"/>
      <c r="E347" s="294"/>
      <c r="F347" s="294"/>
      <c r="G347" s="294"/>
      <c r="H347" s="294"/>
      <c r="I347" s="294"/>
      <c r="J347" s="294"/>
      <c r="K347" s="294"/>
      <c r="L347" s="294"/>
      <c r="M347" s="294"/>
      <c r="N347" s="294"/>
      <c r="O347" s="294"/>
      <c r="P347" s="294"/>
      <c r="Q347" s="294"/>
      <c r="R347" s="294"/>
      <c r="S347" s="294"/>
      <c r="T347" s="294"/>
      <c r="U347" s="294"/>
      <c r="V347" s="294"/>
      <c r="W347" s="294"/>
      <c r="X347" s="294"/>
      <c r="Y347" s="294"/>
      <c r="Z347" s="294"/>
      <c r="AA347" s="294"/>
      <c r="AB347" s="294"/>
      <c r="AC347" s="294"/>
      <c r="AD347" s="294"/>
      <c r="AE347" s="294"/>
      <c r="AF347" s="294"/>
      <c r="AG347" s="294"/>
      <c r="AH347" s="294"/>
      <c r="AI347" s="294"/>
      <c r="AJ347" s="294"/>
      <c r="AK347" s="294"/>
      <c r="AL347" s="294"/>
      <c r="AM347" s="294"/>
      <c r="AN347" s="294"/>
      <c r="AO347" s="294"/>
      <c r="AP347" s="294"/>
      <c r="AQ347" s="294"/>
      <c r="AR347" s="294"/>
      <c r="AS347" s="294"/>
      <c r="AT347" s="294"/>
      <c r="AU347" s="294"/>
      <c r="AV347" s="294"/>
      <c r="AW347" s="294"/>
      <c r="AX347" s="294"/>
      <c r="AY347" s="294"/>
      <c r="AZ347" s="294"/>
      <c r="BA347" s="294"/>
      <c r="BB347" s="294"/>
      <c r="BC347" s="294"/>
      <c r="BD347" s="294"/>
      <c r="BE347" s="294"/>
      <c r="BF347" s="294"/>
      <c r="BG347" s="294"/>
      <c r="BH347" s="294"/>
      <c r="BI347" s="294"/>
      <c r="BJ347" s="294"/>
      <c r="BK347" s="294"/>
      <c r="BL347" s="294"/>
      <c r="BM347" s="294"/>
    </row>
    <row r="348" spans="1:65" x14ac:dyDescent="0.25">
      <c r="A348" s="294"/>
      <c r="B348" s="294"/>
      <c r="C348" s="294"/>
      <c r="D348" s="294"/>
      <c r="E348" s="294"/>
      <c r="F348" s="294"/>
      <c r="G348" s="294"/>
      <c r="H348" s="294"/>
      <c r="I348" s="294"/>
      <c r="J348" s="294"/>
      <c r="K348" s="294"/>
      <c r="L348" s="294"/>
      <c r="M348" s="294"/>
      <c r="N348" s="294"/>
      <c r="O348" s="294"/>
      <c r="P348" s="294"/>
      <c r="Q348" s="294"/>
      <c r="R348" s="294"/>
      <c r="S348" s="294"/>
      <c r="T348" s="294"/>
      <c r="U348" s="294"/>
      <c r="V348" s="294"/>
      <c r="W348" s="294"/>
      <c r="X348" s="294"/>
      <c r="Y348" s="294"/>
      <c r="Z348" s="294"/>
      <c r="AA348" s="294"/>
      <c r="AB348" s="294"/>
      <c r="AC348" s="294"/>
      <c r="AD348" s="294"/>
      <c r="AE348" s="294"/>
      <c r="AF348" s="294"/>
      <c r="AG348" s="294"/>
      <c r="AH348" s="294"/>
      <c r="AI348" s="294"/>
      <c r="AJ348" s="294"/>
      <c r="AK348" s="294"/>
      <c r="AL348" s="294"/>
      <c r="AM348" s="294"/>
      <c r="AN348" s="294"/>
      <c r="AO348" s="294"/>
      <c r="AP348" s="294"/>
      <c r="AQ348" s="294"/>
      <c r="AR348" s="294"/>
      <c r="AS348" s="294"/>
      <c r="AT348" s="294"/>
      <c r="AU348" s="294"/>
      <c r="AV348" s="294"/>
      <c r="AW348" s="294"/>
      <c r="AX348" s="294"/>
      <c r="AY348" s="294"/>
      <c r="AZ348" s="294"/>
      <c r="BA348" s="294"/>
      <c r="BB348" s="294"/>
      <c r="BC348" s="294"/>
      <c r="BD348" s="294"/>
      <c r="BE348" s="294"/>
      <c r="BF348" s="294"/>
      <c r="BG348" s="294"/>
      <c r="BH348" s="294"/>
      <c r="BI348" s="294"/>
      <c r="BJ348" s="294"/>
      <c r="BK348" s="294"/>
      <c r="BL348" s="294"/>
      <c r="BM348" s="294"/>
    </row>
    <row r="349" spans="1:65" x14ac:dyDescent="0.25">
      <c r="A349" s="294"/>
      <c r="B349" s="294"/>
      <c r="C349" s="294"/>
      <c r="D349" s="294"/>
      <c r="E349" s="294"/>
      <c r="F349" s="294"/>
      <c r="G349" s="294"/>
      <c r="H349" s="294"/>
      <c r="I349" s="294"/>
      <c r="J349" s="294"/>
      <c r="K349" s="294"/>
      <c r="L349" s="294"/>
      <c r="M349" s="294"/>
      <c r="N349" s="294"/>
      <c r="O349" s="294"/>
      <c r="P349" s="294"/>
      <c r="Q349" s="294"/>
      <c r="R349" s="294"/>
      <c r="S349" s="294"/>
      <c r="T349" s="294"/>
      <c r="U349" s="294"/>
      <c r="V349" s="294"/>
      <c r="W349" s="294"/>
      <c r="X349" s="294"/>
      <c r="Y349" s="294"/>
      <c r="Z349" s="294"/>
      <c r="AA349" s="294"/>
      <c r="AB349" s="294"/>
      <c r="AC349" s="294"/>
      <c r="AD349" s="294"/>
      <c r="AE349" s="294"/>
      <c r="AF349" s="294"/>
      <c r="AG349" s="294"/>
      <c r="AH349" s="294"/>
      <c r="AI349" s="294"/>
      <c r="AJ349" s="294"/>
      <c r="AK349" s="294"/>
      <c r="AL349" s="294"/>
      <c r="AM349" s="294"/>
      <c r="AN349" s="294"/>
      <c r="AO349" s="294"/>
      <c r="AP349" s="294"/>
      <c r="AQ349" s="294"/>
      <c r="AR349" s="294"/>
      <c r="AS349" s="294"/>
      <c r="AT349" s="294"/>
      <c r="AU349" s="294"/>
      <c r="AV349" s="294"/>
      <c r="AW349" s="294"/>
      <c r="AX349" s="294"/>
      <c r="AY349" s="294"/>
      <c r="AZ349" s="294"/>
      <c r="BA349" s="294"/>
      <c r="BB349" s="294"/>
      <c r="BC349" s="294"/>
      <c r="BD349" s="294"/>
      <c r="BE349" s="294"/>
      <c r="BF349" s="294"/>
      <c r="BG349" s="294"/>
      <c r="BH349" s="294"/>
      <c r="BI349" s="294"/>
      <c r="BJ349" s="294"/>
      <c r="BK349" s="294"/>
      <c r="BL349" s="294"/>
      <c r="BM349" s="294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6">
    <tabColor rgb="FF00B050"/>
    <pageSetUpPr fitToPage="1"/>
  </sheetPr>
  <dimension ref="A1:L36"/>
  <sheetViews>
    <sheetView showGridLines="0" workbookViewId="0"/>
  </sheetViews>
  <sheetFormatPr defaultRowHeight="15" x14ac:dyDescent="0.25"/>
  <cols>
    <col min="1" max="1" width="47" customWidth="1"/>
  </cols>
  <sheetData>
    <row r="1" spans="1:12" ht="25.5" x14ac:dyDescent="0.25">
      <c r="A1" s="155" t="s">
        <v>1078</v>
      </c>
      <c r="B1" s="185" t="s">
        <v>657</v>
      </c>
      <c r="C1" s="185" t="s">
        <v>1076</v>
      </c>
      <c r="D1" s="186" t="s">
        <v>975</v>
      </c>
      <c r="E1" s="186" t="s">
        <v>1077</v>
      </c>
      <c r="F1" s="69"/>
      <c r="G1" s="326"/>
      <c r="H1" s="69"/>
      <c r="I1" s="69"/>
      <c r="J1" s="69"/>
      <c r="K1" s="69"/>
      <c r="L1" s="69"/>
    </row>
    <row r="2" spans="1:12" x14ac:dyDescent="0.25">
      <c r="A2" s="162" t="s">
        <v>1082</v>
      </c>
      <c r="B2" s="162"/>
      <c r="C2" s="162"/>
      <c r="D2" s="187"/>
      <c r="E2" s="187"/>
      <c r="F2" s="69"/>
      <c r="G2" s="130"/>
      <c r="H2" s="69"/>
      <c r="I2" s="69"/>
      <c r="J2" s="69"/>
      <c r="K2" s="69"/>
      <c r="L2" s="69"/>
    </row>
    <row r="3" spans="1:12" x14ac:dyDescent="0.25">
      <c r="A3" s="69" t="s">
        <v>658</v>
      </c>
      <c r="B3" s="157">
        <v>11482.758</v>
      </c>
      <c r="C3" s="157">
        <v>1938.3969999999999</v>
      </c>
      <c r="D3" s="69"/>
      <c r="E3" s="188">
        <v>0.9</v>
      </c>
      <c r="F3" s="69"/>
      <c r="G3" s="327"/>
      <c r="H3" s="69"/>
      <c r="I3" s="69"/>
      <c r="J3" s="69"/>
      <c r="K3" s="69"/>
      <c r="L3" s="69"/>
    </row>
    <row r="4" spans="1:12" x14ac:dyDescent="0.25">
      <c r="A4" s="69" t="s">
        <v>1087</v>
      </c>
      <c r="B4" s="157">
        <v>1996.9079999999999</v>
      </c>
      <c r="C4" s="157">
        <v>600.14499999999998</v>
      </c>
      <c r="D4" s="69"/>
      <c r="E4" s="188">
        <v>1</v>
      </c>
      <c r="F4" s="69"/>
      <c r="G4" s="130"/>
      <c r="H4" s="69"/>
      <c r="I4" s="69"/>
      <c r="J4" s="69"/>
      <c r="K4" s="69"/>
      <c r="L4" s="69"/>
    </row>
    <row r="5" spans="1:12" x14ac:dyDescent="0.25">
      <c r="A5" s="69" t="s">
        <v>1080</v>
      </c>
      <c r="B5" s="157">
        <f>12.681+1.007</f>
        <v>13.687999999999999</v>
      </c>
      <c r="C5" s="157">
        <v>4.8000000000000007</v>
      </c>
      <c r="D5" s="69"/>
      <c r="E5" s="188">
        <v>1</v>
      </c>
      <c r="F5" s="69"/>
      <c r="G5" s="69"/>
      <c r="H5" s="69"/>
      <c r="I5" s="69"/>
      <c r="J5" s="69"/>
      <c r="K5" s="69"/>
      <c r="L5" s="69"/>
    </row>
    <row r="6" spans="1:12" x14ac:dyDescent="0.25">
      <c r="A6" s="167" t="s">
        <v>654</v>
      </c>
      <c r="B6" s="132">
        <f>B3+B4+B5</f>
        <v>13493.353999999999</v>
      </c>
      <c r="C6" s="132">
        <f>C3+C4+C5</f>
        <v>2543.3420000000001</v>
      </c>
      <c r="D6" s="189">
        <f>C6/B6</f>
        <v>0.18848849589212588</v>
      </c>
      <c r="E6" s="190"/>
      <c r="F6" s="69"/>
      <c r="G6" s="69"/>
      <c r="H6" s="69"/>
      <c r="I6" s="69"/>
      <c r="J6" s="69"/>
      <c r="K6" s="69"/>
      <c r="L6" s="69"/>
    </row>
    <row r="7" spans="1:12" x14ac:dyDescent="0.25">
      <c r="A7" s="162" t="s">
        <v>1081</v>
      </c>
      <c r="B7" s="69"/>
      <c r="C7" s="157"/>
      <c r="D7" s="69"/>
      <c r="E7" s="69"/>
      <c r="F7" s="69"/>
      <c r="G7" s="69"/>
      <c r="H7" s="69"/>
      <c r="I7" s="69"/>
      <c r="J7" s="69"/>
      <c r="K7" s="69"/>
      <c r="L7" s="69"/>
    </row>
    <row r="8" spans="1:12" x14ac:dyDescent="0.25">
      <c r="A8" s="69" t="s">
        <v>658</v>
      </c>
      <c r="B8" s="191">
        <v>13696</v>
      </c>
      <c r="C8" s="156" t="s">
        <v>1079</v>
      </c>
      <c r="D8" s="69"/>
      <c r="E8" s="188">
        <v>1</v>
      </c>
      <c r="F8" s="69"/>
      <c r="G8" s="69"/>
      <c r="H8" s="69"/>
      <c r="I8" s="69"/>
      <c r="J8" s="69"/>
      <c r="K8" s="69"/>
      <c r="L8" s="69"/>
    </row>
    <row r="9" spans="1:12" x14ac:dyDescent="0.25">
      <c r="A9" s="69" t="s">
        <v>659</v>
      </c>
      <c r="B9" s="191">
        <v>5400</v>
      </c>
      <c r="C9" s="156" t="s">
        <v>1079</v>
      </c>
      <c r="D9" s="69"/>
      <c r="E9" s="188">
        <v>1</v>
      </c>
      <c r="F9" s="69"/>
      <c r="G9" s="69"/>
      <c r="H9" s="69"/>
      <c r="I9" s="69"/>
      <c r="J9" s="69"/>
      <c r="K9" s="69"/>
      <c r="L9" s="69"/>
    </row>
    <row r="10" spans="1:12" x14ac:dyDescent="0.25">
      <c r="A10" s="135" t="s">
        <v>1080</v>
      </c>
      <c r="B10" s="77" t="s">
        <v>1079</v>
      </c>
      <c r="C10" s="158" t="s">
        <v>1079</v>
      </c>
      <c r="D10" s="135"/>
      <c r="E10" s="135"/>
      <c r="F10" s="69"/>
      <c r="G10" s="69"/>
      <c r="H10" s="69"/>
      <c r="I10" s="69"/>
      <c r="J10" s="69"/>
      <c r="K10" s="69"/>
      <c r="L10" s="69"/>
    </row>
    <row r="11" spans="1:12" x14ac:dyDescent="0.25">
      <c r="A11" s="69"/>
      <c r="B11" s="157"/>
      <c r="C11" s="157"/>
      <c r="D11" s="69"/>
      <c r="E11" s="69"/>
      <c r="F11" s="69"/>
      <c r="G11" s="69"/>
      <c r="H11" s="69"/>
      <c r="I11" s="69"/>
      <c r="J11" s="69"/>
      <c r="K11" s="69"/>
      <c r="L11" s="69"/>
    </row>
    <row r="12" spans="1:12" x14ac:dyDescent="0.25">
      <c r="A12" s="192" t="s">
        <v>1083</v>
      </c>
      <c r="B12" s="193">
        <v>2007</v>
      </c>
      <c r="C12" s="193">
        <v>2008</v>
      </c>
      <c r="D12" s="193">
        <v>2009</v>
      </c>
      <c r="E12" s="193">
        <v>2010</v>
      </c>
      <c r="F12" s="193">
        <v>2011</v>
      </c>
      <c r="G12" s="193">
        <v>2012</v>
      </c>
      <c r="H12" s="193">
        <v>2013</v>
      </c>
      <c r="I12" s="193">
        <v>2014</v>
      </c>
      <c r="J12" s="193">
        <v>2015</v>
      </c>
      <c r="K12" s="193">
        <v>2016</v>
      </c>
      <c r="L12" s="193">
        <v>2017</v>
      </c>
    </row>
    <row r="13" spans="1:12" x14ac:dyDescent="0.25">
      <c r="A13" s="162" t="s">
        <v>654</v>
      </c>
      <c r="B13" s="194">
        <f t="shared" ref="B13:L13" si="0">B14+B15+B16+B18+B17</f>
        <v>802.85467702316942</v>
      </c>
      <c r="C13" s="194">
        <f t="shared" si="0"/>
        <v>874.69335625041492</v>
      </c>
      <c r="D13" s="194">
        <f t="shared" si="0"/>
        <v>1469.473</v>
      </c>
      <c r="E13" s="194">
        <f t="shared" si="0"/>
        <v>1892.6570000000002</v>
      </c>
      <c r="F13" s="194">
        <f t="shared" si="0"/>
        <v>2091.38</v>
      </c>
      <c r="G13" s="194">
        <f t="shared" si="0"/>
        <v>2015.3490000000002</v>
      </c>
      <c r="H13" s="194">
        <f t="shared" si="0"/>
        <v>2038.644</v>
      </c>
      <c r="I13" s="194">
        <f t="shared" si="0"/>
        <v>2609.9375775612152</v>
      </c>
      <c r="J13" s="194">
        <f t="shared" si="0"/>
        <v>2639.2766836717756</v>
      </c>
      <c r="K13" s="194">
        <f t="shared" si="0"/>
        <v>1695.276007591438</v>
      </c>
      <c r="L13" s="194">
        <f t="shared" si="0"/>
        <v>2293.4506962063492</v>
      </c>
    </row>
    <row r="14" spans="1:12" x14ac:dyDescent="0.25">
      <c r="A14" s="69" t="s">
        <v>972</v>
      </c>
      <c r="B14" s="157">
        <v>-44.539600345216741</v>
      </c>
      <c r="C14" s="157">
        <v>11.375356250414939</v>
      </c>
      <c r="D14" s="157">
        <v>358.97299999999996</v>
      </c>
      <c r="E14" s="157">
        <v>229.33699999999999</v>
      </c>
      <c r="F14" s="157">
        <v>60.036000000000058</v>
      </c>
      <c r="G14" s="157">
        <v>-111.99599999999987</v>
      </c>
      <c r="H14" s="157">
        <v>-147.88800000000015</v>
      </c>
      <c r="I14" s="157">
        <v>0</v>
      </c>
      <c r="J14" s="157">
        <v>0</v>
      </c>
      <c r="K14" s="157">
        <v>0</v>
      </c>
      <c r="L14" s="157">
        <v>0</v>
      </c>
    </row>
    <row r="15" spans="1:12" x14ac:dyDescent="0.25">
      <c r="A15" s="69" t="s">
        <v>973</v>
      </c>
      <c r="B15" s="157">
        <v>471.7055035517493</v>
      </c>
      <c r="C15" s="157">
        <v>484.29309999999998</v>
      </c>
      <c r="D15" s="157">
        <v>90.807000000000002</v>
      </c>
      <c r="E15" s="157">
        <v>65.980999999999995</v>
      </c>
      <c r="F15" s="157">
        <v>21.687999999999999</v>
      </c>
      <c r="G15" s="157">
        <v>40.61</v>
      </c>
      <c r="H15" s="157">
        <f>2186.532-H16-H18</f>
        <v>33.924362720000545</v>
      </c>
      <c r="I15" s="157">
        <v>0</v>
      </c>
      <c r="J15" s="157">
        <v>0</v>
      </c>
      <c r="K15" s="157">
        <v>0</v>
      </c>
      <c r="L15" s="157">
        <v>0</v>
      </c>
    </row>
    <row r="16" spans="1:12" x14ac:dyDescent="0.25">
      <c r="A16" s="69" t="s">
        <v>974</v>
      </c>
      <c r="B16" s="157">
        <v>0</v>
      </c>
      <c r="C16" s="157">
        <v>28.178400000000003</v>
      </c>
      <c r="D16" s="157">
        <v>491.89699999999999</v>
      </c>
      <c r="E16" s="157">
        <v>991.303</v>
      </c>
      <c r="F16" s="157">
        <v>1398.1120000000001</v>
      </c>
      <c r="G16" s="157">
        <v>1501.078</v>
      </c>
      <c r="H16" s="160">
        <v>1642.7820464299996</v>
      </c>
      <c r="I16" s="157">
        <v>1945.9689788954547</v>
      </c>
      <c r="J16" s="157">
        <v>1902.7252238088893</v>
      </c>
      <c r="K16" s="157">
        <v>281.53486384482915</v>
      </c>
      <c r="L16" s="157">
        <v>150.90268742128001</v>
      </c>
    </row>
    <row r="17" spans="1:12" x14ac:dyDescent="0.25">
      <c r="A17" s="130" t="s">
        <v>1085</v>
      </c>
      <c r="B17" s="157">
        <v>0</v>
      </c>
      <c r="C17" s="157">
        <v>0</v>
      </c>
      <c r="D17" s="157">
        <v>0</v>
      </c>
      <c r="E17" s="157">
        <v>0</v>
      </c>
      <c r="F17" s="157">
        <v>0</v>
      </c>
      <c r="G17" s="157">
        <v>0</v>
      </c>
      <c r="H17" s="157">
        <v>0</v>
      </c>
      <c r="I17" s="157">
        <f>B16/SUM($B$16:$J$16)*$B$8</f>
        <v>0</v>
      </c>
      <c r="J17" s="157">
        <f>C16/SUM($B$16:$J$16)*$B$8</f>
        <v>38.974916805059948</v>
      </c>
      <c r="K17" s="157">
        <f>D16/SUM($B$16:$J$16)*$B$8</f>
        <v>680.36668695378626</v>
      </c>
      <c r="L17" s="157">
        <f>E16/SUM($B$16:$J$16)*$B$8</f>
        <v>1371.1194373564979</v>
      </c>
    </row>
    <row r="18" spans="1:12" x14ac:dyDescent="0.25">
      <c r="A18" s="135" t="s">
        <v>1086</v>
      </c>
      <c r="B18" s="195">
        <f>11318/30.126</f>
        <v>375.6887738166368</v>
      </c>
      <c r="C18" s="195">
        <v>350.84649999999999</v>
      </c>
      <c r="D18" s="195">
        <v>527.79600000000005</v>
      </c>
      <c r="E18" s="196">
        <v>606.03599999999994</v>
      </c>
      <c r="F18" s="196">
        <v>611.54399999999998</v>
      </c>
      <c r="G18" s="196">
        <v>585.65700000000004</v>
      </c>
      <c r="H18" s="161">
        <v>509.82559085000003</v>
      </c>
      <c r="I18" s="161">
        <f>J18/(1+DD_projekcie!L57/100)</f>
        <v>663.96859866576028</v>
      </c>
      <c r="J18" s="161">
        <f>K18/(1+DD_projekcie!K57/100)</f>
        <v>697.5765430578266</v>
      </c>
      <c r="K18" s="161">
        <f>L18/(1+DD_projekcie!J57/100)</f>
        <v>733.37445679282268</v>
      </c>
      <c r="L18" s="161">
        <f>$B$9/7</f>
        <v>771.42857142857144</v>
      </c>
    </row>
    <row r="19" spans="1:12" x14ac:dyDescent="0.25">
      <c r="A19" s="69"/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</row>
    <row r="20" spans="1:12" x14ac:dyDescent="0.25">
      <c r="A20" s="192" t="s">
        <v>1084</v>
      </c>
      <c r="B20" s="193">
        <v>2007</v>
      </c>
      <c r="C20" s="193">
        <v>2008</v>
      </c>
      <c r="D20" s="193">
        <v>2009</v>
      </c>
      <c r="E20" s="193">
        <v>2010</v>
      </c>
      <c r="F20" s="193">
        <v>2011</v>
      </c>
      <c r="G20" s="193">
        <v>2012</v>
      </c>
      <c r="H20" s="193">
        <v>2013</v>
      </c>
      <c r="I20" s="193">
        <v>2014</v>
      </c>
      <c r="J20" s="193">
        <v>2015</v>
      </c>
      <c r="K20" s="193">
        <v>2016</v>
      </c>
      <c r="L20" s="193">
        <v>2017</v>
      </c>
    </row>
    <row r="21" spans="1:12" x14ac:dyDescent="0.25">
      <c r="A21" s="167" t="s">
        <v>976</v>
      </c>
      <c r="B21" s="197">
        <f>8528.3/30.126</f>
        <v>283.08769833366523</v>
      </c>
      <c r="C21" s="197">
        <v>398.964</v>
      </c>
      <c r="D21" s="197">
        <v>432.65100000000001</v>
      </c>
      <c r="E21" s="197">
        <v>409.95100000000002</v>
      </c>
      <c r="F21" s="197">
        <v>454.15499999999997</v>
      </c>
      <c r="G21" s="197">
        <v>407.44400000000002</v>
      </c>
      <c r="H21" s="197">
        <v>379.642</v>
      </c>
      <c r="I21" s="197">
        <f>I13*$D$6</f>
        <v>491.9432083668521</v>
      </c>
      <c r="J21" s="197">
        <f>J13*$D$6</f>
        <v>497.47329234845108</v>
      </c>
      <c r="K21" s="197">
        <f>K13*$D$6</f>
        <v>319.5400247929183</v>
      </c>
      <c r="L21" s="197">
        <f>L13*$D$6</f>
        <v>432.28907213068368</v>
      </c>
    </row>
    <row r="22" spans="1:12" x14ac:dyDescent="0.25">
      <c r="B22" s="5"/>
      <c r="C22" s="5"/>
      <c r="D22" s="5"/>
      <c r="E22" s="5"/>
      <c r="F22" s="5"/>
      <c r="G22" s="5"/>
      <c r="H22" s="5"/>
      <c r="I22" s="5"/>
      <c r="J22" s="5"/>
      <c r="K22" s="5"/>
      <c r="L22" s="18"/>
    </row>
    <row r="23" spans="1:12" x14ac:dyDescent="0.25">
      <c r="B23" s="5"/>
      <c r="C23" s="5"/>
      <c r="D23" s="5"/>
      <c r="E23" s="5"/>
      <c r="F23" s="5"/>
      <c r="G23" s="5"/>
      <c r="H23" s="5"/>
      <c r="I23" s="5"/>
      <c r="J23" s="5"/>
      <c r="K23" s="5"/>
      <c r="L23" s="55"/>
    </row>
    <row r="24" spans="1:12" x14ac:dyDescent="0.25">
      <c r="B24" s="5"/>
      <c r="C24" s="5"/>
      <c r="D24" s="5"/>
      <c r="E24" s="5"/>
      <c r="F24" s="5"/>
      <c r="G24" s="5"/>
      <c r="H24" s="5"/>
      <c r="I24" s="5"/>
      <c r="J24" s="5"/>
      <c r="K24" s="5"/>
      <c r="L24" s="55"/>
    </row>
    <row r="25" spans="1:12" x14ac:dyDescent="0.25">
      <c r="B25" s="5"/>
      <c r="C25" s="5"/>
      <c r="D25" s="5"/>
      <c r="E25" s="55"/>
      <c r="F25" s="56"/>
      <c r="G25" s="5"/>
      <c r="H25" s="5"/>
      <c r="I25" s="5"/>
      <c r="J25" s="5"/>
      <c r="K25" s="5"/>
      <c r="L25" s="57"/>
    </row>
    <row r="26" spans="1:12" x14ac:dyDescent="0.25"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</row>
    <row r="27" spans="1:12" x14ac:dyDescent="0.25"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</row>
    <row r="28" spans="1:12" x14ac:dyDescent="0.25"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</row>
    <row r="29" spans="1:12" x14ac:dyDescent="0.25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</row>
    <row r="30" spans="1:12" x14ac:dyDescent="0.25"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</row>
    <row r="31" spans="1:12" x14ac:dyDescent="0.25"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</row>
    <row r="32" spans="1:12" x14ac:dyDescent="0.25"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</row>
    <row r="33" spans="2:12" x14ac:dyDescent="0.25"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</row>
    <row r="34" spans="2:12" x14ac:dyDescent="0.25"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</row>
    <row r="35" spans="2:12" x14ac:dyDescent="0.25"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</row>
    <row r="36" spans="2:12" x14ac:dyDescent="0.25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</row>
  </sheetData>
  <pageMargins left="0.7" right="0.7" top="0.75" bottom="0.75" header="0.3" footer="0.3"/>
  <pageSetup scale="59" orientation="landscape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8">
    <tabColor rgb="FFFFC000"/>
    <pageSetUpPr fitToPage="1"/>
  </sheetPr>
  <dimension ref="A1:D501"/>
  <sheetViews>
    <sheetView showGridLines="0" workbookViewId="0"/>
  </sheetViews>
  <sheetFormatPr defaultRowHeight="15" x14ac:dyDescent="0.25"/>
  <cols>
    <col min="1" max="1" width="9.140625" style="59"/>
    <col min="2" max="2" width="53.28515625" style="60" customWidth="1"/>
    <col min="3" max="3" width="83.140625" style="15" customWidth="1"/>
    <col min="4" max="4" width="9.140625" style="17"/>
    <col min="5" max="16384" width="9.140625" style="14"/>
  </cols>
  <sheetData>
    <row r="1" spans="1:4" x14ac:dyDescent="0.25">
      <c r="A1" s="387" t="s">
        <v>572</v>
      </c>
      <c r="B1" s="388" t="s">
        <v>573</v>
      </c>
      <c r="C1" s="401" t="s">
        <v>575</v>
      </c>
      <c r="D1" s="389" t="s">
        <v>1205</v>
      </c>
    </row>
    <row r="2" spans="1:4" x14ac:dyDescent="0.25">
      <c r="A2" s="390">
        <v>111001</v>
      </c>
      <c r="B2" s="198" t="s">
        <v>223</v>
      </c>
      <c r="C2" s="402" t="s">
        <v>661</v>
      </c>
      <c r="D2" s="391" t="s">
        <v>662</v>
      </c>
    </row>
    <row r="3" spans="1:4" x14ac:dyDescent="0.25">
      <c r="A3" s="390">
        <v>111002</v>
      </c>
      <c r="B3" s="198" t="s">
        <v>224</v>
      </c>
      <c r="C3" s="402" t="s">
        <v>661</v>
      </c>
      <c r="D3" s="391" t="s">
        <v>662</v>
      </c>
    </row>
    <row r="4" spans="1:4" x14ac:dyDescent="0.25">
      <c r="A4" s="390">
        <v>111003</v>
      </c>
      <c r="B4" s="198" t="s">
        <v>225</v>
      </c>
      <c r="C4" s="403" t="s">
        <v>530</v>
      </c>
      <c r="D4" s="391">
        <v>2</v>
      </c>
    </row>
    <row r="5" spans="1:4" x14ac:dyDescent="0.25">
      <c r="A5" s="390">
        <v>111004</v>
      </c>
      <c r="B5" s="198" t="s">
        <v>226</v>
      </c>
      <c r="C5" s="402" t="s">
        <v>661</v>
      </c>
      <c r="D5" s="391" t="s">
        <v>662</v>
      </c>
    </row>
    <row r="6" spans="1:4" x14ac:dyDescent="0.25">
      <c r="A6" s="390">
        <v>112000</v>
      </c>
      <c r="B6" s="198" t="s">
        <v>766</v>
      </c>
      <c r="C6" s="402" t="s">
        <v>530</v>
      </c>
      <c r="D6" s="391">
        <v>2</v>
      </c>
    </row>
    <row r="7" spans="1:4" x14ac:dyDescent="0.25">
      <c r="A7" s="390">
        <v>112001</v>
      </c>
      <c r="B7" s="198" t="s">
        <v>228</v>
      </c>
      <c r="C7" s="402" t="s">
        <v>661</v>
      </c>
      <c r="D7" s="391" t="s">
        <v>662</v>
      </c>
    </row>
    <row r="8" spans="1:4" x14ac:dyDescent="0.25">
      <c r="A8" s="390">
        <v>112003</v>
      </c>
      <c r="B8" s="198" t="s">
        <v>227</v>
      </c>
      <c r="C8" s="402" t="s">
        <v>661</v>
      </c>
      <c r="D8" s="391" t="s">
        <v>662</v>
      </c>
    </row>
    <row r="9" spans="1:4" x14ac:dyDescent="0.25">
      <c r="A9" s="390">
        <v>113000</v>
      </c>
      <c r="B9" s="198" t="s">
        <v>526</v>
      </c>
      <c r="C9" s="402" t="s">
        <v>661</v>
      </c>
      <c r="D9" s="391" t="s">
        <v>662</v>
      </c>
    </row>
    <row r="10" spans="1:4" x14ac:dyDescent="0.25">
      <c r="A10" s="390">
        <v>121001</v>
      </c>
      <c r="B10" s="198" t="s">
        <v>229</v>
      </c>
      <c r="C10" s="402" t="s">
        <v>527</v>
      </c>
      <c r="D10" s="391">
        <v>22</v>
      </c>
    </row>
    <row r="11" spans="1:4" x14ac:dyDescent="0.25">
      <c r="A11" s="390">
        <v>121002</v>
      </c>
      <c r="B11" s="198" t="s">
        <v>230</v>
      </c>
      <c r="C11" s="402" t="s">
        <v>527</v>
      </c>
      <c r="D11" s="391">
        <v>22</v>
      </c>
    </row>
    <row r="12" spans="1:4" x14ac:dyDescent="0.25">
      <c r="A12" s="390">
        <v>121003</v>
      </c>
      <c r="B12" s="198" t="s">
        <v>231</v>
      </c>
      <c r="C12" s="402" t="s">
        <v>528</v>
      </c>
      <c r="D12" s="391">
        <v>32</v>
      </c>
    </row>
    <row r="13" spans="1:4" x14ac:dyDescent="0.25">
      <c r="A13" s="390">
        <v>122000</v>
      </c>
      <c r="B13" s="166" t="s">
        <v>232</v>
      </c>
      <c r="C13" s="403" t="s">
        <v>529</v>
      </c>
      <c r="D13" s="391">
        <v>21</v>
      </c>
    </row>
    <row r="14" spans="1:4" x14ac:dyDescent="0.25">
      <c r="A14" s="390">
        <v>123001</v>
      </c>
      <c r="B14" s="198" t="s">
        <v>233</v>
      </c>
      <c r="C14" s="403" t="s">
        <v>529</v>
      </c>
      <c r="D14" s="391">
        <v>21</v>
      </c>
    </row>
    <row r="15" spans="1:4" x14ac:dyDescent="0.25">
      <c r="A15" s="390">
        <v>129000</v>
      </c>
      <c r="B15" s="198" t="s">
        <v>234</v>
      </c>
      <c r="C15" s="403" t="s">
        <v>530</v>
      </c>
      <c r="D15" s="391">
        <v>2</v>
      </c>
    </row>
    <row r="16" spans="1:4" x14ac:dyDescent="0.25">
      <c r="A16" s="390">
        <v>131000</v>
      </c>
      <c r="B16" s="198" t="s">
        <v>235</v>
      </c>
      <c r="C16" s="402" t="s">
        <v>661</v>
      </c>
      <c r="D16" s="391" t="s">
        <v>662</v>
      </c>
    </row>
    <row r="17" spans="1:4" x14ac:dyDescent="0.25">
      <c r="A17" s="390">
        <v>132001</v>
      </c>
      <c r="B17" s="198" t="s">
        <v>236</v>
      </c>
      <c r="C17" s="402" t="s">
        <v>661</v>
      </c>
      <c r="D17" s="391" t="s">
        <v>662</v>
      </c>
    </row>
    <row r="18" spans="1:4" x14ac:dyDescent="0.25">
      <c r="A18" s="390">
        <v>132003</v>
      </c>
      <c r="B18" s="198" t="s">
        <v>237</v>
      </c>
      <c r="C18" s="402" t="s">
        <v>661</v>
      </c>
      <c r="D18" s="391" t="s">
        <v>662</v>
      </c>
    </row>
    <row r="19" spans="1:4" x14ac:dyDescent="0.25">
      <c r="A19" s="390">
        <v>132005</v>
      </c>
      <c r="B19" s="198" t="s">
        <v>238</v>
      </c>
      <c r="C19" s="402" t="s">
        <v>661</v>
      </c>
      <c r="D19" s="391" t="s">
        <v>662</v>
      </c>
    </row>
    <row r="20" spans="1:4" x14ac:dyDescent="0.25">
      <c r="A20" s="390">
        <v>132007</v>
      </c>
      <c r="B20" s="198" t="s">
        <v>239</v>
      </c>
      <c r="C20" s="402" t="s">
        <v>661</v>
      </c>
      <c r="D20" s="391" t="s">
        <v>662</v>
      </c>
    </row>
    <row r="21" spans="1:4" x14ac:dyDescent="0.25">
      <c r="A21" s="390">
        <v>132009</v>
      </c>
      <c r="B21" s="198" t="s">
        <v>240</v>
      </c>
      <c r="C21" s="402" t="s">
        <v>661</v>
      </c>
      <c r="D21" s="391" t="s">
        <v>662</v>
      </c>
    </row>
    <row r="22" spans="1:4" x14ac:dyDescent="0.25">
      <c r="A22" s="390">
        <v>132011</v>
      </c>
      <c r="B22" s="198" t="s">
        <v>241</v>
      </c>
      <c r="C22" s="402" t="s">
        <v>661</v>
      </c>
      <c r="D22" s="391" t="s">
        <v>662</v>
      </c>
    </row>
    <row r="23" spans="1:4" x14ac:dyDescent="0.25">
      <c r="A23" s="390">
        <v>132012</v>
      </c>
      <c r="B23" s="198" t="s">
        <v>242</v>
      </c>
      <c r="C23" s="402" t="s">
        <v>661</v>
      </c>
      <c r="D23" s="391" t="s">
        <v>662</v>
      </c>
    </row>
    <row r="24" spans="1:4" x14ac:dyDescent="0.25">
      <c r="A24" s="390">
        <v>132013</v>
      </c>
      <c r="B24" s="198" t="s">
        <v>243</v>
      </c>
      <c r="C24" s="402" t="s">
        <v>661</v>
      </c>
      <c r="D24" s="391" t="s">
        <v>662</v>
      </c>
    </row>
    <row r="25" spans="1:4" x14ac:dyDescent="0.25">
      <c r="A25" s="390">
        <v>133001</v>
      </c>
      <c r="B25" s="198" t="s">
        <v>244</v>
      </c>
      <c r="C25" s="402" t="s">
        <v>531</v>
      </c>
      <c r="D25" s="391">
        <v>33</v>
      </c>
    </row>
    <row r="26" spans="1:4" x14ac:dyDescent="0.25">
      <c r="A26" s="390">
        <v>133003</v>
      </c>
      <c r="B26" s="198" t="s">
        <v>245</v>
      </c>
      <c r="C26" s="402" t="s">
        <v>527</v>
      </c>
      <c r="D26" s="391">
        <v>22</v>
      </c>
    </row>
    <row r="27" spans="1:4" x14ac:dyDescent="0.25">
      <c r="A27" s="390">
        <v>133004</v>
      </c>
      <c r="B27" s="198" t="s">
        <v>246</v>
      </c>
      <c r="C27" s="402" t="s">
        <v>527</v>
      </c>
      <c r="D27" s="391">
        <v>22</v>
      </c>
    </row>
    <row r="28" spans="1:4" x14ac:dyDescent="0.25">
      <c r="A28" s="390">
        <v>133005</v>
      </c>
      <c r="B28" s="198" t="s">
        <v>247</v>
      </c>
      <c r="C28" s="402" t="s">
        <v>531</v>
      </c>
      <c r="D28" s="391">
        <v>33</v>
      </c>
    </row>
    <row r="29" spans="1:4" x14ac:dyDescent="0.25">
      <c r="A29" s="390">
        <v>133006</v>
      </c>
      <c r="B29" s="198" t="s">
        <v>248</v>
      </c>
      <c r="C29" s="402" t="s">
        <v>531</v>
      </c>
      <c r="D29" s="391">
        <v>33</v>
      </c>
    </row>
    <row r="30" spans="1:4" x14ac:dyDescent="0.25">
      <c r="A30" s="390">
        <v>133012</v>
      </c>
      <c r="B30" s="198" t="s">
        <v>249</v>
      </c>
      <c r="C30" s="402" t="s">
        <v>527</v>
      </c>
      <c r="D30" s="391">
        <v>22</v>
      </c>
    </row>
    <row r="31" spans="1:4" x14ac:dyDescent="0.25">
      <c r="A31" s="390">
        <v>133013</v>
      </c>
      <c r="B31" s="198" t="s">
        <v>250</v>
      </c>
      <c r="C31" s="402" t="s">
        <v>532</v>
      </c>
      <c r="D31" s="391">
        <v>23</v>
      </c>
    </row>
    <row r="32" spans="1:4" x14ac:dyDescent="0.25">
      <c r="A32" s="390">
        <v>133014</v>
      </c>
      <c r="B32" s="198" t="s">
        <v>251</v>
      </c>
      <c r="C32" s="402" t="s">
        <v>527</v>
      </c>
      <c r="D32" s="391">
        <v>22</v>
      </c>
    </row>
    <row r="33" spans="1:4" x14ac:dyDescent="0.25">
      <c r="A33" s="390">
        <v>134001</v>
      </c>
      <c r="B33" s="198" t="s">
        <v>252</v>
      </c>
      <c r="C33" s="402" t="s">
        <v>527</v>
      </c>
      <c r="D33" s="391">
        <v>22</v>
      </c>
    </row>
    <row r="34" spans="1:4" x14ac:dyDescent="0.25">
      <c r="A34" s="390">
        <v>134002</v>
      </c>
      <c r="B34" s="198" t="s">
        <v>253</v>
      </c>
      <c r="C34" s="402" t="s">
        <v>533</v>
      </c>
      <c r="D34" s="391">
        <v>31</v>
      </c>
    </row>
    <row r="35" spans="1:4" x14ac:dyDescent="0.25">
      <c r="A35" s="390">
        <v>134004</v>
      </c>
      <c r="B35" s="198" t="s">
        <v>254</v>
      </c>
      <c r="C35" s="402" t="s">
        <v>527</v>
      </c>
      <c r="D35" s="391">
        <v>22</v>
      </c>
    </row>
    <row r="36" spans="1:4" x14ac:dyDescent="0.25">
      <c r="A36" s="390">
        <v>139001</v>
      </c>
      <c r="B36" s="198" t="s">
        <v>152</v>
      </c>
      <c r="C36" s="402" t="s">
        <v>661</v>
      </c>
      <c r="D36" s="391" t="s">
        <v>662</v>
      </c>
    </row>
    <row r="37" spans="1:4" x14ac:dyDescent="0.25">
      <c r="A37" s="390">
        <v>139002</v>
      </c>
      <c r="B37" s="198" t="s">
        <v>255</v>
      </c>
      <c r="C37" s="403" t="s">
        <v>529</v>
      </c>
      <c r="D37" s="391">
        <v>21</v>
      </c>
    </row>
    <row r="38" spans="1:4" x14ac:dyDescent="0.25">
      <c r="A38" s="390">
        <v>141000</v>
      </c>
      <c r="B38" s="166" t="s">
        <v>256</v>
      </c>
      <c r="C38" s="403" t="s">
        <v>529</v>
      </c>
      <c r="D38" s="391">
        <v>21</v>
      </c>
    </row>
    <row r="39" spans="1:4" x14ac:dyDescent="0.25">
      <c r="A39" s="390">
        <v>142000</v>
      </c>
      <c r="B39" s="198" t="s">
        <v>257</v>
      </c>
      <c r="C39" s="403" t="s">
        <v>529</v>
      </c>
      <c r="D39" s="391">
        <v>21</v>
      </c>
    </row>
    <row r="40" spans="1:4" x14ac:dyDescent="0.25">
      <c r="A40" s="390">
        <v>143000</v>
      </c>
      <c r="B40" s="198" t="s">
        <v>258</v>
      </c>
      <c r="C40" s="402" t="s">
        <v>661</v>
      </c>
      <c r="D40" s="391" t="s">
        <v>662</v>
      </c>
    </row>
    <row r="41" spans="1:4" x14ac:dyDescent="0.25">
      <c r="A41" s="390">
        <v>149000</v>
      </c>
      <c r="B41" s="198" t="s">
        <v>259</v>
      </c>
      <c r="C41" s="403" t="s">
        <v>535</v>
      </c>
      <c r="D41" s="391">
        <v>22</v>
      </c>
    </row>
    <row r="42" spans="1:4" x14ac:dyDescent="0.25">
      <c r="A42" s="392">
        <v>151001</v>
      </c>
      <c r="B42" s="198" t="s">
        <v>261</v>
      </c>
      <c r="C42" s="402" t="s">
        <v>661</v>
      </c>
      <c r="D42" s="391" t="s">
        <v>662</v>
      </c>
    </row>
    <row r="43" spans="1:4" x14ac:dyDescent="0.25">
      <c r="A43" s="392">
        <v>151002</v>
      </c>
      <c r="B43" s="198" t="s">
        <v>987</v>
      </c>
      <c r="C43" s="402" t="s">
        <v>661</v>
      </c>
      <c r="D43" s="391" t="s">
        <v>662</v>
      </c>
    </row>
    <row r="44" spans="1:4" x14ac:dyDescent="0.25">
      <c r="A44" s="392">
        <v>151004</v>
      </c>
      <c r="B44" s="198"/>
      <c r="C44" s="403" t="s">
        <v>530</v>
      </c>
      <c r="D44" s="391">
        <v>2</v>
      </c>
    </row>
    <row r="45" spans="1:4" x14ac:dyDescent="0.25">
      <c r="A45" s="392">
        <v>151007</v>
      </c>
      <c r="B45" s="198" t="s">
        <v>262</v>
      </c>
      <c r="C45" s="402" t="s">
        <v>661</v>
      </c>
      <c r="D45" s="391" t="s">
        <v>662</v>
      </c>
    </row>
    <row r="46" spans="1:4" x14ac:dyDescent="0.25">
      <c r="A46" s="392">
        <v>151008</v>
      </c>
      <c r="B46" s="198"/>
      <c r="C46" s="403" t="s">
        <v>530</v>
      </c>
      <c r="D46" s="391">
        <v>2</v>
      </c>
    </row>
    <row r="47" spans="1:4" x14ac:dyDescent="0.25">
      <c r="A47" s="392">
        <v>152001</v>
      </c>
      <c r="B47" s="198"/>
      <c r="C47" s="403" t="s">
        <v>530</v>
      </c>
      <c r="D47" s="391">
        <v>2</v>
      </c>
    </row>
    <row r="48" spans="1:4" x14ac:dyDescent="0.25">
      <c r="A48" s="392">
        <v>152002</v>
      </c>
      <c r="B48" s="198"/>
      <c r="C48" s="403" t="s">
        <v>530</v>
      </c>
      <c r="D48" s="391">
        <v>2</v>
      </c>
    </row>
    <row r="49" spans="1:4" x14ac:dyDescent="0.25">
      <c r="A49" s="392">
        <v>152004</v>
      </c>
      <c r="B49" s="198"/>
      <c r="C49" s="403" t="s">
        <v>530</v>
      </c>
      <c r="D49" s="391">
        <v>2</v>
      </c>
    </row>
    <row r="50" spans="1:4" ht="25.5" x14ac:dyDescent="0.25">
      <c r="A50" s="392">
        <v>152005</v>
      </c>
      <c r="B50" s="198" t="s">
        <v>523</v>
      </c>
      <c r="C50" s="403" t="s">
        <v>561</v>
      </c>
      <c r="D50" s="391">
        <v>7</v>
      </c>
    </row>
    <row r="51" spans="1:4" ht="25.5" x14ac:dyDescent="0.25">
      <c r="A51" s="390">
        <v>152006</v>
      </c>
      <c r="B51" s="198" t="s">
        <v>265</v>
      </c>
      <c r="C51" s="402" t="s">
        <v>562</v>
      </c>
      <c r="D51" s="391">
        <v>6</v>
      </c>
    </row>
    <row r="52" spans="1:4" x14ac:dyDescent="0.25">
      <c r="A52" s="392">
        <v>152008</v>
      </c>
      <c r="B52" s="198"/>
      <c r="C52" s="403" t="s">
        <v>530</v>
      </c>
      <c r="D52" s="391">
        <v>2</v>
      </c>
    </row>
    <row r="53" spans="1:4" x14ac:dyDescent="0.25">
      <c r="A53" s="392">
        <v>152009</v>
      </c>
      <c r="B53" s="198"/>
      <c r="C53" s="403" t="s">
        <v>530</v>
      </c>
      <c r="D53" s="391">
        <v>2</v>
      </c>
    </row>
    <row r="54" spans="1:4" x14ac:dyDescent="0.25">
      <c r="A54" s="392">
        <v>153001</v>
      </c>
      <c r="B54" s="198"/>
      <c r="C54" s="403" t="s">
        <v>530</v>
      </c>
      <c r="D54" s="391">
        <v>2</v>
      </c>
    </row>
    <row r="55" spans="1:4" x14ac:dyDescent="0.25">
      <c r="A55" s="392">
        <v>153002</v>
      </c>
      <c r="B55" s="198"/>
      <c r="C55" s="403" t="s">
        <v>530</v>
      </c>
      <c r="D55" s="391">
        <v>2</v>
      </c>
    </row>
    <row r="56" spans="1:4" x14ac:dyDescent="0.25">
      <c r="A56" s="392">
        <v>154000</v>
      </c>
      <c r="B56" s="198" t="s">
        <v>629</v>
      </c>
      <c r="C56" s="403" t="s">
        <v>530</v>
      </c>
      <c r="D56" s="391">
        <v>2</v>
      </c>
    </row>
    <row r="57" spans="1:4" x14ac:dyDescent="0.25">
      <c r="A57" s="392">
        <v>154001</v>
      </c>
      <c r="B57" s="198" t="s">
        <v>263</v>
      </c>
      <c r="C57" s="402" t="s">
        <v>661</v>
      </c>
      <c r="D57" s="391" t="s">
        <v>662</v>
      </c>
    </row>
    <row r="58" spans="1:4" x14ac:dyDescent="0.25">
      <c r="A58" s="392">
        <v>154002</v>
      </c>
      <c r="B58" s="198"/>
      <c r="C58" s="403" t="s">
        <v>530</v>
      </c>
      <c r="D58" s="391">
        <v>2</v>
      </c>
    </row>
    <row r="59" spans="1:4" x14ac:dyDescent="0.25">
      <c r="A59" s="392">
        <v>154004</v>
      </c>
      <c r="B59" s="198"/>
      <c r="C59" s="403" t="s">
        <v>530</v>
      </c>
      <c r="D59" s="391">
        <v>2</v>
      </c>
    </row>
    <row r="60" spans="1:4" ht="38.25" x14ac:dyDescent="0.25">
      <c r="A60" s="390">
        <v>154005</v>
      </c>
      <c r="B60" s="198" t="s">
        <v>524</v>
      </c>
      <c r="C60" s="402" t="s">
        <v>563</v>
      </c>
      <c r="D60" s="391">
        <v>8</v>
      </c>
    </row>
    <row r="61" spans="1:4" x14ac:dyDescent="0.25">
      <c r="A61" s="392">
        <v>154009</v>
      </c>
      <c r="B61" s="198"/>
      <c r="C61" s="403" t="s">
        <v>530</v>
      </c>
      <c r="D61" s="391">
        <v>2</v>
      </c>
    </row>
    <row r="62" spans="1:4" x14ac:dyDescent="0.25">
      <c r="A62" s="392">
        <v>154010</v>
      </c>
      <c r="B62" s="198"/>
      <c r="C62" s="403" t="s">
        <v>530</v>
      </c>
      <c r="D62" s="391">
        <v>2</v>
      </c>
    </row>
    <row r="63" spans="1:4" x14ac:dyDescent="0.25">
      <c r="A63" s="390">
        <v>154011</v>
      </c>
      <c r="B63" s="198" t="s">
        <v>264</v>
      </c>
      <c r="C63" s="402" t="s">
        <v>661</v>
      </c>
      <c r="D63" s="391" t="s">
        <v>662</v>
      </c>
    </row>
    <row r="64" spans="1:4" x14ac:dyDescent="0.25">
      <c r="A64" s="392">
        <v>155001</v>
      </c>
      <c r="B64" s="198"/>
      <c r="C64" s="403" t="s">
        <v>530</v>
      </c>
      <c r="D64" s="391">
        <v>2</v>
      </c>
    </row>
    <row r="65" spans="1:4" x14ac:dyDescent="0.25">
      <c r="A65" s="392">
        <v>155003</v>
      </c>
      <c r="B65" s="198"/>
      <c r="C65" s="403" t="s">
        <v>530</v>
      </c>
      <c r="D65" s="391">
        <v>2</v>
      </c>
    </row>
    <row r="66" spans="1:4" x14ac:dyDescent="0.25">
      <c r="A66" s="392">
        <v>155004</v>
      </c>
      <c r="B66" s="198"/>
      <c r="C66" s="403" t="s">
        <v>530</v>
      </c>
      <c r="D66" s="391">
        <v>2</v>
      </c>
    </row>
    <row r="67" spans="1:4" x14ac:dyDescent="0.25">
      <c r="A67" s="392">
        <v>155005</v>
      </c>
      <c r="B67" s="198"/>
      <c r="C67" s="403" t="s">
        <v>530</v>
      </c>
      <c r="D67" s="391">
        <v>2</v>
      </c>
    </row>
    <row r="68" spans="1:4" x14ac:dyDescent="0.25">
      <c r="A68" s="392">
        <v>156001</v>
      </c>
      <c r="B68" s="198"/>
      <c r="C68" s="403" t="s">
        <v>530</v>
      </c>
      <c r="D68" s="391">
        <v>2</v>
      </c>
    </row>
    <row r="69" spans="1:4" x14ac:dyDescent="0.25">
      <c r="A69" s="392">
        <v>156003</v>
      </c>
      <c r="B69" s="198"/>
      <c r="C69" s="403" t="s">
        <v>530</v>
      </c>
      <c r="D69" s="391">
        <v>2</v>
      </c>
    </row>
    <row r="70" spans="1:4" x14ac:dyDescent="0.25">
      <c r="A70" s="392">
        <v>157001</v>
      </c>
      <c r="B70" s="198"/>
      <c r="C70" s="403" t="s">
        <v>530</v>
      </c>
      <c r="D70" s="391">
        <v>2</v>
      </c>
    </row>
    <row r="71" spans="1:4" x14ac:dyDescent="0.25">
      <c r="A71" s="392">
        <v>157002</v>
      </c>
      <c r="B71" s="198"/>
      <c r="C71" s="403" t="s">
        <v>530</v>
      </c>
      <c r="D71" s="391">
        <v>2</v>
      </c>
    </row>
    <row r="72" spans="1:4" x14ac:dyDescent="0.25">
      <c r="A72" s="392">
        <v>157003</v>
      </c>
      <c r="B72" s="198"/>
      <c r="C72" s="403" t="s">
        <v>530</v>
      </c>
      <c r="D72" s="391">
        <v>2</v>
      </c>
    </row>
    <row r="73" spans="1:4" x14ac:dyDescent="0.25">
      <c r="A73" s="392">
        <v>157004</v>
      </c>
      <c r="B73" s="198"/>
      <c r="C73" s="403" t="s">
        <v>530</v>
      </c>
      <c r="D73" s="391">
        <v>2</v>
      </c>
    </row>
    <row r="74" spans="1:4" ht="25.5" x14ac:dyDescent="0.25">
      <c r="A74" s="392">
        <v>157005</v>
      </c>
      <c r="B74" s="198" t="s">
        <v>523</v>
      </c>
      <c r="C74" s="403" t="s">
        <v>561</v>
      </c>
      <c r="D74" s="391">
        <v>7</v>
      </c>
    </row>
    <row r="75" spans="1:4" x14ac:dyDescent="0.25">
      <c r="A75" s="392">
        <v>158001</v>
      </c>
      <c r="B75" s="198"/>
      <c r="C75" s="403" t="s">
        <v>530</v>
      </c>
      <c r="D75" s="391">
        <v>2</v>
      </c>
    </row>
    <row r="76" spans="1:4" x14ac:dyDescent="0.25">
      <c r="A76" s="392">
        <v>158002</v>
      </c>
      <c r="B76" s="198"/>
      <c r="C76" s="403" t="s">
        <v>530</v>
      </c>
      <c r="D76" s="391">
        <v>2</v>
      </c>
    </row>
    <row r="77" spans="1:4" x14ac:dyDescent="0.25">
      <c r="A77" s="392">
        <v>158003</v>
      </c>
      <c r="B77" s="198"/>
      <c r="C77" s="403" t="s">
        <v>530</v>
      </c>
      <c r="D77" s="391">
        <v>2</v>
      </c>
    </row>
    <row r="78" spans="1:4" x14ac:dyDescent="0.25">
      <c r="A78" s="392">
        <v>158004</v>
      </c>
      <c r="B78" s="198"/>
      <c r="C78" s="403" t="s">
        <v>530</v>
      </c>
      <c r="D78" s="391">
        <v>2</v>
      </c>
    </row>
    <row r="79" spans="1:4" ht="25.5" x14ac:dyDescent="0.25">
      <c r="A79" s="392">
        <v>158005</v>
      </c>
      <c r="B79" s="198" t="s">
        <v>523</v>
      </c>
      <c r="C79" s="403" t="s">
        <v>561</v>
      </c>
      <c r="D79" s="391">
        <v>7</v>
      </c>
    </row>
    <row r="80" spans="1:4" x14ac:dyDescent="0.25">
      <c r="A80" s="392">
        <v>158006</v>
      </c>
      <c r="B80" s="198"/>
      <c r="C80" s="403" t="s">
        <v>530</v>
      </c>
      <c r="D80" s="391">
        <v>2</v>
      </c>
    </row>
    <row r="81" spans="1:4" x14ac:dyDescent="0.25">
      <c r="A81" s="390">
        <v>160000</v>
      </c>
      <c r="B81" s="198" t="s">
        <v>266</v>
      </c>
      <c r="C81" s="403" t="s">
        <v>540</v>
      </c>
      <c r="D81" s="391">
        <v>22</v>
      </c>
    </row>
    <row r="82" spans="1:4" x14ac:dyDescent="0.25">
      <c r="A82" s="390">
        <v>170000</v>
      </c>
      <c r="B82" s="198" t="s">
        <v>267</v>
      </c>
      <c r="C82" s="403" t="s">
        <v>540</v>
      </c>
      <c r="D82" s="391">
        <v>22</v>
      </c>
    </row>
    <row r="83" spans="1:4" x14ac:dyDescent="0.25">
      <c r="A83" s="390">
        <v>190000</v>
      </c>
      <c r="B83" s="198" t="s">
        <v>796</v>
      </c>
      <c r="C83" s="403" t="s">
        <v>530</v>
      </c>
      <c r="D83" s="391">
        <v>2</v>
      </c>
    </row>
    <row r="84" spans="1:4" x14ac:dyDescent="0.25">
      <c r="A84" s="390">
        <v>191000</v>
      </c>
      <c r="B84" s="198" t="s">
        <v>268</v>
      </c>
      <c r="C84" s="403" t="s">
        <v>530</v>
      </c>
      <c r="D84" s="391">
        <v>2</v>
      </c>
    </row>
    <row r="85" spans="1:4" x14ac:dyDescent="0.25">
      <c r="A85" s="390">
        <v>192000</v>
      </c>
      <c r="B85" s="198" t="s">
        <v>269</v>
      </c>
      <c r="C85" s="402" t="s">
        <v>536</v>
      </c>
      <c r="D85" s="391">
        <v>37</v>
      </c>
    </row>
    <row r="86" spans="1:4" x14ac:dyDescent="0.25">
      <c r="A86" s="390">
        <v>193000</v>
      </c>
      <c r="B86" s="198" t="s">
        <v>270</v>
      </c>
      <c r="C86" s="402" t="s">
        <v>537</v>
      </c>
      <c r="D86" s="391">
        <v>9</v>
      </c>
    </row>
    <row r="87" spans="1:4" ht="25.5" x14ac:dyDescent="0.25">
      <c r="A87" s="390">
        <v>194000</v>
      </c>
      <c r="B87" s="198" t="s">
        <v>271</v>
      </c>
      <c r="C87" s="402" t="s">
        <v>538</v>
      </c>
      <c r="D87" s="391">
        <v>38</v>
      </c>
    </row>
    <row r="88" spans="1:4" x14ac:dyDescent="0.25">
      <c r="A88" s="390">
        <v>195000</v>
      </c>
      <c r="B88" s="198" t="s">
        <v>272</v>
      </c>
      <c r="C88" s="403" t="s">
        <v>530</v>
      </c>
      <c r="D88" s="391">
        <v>2</v>
      </c>
    </row>
    <row r="89" spans="1:4" ht="25.5" x14ac:dyDescent="0.25">
      <c r="A89" s="390">
        <v>211003</v>
      </c>
      <c r="B89" s="198" t="s">
        <v>273</v>
      </c>
      <c r="C89" s="402" t="s">
        <v>539</v>
      </c>
      <c r="D89" s="391">
        <v>38</v>
      </c>
    </row>
    <row r="90" spans="1:4" ht="25.5" x14ac:dyDescent="0.25">
      <c r="A90" s="390">
        <v>211004</v>
      </c>
      <c r="B90" s="198" t="s">
        <v>274</v>
      </c>
      <c r="C90" s="402" t="s">
        <v>539</v>
      </c>
      <c r="D90" s="391">
        <v>38</v>
      </c>
    </row>
    <row r="91" spans="1:4" x14ac:dyDescent="0.25">
      <c r="A91" s="390">
        <v>212000</v>
      </c>
      <c r="B91" s="198" t="s">
        <v>800</v>
      </c>
      <c r="C91" s="403" t="s">
        <v>1118</v>
      </c>
      <c r="D91" s="391">
        <v>9</v>
      </c>
    </row>
    <row r="92" spans="1:4" x14ac:dyDescent="0.25">
      <c r="A92" s="390">
        <v>212001</v>
      </c>
      <c r="B92" s="198" t="s">
        <v>275</v>
      </c>
      <c r="C92" s="403" t="s">
        <v>540</v>
      </c>
      <c r="D92" s="391">
        <v>22</v>
      </c>
    </row>
    <row r="93" spans="1:4" x14ac:dyDescent="0.25">
      <c r="A93" s="390">
        <v>212002</v>
      </c>
      <c r="B93" s="198" t="s">
        <v>276</v>
      </c>
      <c r="C93" s="403" t="s">
        <v>1118</v>
      </c>
      <c r="D93" s="391">
        <v>9</v>
      </c>
    </row>
    <row r="94" spans="1:4" x14ac:dyDescent="0.25">
      <c r="A94" s="390">
        <v>212003</v>
      </c>
      <c r="B94" s="198" t="s">
        <v>277</v>
      </c>
      <c r="C94" s="403" t="s">
        <v>1118</v>
      </c>
      <c r="D94" s="391">
        <v>9</v>
      </c>
    </row>
    <row r="95" spans="1:4" x14ac:dyDescent="0.25">
      <c r="A95" s="390">
        <v>212004</v>
      </c>
      <c r="B95" s="198" t="s">
        <v>278</v>
      </c>
      <c r="C95" s="403" t="s">
        <v>1118</v>
      </c>
      <c r="D95" s="391">
        <v>9</v>
      </c>
    </row>
    <row r="96" spans="1:4" x14ac:dyDescent="0.25">
      <c r="A96" s="390">
        <v>212008</v>
      </c>
      <c r="B96" s="198" t="s">
        <v>279</v>
      </c>
      <c r="C96" s="403" t="s">
        <v>540</v>
      </c>
      <c r="D96" s="391">
        <v>22</v>
      </c>
    </row>
    <row r="97" spans="1:4" x14ac:dyDescent="0.25">
      <c r="A97" s="390">
        <v>212009</v>
      </c>
      <c r="B97" s="198" t="s">
        <v>280</v>
      </c>
      <c r="C97" s="403" t="s">
        <v>540</v>
      </c>
      <c r="D97" s="391">
        <v>22</v>
      </c>
    </row>
    <row r="98" spans="1:4" x14ac:dyDescent="0.25">
      <c r="A98" s="390">
        <v>221001</v>
      </c>
      <c r="B98" s="198" t="s">
        <v>281</v>
      </c>
      <c r="C98" s="403" t="s">
        <v>540</v>
      </c>
      <c r="D98" s="391">
        <v>22</v>
      </c>
    </row>
    <row r="99" spans="1:4" x14ac:dyDescent="0.25">
      <c r="A99" s="390">
        <v>221002</v>
      </c>
      <c r="B99" s="198" t="s">
        <v>282</v>
      </c>
      <c r="C99" s="403" t="s">
        <v>540</v>
      </c>
      <c r="D99" s="391">
        <v>22</v>
      </c>
    </row>
    <row r="100" spans="1:4" x14ac:dyDescent="0.25">
      <c r="A100" s="390">
        <v>221003</v>
      </c>
      <c r="B100" s="198" t="s">
        <v>283</v>
      </c>
      <c r="C100" s="403" t="s">
        <v>540</v>
      </c>
      <c r="D100" s="391">
        <v>22</v>
      </c>
    </row>
    <row r="101" spans="1:4" x14ac:dyDescent="0.25">
      <c r="A101" s="390">
        <v>221004</v>
      </c>
      <c r="B101" s="198" t="s">
        <v>284</v>
      </c>
      <c r="C101" s="403" t="s">
        <v>540</v>
      </c>
      <c r="D101" s="391">
        <v>22</v>
      </c>
    </row>
    <row r="102" spans="1:4" x14ac:dyDescent="0.25">
      <c r="A102" s="390">
        <v>221005</v>
      </c>
      <c r="B102" s="198" t="s">
        <v>285</v>
      </c>
      <c r="C102" s="403" t="s">
        <v>540</v>
      </c>
      <c r="D102" s="391">
        <v>22</v>
      </c>
    </row>
    <row r="103" spans="1:4" x14ac:dyDescent="0.25">
      <c r="A103" s="390">
        <v>222000</v>
      </c>
      <c r="B103" s="198" t="s">
        <v>286</v>
      </c>
      <c r="C103" s="403" t="s">
        <v>1118</v>
      </c>
      <c r="D103" s="391">
        <v>9</v>
      </c>
    </row>
    <row r="104" spans="1:4" x14ac:dyDescent="0.25">
      <c r="A104" s="390">
        <v>222001</v>
      </c>
      <c r="B104" s="198" t="s">
        <v>287</v>
      </c>
      <c r="C104" s="403" t="s">
        <v>1118</v>
      </c>
      <c r="D104" s="391">
        <v>9</v>
      </c>
    </row>
    <row r="105" spans="1:4" x14ac:dyDescent="0.25">
      <c r="A105" s="390">
        <v>222002</v>
      </c>
      <c r="B105" s="198" t="s">
        <v>288</v>
      </c>
      <c r="C105" s="403" t="s">
        <v>1118</v>
      </c>
      <c r="D105" s="391">
        <v>9</v>
      </c>
    </row>
    <row r="106" spans="1:4" x14ac:dyDescent="0.25">
      <c r="A106" s="390">
        <v>222003</v>
      </c>
      <c r="B106" s="198" t="s">
        <v>289</v>
      </c>
      <c r="C106" s="403" t="s">
        <v>1118</v>
      </c>
      <c r="D106" s="391">
        <v>9</v>
      </c>
    </row>
    <row r="107" spans="1:4" x14ac:dyDescent="0.25">
      <c r="A107" s="390">
        <v>223000</v>
      </c>
      <c r="B107" s="198" t="s">
        <v>290</v>
      </c>
      <c r="C107" s="403" t="s">
        <v>1118</v>
      </c>
      <c r="D107" s="391">
        <v>9</v>
      </c>
    </row>
    <row r="108" spans="1:4" x14ac:dyDescent="0.25">
      <c r="A108" s="390">
        <v>223001</v>
      </c>
      <c r="B108" s="198" t="s">
        <v>291</v>
      </c>
      <c r="C108" s="403" t="s">
        <v>1118</v>
      </c>
      <c r="D108" s="391">
        <v>9</v>
      </c>
    </row>
    <row r="109" spans="1:4" x14ac:dyDescent="0.25">
      <c r="A109" s="390">
        <v>223002</v>
      </c>
      <c r="B109" s="198" t="s">
        <v>292</v>
      </c>
      <c r="C109" s="403" t="s">
        <v>541</v>
      </c>
      <c r="D109" s="391">
        <v>25</v>
      </c>
    </row>
    <row r="110" spans="1:4" x14ac:dyDescent="0.25">
      <c r="A110" s="390">
        <v>223003</v>
      </c>
      <c r="B110" s="198" t="s">
        <v>293</v>
      </c>
      <c r="C110" s="403" t="s">
        <v>542</v>
      </c>
      <c r="D110" s="391">
        <v>55</v>
      </c>
    </row>
    <row r="111" spans="1:4" x14ac:dyDescent="0.25">
      <c r="A111" s="390">
        <v>223004</v>
      </c>
      <c r="B111" s="198" t="s">
        <v>294</v>
      </c>
      <c r="C111" s="403" t="s">
        <v>1118</v>
      </c>
      <c r="D111" s="391">
        <v>9</v>
      </c>
    </row>
    <row r="112" spans="1:4" x14ac:dyDescent="0.25">
      <c r="A112" s="390">
        <v>229000</v>
      </c>
      <c r="B112" s="198" t="s">
        <v>805</v>
      </c>
      <c r="C112" s="403" t="s">
        <v>540</v>
      </c>
      <c r="D112" s="391">
        <v>22</v>
      </c>
    </row>
    <row r="113" spans="1:4" x14ac:dyDescent="0.25">
      <c r="A113" s="390">
        <v>229001</v>
      </c>
      <c r="B113" s="198" t="s">
        <v>295</v>
      </c>
      <c r="C113" s="403" t="s">
        <v>540</v>
      </c>
      <c r="D113" s="391">
        <v>22</v>
      </c>
    </row>
    <row r="114" spans="1:4" x14ac:dyDescent="0.25">
      <c r="A114" s="390">
        <v>229002</v>
      </c>
      <c r="B114" s="198" t="s">
        <v>296</v>
      </c>
      <c r="C114" s="403" t="s">
        <v>540</v>
      </c>
      <c r="D114" s="391">
        <v>22</v>
      </c>
    </row>
    <row r="115" spans="1:4" x14ac:dyDescent="0.25">
      <c r="A115" s="390">
        <v>229005</v>
      </c>
      <c r="B115" s="198" t="s">
        <v>297</v>
      </c>
      <c r="C115" s="403" t="s">
        <v>540</v>
      </c>
      <c r="D115" s="391">
        <v>22</v>
      </c>
    </row>
    <row r="116" spans="1:4" x14ac:dyDescent="0.25">
      <c r="A116" s="390">
        <v>231000</v>
      </c>
      <c r="B116" s="166" t="s">
        <v>298</v>
      </c>
      <c r="C116" s="403" t="s">
        <v>1118</v>
      </c>
      <c r="D116" s="391">
        <v>9</v>
      </c>
    </row>
    <row r="117" spans="1:4" x14ac:dyDescent="0.25">
      <c r="A117" s="390">
        <v>232000</v>
      </c>
      <c r="B117" s="166" t="s">
        <v>299</v>
      </c>
      <c r="C117" s="403" t="s">
        <v>1118</v>
      </c>
      <c r="D117" s="391">
        <v>9</v>
      </c>
    </row>
    <row r="118" spans="1:4" x14ac:dyDescent="0.25">
      <c r="A118" s="390">
        <v>233000</v>
      </c>
      <c r="B118" s="166" t="s">
        <v>300</v>
      </c>
      <c r="C118" s="403" t="s">
        <v>1118</v>
      </c>
      <c r="D118" s="391">
        <v>9</v>
      </c>
    </row>
    <row r="119" spans="1:4" x14ac:dyDescent="0.25">
      <c r="A119" s="390">
        <v>233001</v>
      </c>
      <c r="B119" s="166" t="s">
        <v>301</v>
      </c>
      <c r="C119" s="403" t="s">
        <v>1118</v>
      </c>
      <c r="D119" s="391">
        <v>9</v>
      </c>
    </row>
    <row r="120" spans="1:4" x14ac:dyDescent="0.25">
      <c r="A120" s="390">
        <v>233002</v>
      </c>
      <c r="B120" s="166" t="s">
        <v>302</v>
      </c>
      <c r="C120" s="403" t="s">
        <v>1118</v>
      </c>
      <c r="D120" s="391">
        <v>9</v>
      </c>
    </row>
    <row r="121" spans="1:4" x14ac:dyDescent="0.25">
      <c r="A121" s="390">
        <v>239000</v>
      </c>
      <c r="B121" s="166" t="s">
        <v>303</v>
      </c>
      <c r="C121" s="403" t="s">
        <v>1118</v>
      </c>
      <c r="D121" s="391">
        <v>9</v>
      </c>
    </row>
    <row r="122" spans="1:4" x14ac:dyDescent="0.25">
      <c r="A122" s="390">
        <v>239001</v>
      </c>
      <c r="B122" s="166" t="s">
        <v>304</v>
      </c>
      <c r="C122" s="403" t="s">
        <v>1118</v>
      </c>
      <c r="D122" s="391">
        <v>9</v>
      </c>
    </row>
    <row r="123" spans="1:4" x14ac:dyDescent="0.25">
      <c r="A123" s="390">
        <v>239002</v>
      </c>
      <c r="B123" s="166" t="s">
        <v>305</v>
      </c>
      <c r="C123" s="403" t="s">
        <v>1118</v>
      </c>
      <c r="D123" s="391">
        <v>9</v>
      </c>
    </row>
    <row r="124" spans="1:4" x14ac:dyDescent="0.25">
      <c r="A124" s="390">
        <v>239200</v>
      </c>
      <c r="B124" s="166" t="s">
        <v>146</v>
      </c>
      <c r="C124" s="403" t="s">
        <v>1118</v>
      </c>
      <c r="D124" s="391">
        <v>9</v>
      </c>
    </row>
    <row r="125" spans="1:4" x14ac:dyDescent="0.25">
      <c r="A125" s="390">
        <v>241000</v>
      </c>
      <c r="B125" s="198" t="s">
        <v>306</v>
      </c>
      <c r="C125" s="403" t="s">
        <v>540</v>
      </c>
      <c r="D125" s="391">
        <v>22</v>
      </c>
    </row>
    <row r="126" spans="1:4" x14ac:dyDescent="0.25">
      <c r="A126" s="390">
        <v>242000</v>
      </c>
      <c r="B126" s="198" t="s">
        <v>307</v>
      </c>
      <c r="C126" s="403" t="s">
        <v>1119</v>
      </c>
      <c r="D126" s="391">
        <v>46</v>
      </c>
    </row>
    <row r="127" spans="1:4" x14ac:dyDescent="0.25">
      <c r="A127" s="390">
        <v>243000</v>
      </c>
      <c r="B127" s="198" t="s">
        <v>308</v>
      </c>
      <c r="C127" s="403" t="s">
        <v>1119</v>
      </c>
      <c r="D127" s="391">
        <v>46</v>
      </c>
    </row>
    <row r="128" spans="1:4" x14ac:dyDescent="0.25">
      <c r="A128" s="390">
        <v>244000</v>
      </c>
      <c r="B128" s="198" t="s">
        <v>309</v>
      </c>
      <c r="C128" s="403" t="s">
        <v>1119</v>
      </c>
      <c r="D128" s="391">
        <v>46</v>
      </c>
    </row>
    <row r="129" spans="1:4" x14ac:dyDescent="0.25">
      <c r="A129" s="390">
        <v>245000</v>
      </c>
      <c r="B129" s="198" t="s">
        <v>310</v>
      </c>
      <c r="C129" s="403" t="s">
        <v>540</v>
      </c>
      <c r="D129" s="391">
        <v>22</v>
      </c>
    </row>
    <row r="130" spans="1:4" x14ac:dyDescent="0.25">
      <c r="A130" s="390">
        <v>246000</v>
      </c>
      <c r="B130" s="198" t="s">
        <v>311</v>
      </c>
      <c r="C130" s="403" t="s">
        <v>540</v>
      </c>
      <c r="D130" s="391">
        <v>22</v>
      </c>
    </row>
    <row r="131" spans="1:4" x14ac:dyDescent="0.25">
      <c r="A131" s="390">
        <v>251000</v>
      </c>
      <c r="B131" s="198" t="s">
        <v>306</v>
      </c>
      <c r="C131" s="403" t="s">
        <v>540</v>
      </c>
      <c r="D131" s="391">
        <v>22</v>
      </c>
    </row>
    <row r="132" spans="1:4" x14ac:dyDescent="0.25">
      <c r="A132" s="390">
        <v>252000</v>
      </c>
      <c r="B132" s="198" t="s">
        <v>307</v>
      </c>
      <c r="C132" s="403" t="s">
        <v>1119</v>
      </c>
      <c r="D132" s="391">
        <v>46</v>
      </c>
    </row>
    <row r="133" spans="1:4" x14ac:dyDescent="0.25">
      <c r="A133" s="390">
        <v>290000</v>
      </c>
      <c r="B133" s="198" t="s">
        <v>811</v>
      </c>
      <c r="C133" s="403" t="s">
        <v>1118</v>
      </c>
      <c r="D133" s="391">
        <v>9</v>
      </c>
    </row>
    <row r="134" spans="1:4" x14ac:dyDescent="0.25">
      <c r="A134" s="390">
        <v>291001</v>
      </c>
      <c r="B134" s="198" t="s">
        <v>312</v>
      </c>
      <c r="C134" s="403" t="s">
        <v>1118</v>
      </c>
      <c r="D134" s="391">
        <v>9</v>
      </c>
    </row>
    <row r="135" spans="1:4" x14ac:dyDescent="0.25">
      <c r="A135" s="390">
        <v>291002</v>
      </c>
      <c r="B135" s="198" t="s">
        <v>313</v>
      </c>
      <c r="C135" s="403" t="s">
        <v>1118</v>
      </c>
      <c r="D135" s="391">
        <v>9</v>
      </c>
    </row>
    <row r="136" spans="1:4" x14ac:dyDescent="0.25">
      <c r="A136" s="390">
        <v>291003</v>
      </c>
      <c r="B136" s="198" t="s">
        <v>314</v>
      </c>
      <c r="C136" s="403" t="s">
        <v>1118</v>
      </c>
      <c r="D136" s="391">
        <v>9</v>
      </c>
    </row>
    <row r="137" spans="1:4" x14ac:dyDescent="0.25">
      <c r="A137" s="390">
        <v>291004</v>
      </c>
      <c r="B137" s="198" t="s">
        <v>315</v>
      </c>
      <c r="C137" s="403" t="s">
        <v>1118</v>
      </c>
      <c r="D137" s="391">
        <v>9</v>
      </c>
    </row>
    <row r="138" spans="1:4" x14ac:dyDescent="0.25">
      <c r="A138" s="390">
        <v>291005</v>
      </c>
      <c r="B138" s="198" t="s">
        <v>316</v>
      </c>
      <c r="C138" s="403" t="s">
        <v>1118</v>
      </c>
      <c r="D138" s="391">
        <v>9</v>
      </c>
    </row>
    <row r="139" spans="1:4" x14ac:dyDescent="0.25">
      <c r="A139" s="390">
        <v>291006</v>
      </c>
      <c r="B139" s="198" t="s">
        <v>317</v>
      </c>
      <c r="C139" s="403" t="s">
        <v>1118</v>
      </c>
      <c r="D139" s="391">
        <v>9</v>
      </c>
    </row>
    <row r="140" spans="1:4" x14ac:dyDescent="0.25">
      <c r="A140" s="390">
        <v>291007</v>
      </c>
      <c r="B140" s="198" t="s">
        <v>318</v>
      </c>
      <c r="C140" s="403" t="s">
        <v>1118</v>
      </c>
      <c r="D140" s="391">
        <v>9</v>
      </c>
    </row>
    <row r="141" spans="1:4" x14ac:dyDescent="0.25">
      <c r="A141" s="390">
        <v>291008</v>
      </c>
      <c r="B141" s="198" t="s">
        <v>319</v>
      </c>
      <c r="C141" s="403" t="s">
        <v>1118</v>
      </c>
      <c r="D141" s="391">
        <v>9</v>
      </c>
    </row>
    <row r="142" spans="1:4" x14ac:dyDescent="0.25">
      <c r="A142" s="390">
        <v>292000</v>
      </c>
      <c r="B142" s="198" t="s">
        <v>320</v>
      </c>
      <c r="C142" s="403" t="s">
        <v>543</v>
      </c>
      <c r="D142" s="391">
        <v>22</v>
      </c>
    </row>
    <row r="143" spans="1:4" x14ac:dyDescent="0.25">
      <c r="A143" s="390">
        <v>292006</v>
      </c>
      <c r="B143" s="198" t="s">
        <v>321</v>
      </c>
      <c r="C143" s="403" t="s">
        <v>1118</v>
      </c>
      <c r="D143" s="391">
        <v>9</v>
      </c>
    </row>
    <row r="144" spans="1:4" x14ac:dyDescent="0.25">
      <c r="A144" s="390">
        <v>292008</v>
      </c>
      <c r="B144" s="198" t="s">
        <v>322</v>
      </c>
      <c r="C144" s="403" t="s">
        <v>543</v>
      </c>
      <c r="D144" s="391">
        <v>22</v>
      </c>
    </row>
    <row r="145" spans="1:4" x14ac:dyDescent="0.25">
      <c r="A145" s="390">
        <v>292009</v>
      </c>
      <c r="B145" s="198" t="s">
        <v>156</v>
      </c>
      <c r="C145" s="402" t="s">
        <v>661</v>
      </c>
      <c r="D145" s="391" t="s">
        <v>662</v>
      </c>
    </row>
    <row r="146" spans="1:4" x14ac:dyDescent="0.25">
      <c r="A146" s="390">
        <v>292012</v>
      </c>
      <c r="B146" s="198" t="s">
        <v>323</v>
      </c>
      <c r="C146" s="403" t="s">
        <v>544</v>
      </c>
      <c r="D146" s="391">
        <v>25</v>
      </c>
    </row>
    <row r="147" spans="1:4" x14ac:dyDescent="0.25">
      <c r="A147" s="390">
        <v>292017</v>
      </c>
      <c r="B147" s="198" t="s">
        <v>305</v>
      </c>
      <c r="C147" s="403" t="s">
        <v>1118</v>
      </c>
      <c r="D147" s="391">
        <v>9</v>
      </c>
    </row>
    <row r="148" spans="1:4" x14ac:dyDescent="0.25">
      <c r="A148" s="390">
        <v>292019</v>
      </c>
      <c r="B148" s="198" t="s">
        <v>324</v>
      </c>
      <c r="C148" s="403" t="s">
        <v>544</v>
      </c>
      <c r="D148" s="391">
        <v>25</v>
      </c>
    </row>
    <row r="149" spans="1:4" x14ac:dyDescent="0.25">
      <c r="A149" s="390">
        <v>292021</v>
      </c>
      <c r="B149" s="198" t="s">
        <v>325</v>
      </c>
      <c r="C149" s="403" t="s">
        <v>530</v>
      </c>
      <c r="D149" s="391">
        <v>2</v>
      </c>
    </row>
    <row r="150" spans="1:4" x14ac:dyDescent="0.25">
      <c r="A150" s="390">
        <v>292027</v>
      </c>
      <c r="B150" s="198" t="s">
        <v>159</v>
      </c>
      <c r="C150" s="402" t="s">
        <v>661</v>
      </c>
      <c r="D150" s="391" t="s">
        <v>662</v>
      </c>
    </row>
    <row r="151" spans="1:4" ht="25.5" x14ac:dyDescent="0.25">
      <c r="A151" s="390">
        <v>311000</v>
      </c>
      <c r="B151" s="198" t="s">
        <v>327</v>
      </c>
      <c r="C151" s="403" t="s">
        <v>545</v>
      </c>
      <c r="D151" s="391">
        <v>6</v>
      </c>
    </row>
    <row r="152" spans="1:4" x14ac:dyDescent="0.25">
      <c r="A152" s="390">
        <v>312000</v>
      </c>
      <c r="B152" s="198" t="s">
        <v>328</v>
      </c>
      <c r="C152" s="402" t="s">
        <v>530</v>
      </c>
      <c r="D152" s="391">
        <v>2</v>
      </c>
    </row>
    <row r="153" spans="1:4" x14ac:dyDescent="0.25">
      <c r="A153" s="393">
        <v>312001</v>
      </c>
      <c r="B153" s="128" t="s">
        <v>599</v>
      </c>
      <c r="C153" s="402" t="s">
        <v>530</v>
      </c>
      <c r="D153" s="391">
        <v>2</v>
      </c>
    </row>
    <row r="154" spans="1:4" x14ac:dyDescent="0.25">
      <c r="A154" s="393">
        <v>312002</v>
      </c>
      <c r="B154" s="128" t="s">
        <v>600</v>
      </c>
      <c r="C154" s="402" t="s">
        <v>530</v>
      </c>
      <c r="D154" s="391">
        <v>2</v>
      </c>
    </row>
    <row r="155" spans="1:4" x14ac:dyDescent="0.25">
      <c r="A155" s="393">
        <v>312003</v>
      </c>
      <c r="B155" s="128" t="s">
        <v>601</v>
      </c>
      <c r="C155" s="402" t="s">
        <v>530</v>
      </c>
      <c r="D155" s="391">
        <v>2</v>
      </c>
    </row>
    <row r="156" spans="1:4" x14ac:dyDescent="0.25">
      <c r="A156" s="393">
        <v>312005</v>
      </c>
      <c r="B156" s="128" t="s">
        <v>602</v>
      </c>
      <c r="C156" s="402" t="s">
        <v>530</v>
      </c>
      <c r="D156" s="391">
        <v>2</v>
      </c>
    </row>
    <row r="157" spans="1:4" x14ac:dyDescent="0.25">
      <c r="A157" s="393">
        <v>312006</v>
      </c>
      <c r="B157" s="128" t="s">
        <v>603</v>
      </c>
      <c r="C157" s="402" t="s">
        <v>530</v>
      </c>
      <c r="D157" s="391">
        <v>2</v>
      </c>
    </row>
    <row r="158" spans="1:4" x14ac:dyDescent="0.25">
      <c r="A158" s="393">
        <v>312007</v>
      </c>
      <c r="B158" s="128" t="s">
        <v>604</v>
      </c>
      <c r="C158" s="402" t="s">
        <v>530</v>
      </c>
      <c r="D158" s="391">
        <v>2</v>
      </c>
    </row>
    <row r="159" spans="1:4" x14ac:dyDescent="0.25">
      <c r="A159" s="393">
        <v>312008</v>
      </c>
      <c r="B159" s="128" t="s">
        <v>605</v>
      </c>
      <c r="C159" s="402" t="s">
        <v>530</v>
      </c>
      <c r="D159" s="391">
        <v>2</v>
      </c>
    </row>
    <row r="160" spans="1:4" x14ac:dyDescent="0.25">
      <c r="A160" s="393">
        <v>312009</v>
      </c>
      <c r="B160" s="128" t="s">
        <v>606</v>
      </c>
      <c r="C160" s="402" t="s">
        <v>530</v>
      </c>
      <c r="D160" s="391">
        <v>2</v>
      </c>
    </row>
    <row r="161" spans="1:4" x14ac:dyDescent="0.25">
      <c r="A161" s="393">
        <v>312010</v>
      </c>
      <c r="B161" s="128" t="s">
        <v>607</v>
      </c>
      <c r="C161" s="402" t="s">
        <v>530</v>
      </c>
      <c r="D161" s="391">
        <v>2</v>
      </c>
    </row>
    <row r="162" spans="1:4" x14ac:dyDescent="0.25">
      <c r="A162" s="393">
        <v>312011</v>
      </c>
      <c r="B162" s="128" t="s">
        <v>319</v>
      </c>
      <c r="C162" s="402" t="s">
        <v>530</v>
      </c>
      <c r="D162" s="391">
        <v>2</v>
      </c>
    </row>
    <row r="163" spans="1:4" x14ac:dyDescent="0.25">
      <c r="A163" s="393">
        <v>312012</v>
      </c>
      <c r="B163" s="128" t="s">
        <v>608</v>
      </c>
      <c r="C163" s="402" t="s">
        <v>530</v>
      </c>
      <c r="D163" s="391">
        <v>2</v>
      </c>
    </row>
    <row r="164" spans="1:4" ht="25.5" x14ac:dyDescent="0.25">
      <c r="A164" s="390">
        <v>314000</v>
      </c>
      <c r="B164" s="198" t="s">
        <v>329</v>
      </c>
      <c r="C164" s="403" t="s">
        <v>545</v>
      </c>
      <c r="D164" s="391">
        <v>6</v>
      </c>
    </row>
    <row r="165" spans="1:4" ht="25.5" x14ac:dyDescent="0.25">
      <c r="A165" s="390">
        <v>315000</v>
      </c>
      <c r="B165" s="198" t="s">
        <v>330</v>
      </c>
      <c r="C165" s="403" t="s">
        <v>545</v>
      </c>
      <c r="D165" s="391">
        <v>6</v>
      </c>
    </row>
    <row r="166" spans="1:4" x14ac:dyDescent="0.25">
      <c r="A166" s="390">
        <v>321000</v>
      </c>
      <c r="B166" s="166" t="s">
        <v>327</v>
      </c>
      <c r="C166" s="403" t="s">
        <v>546</v>
      </c>
      <c r="D166" s="391">
        <v>37</v>
      </c>
    </row>
    <row r="167" spans="1:4" x14ac:dyDescent="0.25">
      <c r="A167" s="394">
        <v>322000</v>
      </c>
      <c r="B167" s="205" t="s">
        <v>328</v>
      </c>
      <c r="C167" s="402" t="s">
        <v>530</v>
      </c>
      <c r="D167" s="391">
        <v>2</v>
      </c>
    </row>
    <row r="168" spans="1:4" x14ac:dyDescent="0.25">
      <c r="A168" s="393">
        <v>322001</v>
      </c>
      <c r="B168" s="128" t="s">
        <v>609</v>
      </c>
      <c r="C168" s="402" t="s">
        <v>530</v>
      </c>
      <c r="D168" s="391">
        <v>2</v>
      </c>
    </row>
    <row r="169" spans="1:4" x14ac:dyDescent="0.25">
      <c r="A169" s="393">
        <v>322002</v>
      </c>
      <c r="B169" s="128" t="s">
        <v>600</v>
      </c>
      <c r="C169" s="402" t="s">
        <v>530</v>
      </c>
      <c r="D169" s="391">
        <v>2</v>
      </c>
    </row>
    <row r="170" spans="1:4" x14ac:dyDescent="0.25">
      <c r="A170" s="393">
        <v>322003</v>
      </c>
      <c r="B170" s="128" t="s">
        <v>601</v>
      </c>
      <c r="C170" s="402" t="s">
        <v>530</v>
      </c>
      <c r="D170" s="391">
        <v>2</v>
      </c>
    </row>
    <row r="171" spans="1:4" x14ac:dyDescent="0.25">
      <c r="A171" s="393">
        <v>322004</v>
      </c>
      <c r="B171" s="128" t="s">
        <v>602</v>
      </c>
      <c r="C171" s="402" t="s">
        <v>530</v>
      </c>
      <c r="D171" s="391">
        <v>2</v>
      </c>
    </row>
    <row r="172" spans="1:4" x14ac:dyDescent="0.25">
      <c r="A172" s="393">
        <v>322005</v>
      </c>
      <c r="B172" s="128" t="s">
        <v>604</v>
      </c>
      <c r="C172" s="402" t="s">
        <v>530</v>
      </c>
      <c r="D172" s="391">
        <v>2</v>
      </c>
    </row>
    <row r="173" spans="1:4" x14ac:dyDescent="0.25">
      <c r="A173" s="393">
        <v>322006</v>
      </c>
      <c r="B173" s="128" t="s">
        <v>605</v>
      </c>
      <c r="C173" s="402" t="s">
        <v>530</v>
      </c>
      <c r="D173" s="391">
        <v>2</v>
      </c>
    </row>
    <row r="174" spans="1:4" x14ac:dyDescent="0.25">
      <c r="A174" s="393">
        <v>322007</v>
      </c>
      <c r="B174" s="128" t="s">
        <v>607</v>
      </c>
      <c r="C174" s="402" t="s">
        <v>530</v>
      </c>
      <c r="D174" s="391">
        <v>2</v>
      </c>
    </row>
    <row r="175" spans="1:4" x14ac:dyDescent="0.25">
      <c r="A175" s="393">
        <v>322008</v>
      </c>
      <c r="B175" s="128" t="s">
        <v>319</v>
      </c>
      <c r="C175" s="402" t="s">
        <v>530</v>
      </c>
      <c r="D175" s="391">
        <v>2</v>
      </c>
    </row>
    <row r="176" spans="1:4" x14ac:dyDescent="0.25">
      <c r="A176" s="390">
        <v>324000</v>
      </c>
      <c r="B176" s="166" t="s">
        <v>329</v>
      </c>
      <c r="C176" s="403" t="s">
        <v>547</v>
      </c>
      <c r="D176" s="391">
        <v>37</v>
      </c>
    </row>
    <row r="177" spans="1:4" x14ac:dyDescent="0.25">
      <c r="A177" s="390">
        <v>325000</v>
      </c>
      <c r="B177" s="166" t="s">
        <v>330</v>
      </c>
      <c r="C177" s="403" t="s">
        <v>546</v>
      </c>
      <c r="D177" s="391">
        <v>37</v>
      </c>
    </row>
    <row r="178" spans="1:4" ht="51" x14ac:dyDescent="0.25">
      <c r="A178" s="390">
        <v>331000</v>
      </c>
      <c r="B178" s="198" t="s">
        <v>331</v>
      </c>
      <c r="C178" s="403" t="s">
        <v>1120</v>
      </c>
      <c r="D178" s="391">
        <v>6</v>
      </c>
    </row>
    <row r="179" spans="1:4" ht="51" x14ac:dyDescent="0.25">
      <c r="A179" s="390">
        <v>331001</v>
      </c>
      <c r="B179" s="198" t="s">
        <v>332</v>
      </c>
      <c r="C179" s="403" t="s">
        <v>1120</v>
      </c>
      <c r="D179" s="391">
        <v>6</v>
      </c>
    </row>
    <row r="180" spans="1:4" ht="51" x14ac:dyDescent="0.25">
      <c r="A180" s="390">
        <v>331002</v>
      </c>
      <c r="B180" s="198" t="s">
        <v>333</v>
      </c>
      <c r="C180" s="403" t="s">
        <v>1120</v>
      </c>
      <c r="D180" s="391">
        <v>6</v>
      </c>
    </row>
    <row r="181" spans="1:4" x14ac:dyDescent="0.25">
      <c r="A181" s="390">
        <v>332001</v>
      </c>
      <c r="B181" s="198" t="s">
        <v>332</v>
      </c>
      <c r="C181" s="402" t="s">
        <v>546</v>
      </c>
      <c r="D181" s="391">
        <v>37</v>
      </c>
    </row>
    <row r="182" spans="1:4" x14ac:dyDescent="0.25">
      <c r="A182" s="390">
        <v>332002</v>
      </c>
      <c r="B182" s="198" t="s">
        <v>333</v>
      </c>
      <c r="C182" s="402" t="s">
        <v>546</v>
      </c>
      <c r="D182" s="391">
        <v>37</v>
      </c>
    </row>
    <row r="183" spans="1:4" x14ac:dyDescent="0.25">
      <c r="A183" s="390">
        <v>341000</v>
      </c>
      <c r="B183" s="198" t="s">
        <v>334</v>
      </c>
      <c r="C183" s="402" t="s">
        <v>661</v>
      </c>
      <c r="D183" s="391" t="s">
        <v>662</v>
      </c>
    </row>
    <row r="184" spans="1:4" x14ac:dyDescent="0.25">
      <c r="A184" s="390">
        <v>611000</v>
      </c>
      <c r="B184" s="166" t="s">
        <v>335</v>
      </c>
      <c r="C184" s="402" t="s">
        <v>525</v>
      </c>
      <c r="D184" s="395">
        <v>39</v>
      </c>
    </row>
    <row r="185" spans="1:4" x14ac:dyDescent="0.25">
      <c r="A185" s="390">
        <v>612000</v>
      </c>
      <c r="B185" s="166" t="s">
        <v>336</v>
      </c>
      <c r="C185" s="402" t="s">
        <v>525</v>
      </c>
      <c r="D185" s="395">
        <v>39</v>
      </c>
    </row>
    <row r="186" spans="1:4" x14ac:dyDescent="0.25">
      <c r="A186" s="390">
        <v>612001</v>
      </c>
      <c r="B186" s="166" t="s">
        <v>337</v>
      </c>
      <c r="C186" s="402" t="s">
        <v>525</v>
      </c>
      <c r="D186" s="395">
        <v>39</v>
      </c>
    </row>
    <row r="187" spans="1:4" x14ac:dyDescent="0.25">
      <c r="A187" s="390">
        <v>612002</v>
      </c>
      <c r="B187" s="166" t="s">
        <v>338</v>
      </c>
      <c r="C187" s="402" t="s">
        <v>525</v>
      </c>
      <c r="D187" s="395">
        <v>39</v>
      </c>
    </row>
    <row r="188" spans="1:4" x14ac:dyDescent="0.25">
      <c r="A188" s="390">
        <v>613000</v>
      </c>
      <c r="B188" s="204" t="s">
        <v>339</v>
      </c>
      <c r="C188" s="402" t="s">
        <v>525</v>
      </c>
      <c r="D188" s="395">
        <v>39</v>
      </c>
    </row>
    <row r="189" spans="1:4" x14ac:dyDescent="0.25">
      <c r="A189" s="390">
        <v>614000</v>
      </c>
      <c r="B189" s="166" t="s">
        <v>340</v>
      </c>
      <c r="C189" s="402" t="s">
        <v>525</v>
      </c>
      <c r="D189" s="395">
        <v>39</v>
      </c>
    </row>
    <row r="190" spans="1:4" x14ac:dyDescent="0.25">
      <c r="A190" s="390">
        <v>615000</v>
      </c>
      <c r="B190" s="166" t="s">
        <v>341</v>
      </c>
      <c r="C190" s="402" t="s">
        <v>525</v>
      </c>
      <c r="D190" s="395">
        <v>39</v>
      </c>
    </row>
    <row r="191" spans="1:4" x14ac:dyDescent="0.25">
      <c r="A191" s="390">
        <v>616000</v>
      </c>
      <c r="B191" s="166" t="s">
        <v>342</v>
      </c>
      <c r="C191" s="402" t="s">
        <v>525</v>
      </c>
      <c r="D191" s="395">
        <v>39</v>
      </c>
    </row>
    <row r="192" spans="1:4" x14ac:dyDescent="0.25">
      <c r="A192" s="390">
        <v>620000</v>
      </c>
      <c r="B192" s="166" t="s">
        <v>823</v>
      </c>
      <c r="C192" s="402" t="s">
        <v>525</v>
      </c>
      <c r="D192" s="395">
        <v>39</v>
      </c>
    </row>
    <row r="193" spans="1:4" s="28" customFormat="1" x14ac:dyDescent="0.25">
      <c r="A193" s="390">
        <v>621000</v>
      </c>
      <c r="B193" s="166" t="s">
        <v>343</v>
      </c>
      <c r="C193" s="402" t="s">
        <v>525</v>
      </c>
      <c r="D193" s="395">
        <v>39</v>
      </c>
    </row>
    <row r="194" spans="1:4" s="28" customFormat="1" x14ac:dyDescent="0.25">
      <c r="A194" s="390">
        <v>622000</v>
      </c>
      <c r="B194" s="166" t="s">
        <v>824</v>
      </c>
      <c r="C194" s="402" t="s">
        <v>525</v>
      </c>
      <c r="D194" s="395">
        <v>39</v>
      </c>
    </row>
    <row r="195" spans="1:4" s="28" customFormat="1" x14ac:dyDescent="0.25">
      <c r="A195" s="390">
        <v>623000</v>
      </c>
      <c r="B195" s="166" t="s">
        <v>344</v>
      </c>
      <c r="C195" s="402" t="s">
        <v>525</v>
      </c>
      <c r="D195" s="395">
        <v>39</v>
      </c>
    </row>
    <row r="196" spans="1:4" s="28" customFormat="1" x14ac:dyDescent="0.25">
      <c r="A196" s="390">
        <v>625000</v>
      </c>
      <c r="B196" s="166" t="s">
        <v>825</v>
      </c>
      <c r="C196" s="402" t="s">
        <v>525</v>
      </c>
      <c r="D196" s="395">
        <v>39</v>
      </c>
    </row>
    <row r="197" spans="1:4" s="28" customFormat="1" x14ac:dyDescent="0.25">
      <c r="A197" s="390">
        <v>625001</v>
      </c>
      <c r="B197" s="166" t="s">
        <v>345</v>
      </c>
      <c r="C197" s="402" t="s">
        <v>525</v>
      </c>
      <c r="D197" s="395">
        <v>39</v>
      </c>
    </row>
    <row r="198" spans="1:4" s="28" customFormat="1" x14ac:dyDescent="0.25">
      <c r="A198" s="390">
        <v>625002</v>
      </c>
      <c r="B198" s="166" t="s">
        <v>346</v>
      </c>
      <c r="C198" s="402" t="s">
        <v>525</v>
      </c>
      <c r="D198" s="395">
        <v>39</v>
      </c>
    </row>
    <row r="199" spans="1:4" s="28" customFormat="1" x14ac:dyDescent="0.25">
      <c r="A199" s="390">
        <v>625003</v>
      </c>
      <c r="B199" s="166" t="s">
        <v>347</v>
      </c>
      <c r="C199" s="402" t="s">
        <v>525</v>
      </c>
      <c r="D199" s="395">
        <v>39</v>
      </c>
    </row>
    <row r="200" spans="1:4" s="28" customFormat="1" x14ac:dyDescent="0.25">
      <c r="A200" s="390">
        <v>625004</v>
      </c>
      <c r="B200" s="166" t="s">
        <v>348</v>
      </c>
      <c r="C200" s="402" t="s">
        <v>525</v>
      </c>
      <c r="D200" s="395">
        <v>39</v>
      </c>
    </row>
    <row r="201" spans="1:4" s="28" customFormat="1" x14ac:dyDescent="0.25">
      <c r="A201" s="390">
        <v>625005</v>
      </c>
      <c r="B201" s="166" t="s">
        <v>349</v>
      </c>
      <c r="C201" s="402" t="s">
        <v>525</v>
      </c>
      <c r="D201" s="395">
        <v>39</v>
      </c>
    </row>
    <row r="202" spans="1:4" s="28" customFormat="1" x14ac:dyDescent="0.25">
      <c r="A202" s="390">
        <v>625006</v>
      </c>
      <c r="B202" s="166" t="s">
        <v>350</v>
      </c>
      <c r="C202" s="402" t="s">
        <v>525</v>
      </c>
      <c r="D202" s="395">
        <v>39</v>
      </c>
    </row>
    <row r="203" spans="1:4" s="28" customFormat="1" x14ac:dyDescent="0.25">
      <c r="A203" s="390">
        <v>625007</v>
      </c>
      <c r="B203" s="166" t="s">
        <v>351</v>
      </c>
      <c r="C203" s="402" t="s">
        <v>525</v>
      </c>
      <c r="D203" s="395">
        <v>39</v>
      </c>
    </row>
    <row r="204" spans="1:4" s="28" customFormat="1" x14ac:dyDescent="0.25">
      <c r="A204" s="390">
        <v>627000</v>
      </c>
      <c r="B204" s="166" t="s">
        <v>352</v>
      </c>
      <c r="C204" s="402" t="s">
        <v>525</v>
      </c>
      <c r="D204" s="395">
        <v>39</v>
      </c>
    </row>
    <row r="205" spans="1:4" s="28" customFormat="1" x14ac:dyDescent="0.25">
      <c r="A205" s="390">
        <v>628001</v>
      </c>
      <c r="B205" s="166" t="s">
        <v>353</v>
      </c>
      <c r="C205" s="402" t="s">
        <v>525</v>
      </c>
      <c r="D205" s="395">
        <v>39</v>
      </c>
    </row>
    <row r="206" spans="1:4" s="28" customFormat="1" x14ac:dyDescent="0.25">
      <c r="A206" s="390">
        <v>628002</v>
      </c>
      <c r="B206" s="166" t="s">
        <v>354</v>
      </c>
      <c r="C206" s="402" t="s">
        <v>525</v>
      </c>
      <c r="D206" s="395">
        <v>39</v>
      </c>
    </row>
    <row r="207" spans="1:4" s="28" customFormat="1" x14ac:dyDescent="0.25">
      <c r="A207" s="390">
        <v>628003</v>
      </c>
      <c r="B207" s="166" t="s">
        <v>355</v>
      </c>
      <c r="C207" s="402" t="s">
        <v>525</v>
      </c>
      <c r="D207" s="395">
        <v>39</v>
      </c>
    </row>
    <row r="208" spans="1:4" s="28" customFormat="1" x14ac:dyDescent="0.25">
      <c r="A208" s="390">
        <v>628004</v>
      </c>
      <c r="B208" s="166" t="s">
        <v>356</v>
      </c>
      <c r="C208" s="402" t="s">
        <v>525</v>
      </c>
      <c r="D208" s="395">
        <v>39</v>
      </c>
    </row>
    <row r="209" spans="1:4" s="28" customFormat="1" x14ac:dyDescent="0.25">
      <c r="A209" s="390">
        <v>628005</v>
      </c>
      <c r="B209" s="166" t="s">
        <v>357</v>
      </c>
      <c r="C209" s="402" t="s">
        <v>525</v>
      </c>
      <c r="D209" s="395">
        <v>39</v>
      </c>
    </row>
    <row r="210" spans="1:4" s="28" customFormat="1" x14ac:dyDescent="0.25">
      <c r="A210" s="390">
        <v>629000</v>
      </c>
      <c r="B210" s="166" t="s">
        <v>358</v>
      </c>
      <c r="C210" s="402" t="s">
        <v>525</v>
      </c>
      <c r="D210" s="395">
        <v>39</v>
      </c>
    </row>
    <row r="211" spans="1:4" s="28" customFormat="1" x14ac:dyDescent="0.25">
      <c r="A211" s="390">
        <v>631000</v>
      </c>
      <c r="B211" s="166" t="s">
        <v>359</v>
      </c>
      <c r="C211" s="402" t="s">
        <v>548</v>
      </c>
      <c r="D211" s="395">
        <v>25</v>
      </c>
    </row>
    <row r="212" spans="1:4" s="28" customFormat="1" x14ac:dyDescent="0.25">
      <c r="A212" s="390">
        <v>631001</v>
      </c>
      <c r="B212" s="166" t="s">
        <v>360</v>
      </c>
      <c r="C212" s="402" t="s">
        <v>548</v>
      </c>
      <c r="D212" s="395">
        <v>25</v>
      </c>
    </row>
    <row r="213" spans="1:4" s="28" customFormat="1" x14ac:dyDescent="0.25">
      <c r="A213" s="390">
        <v>631002</v>
      </c>
      <c r="B213" s="166" t="s">
        <v>361</v>
      </c>
      <c r="C213" s="402" t="s">
        <v>548</v>
      </c>
      <c r="D213" s="395">
        <v>25</v>
      </c>
    </row>
    <row r="214" spans="1:4" s="28" customFormat="1" x14ac:dyDescent="0.25">
      <c r="A214" s="390">
        <v>631003</v>
      </c>
      <c r="B214" s="166" t="s">
        <v>362</v>
      </c>
      <c r="C214" s="402" t="s">
        <v>548</v>
      </c>
      <c r="D214" s="395">
        <v>25</v>
      </c>
    </row>
    <row r="215" spans="1:4" s="28" customFormat="1" x14ac:dyDescent="0.25">
      <c r="A215" s="390">
        <v>631004</v>
      </c>
      <c r="B215" s="166" t="s">
        <v>363</v>
      </c>
      <c r="C215" s="402" t="s">
        <v>548</v>
      </c>
      <c r="D215" s="395">
        <v>25</v>
      </c>
    </row>
    <row r="216" spans="1:4" s="28" customFormat="1" x14ac:dyDescent="0.25">
      <c r="A216" s="390">
        <v>632000</v>
      </c>
      <c r="B216" s="166" t="s">
        <v>364</v>
      </c>
      <c r="C216" s="402" t="s">
        <v>548</v>
      </c>
      <c r="D216" s="395">
        <v>25</v>
      </c>
    </row>
    <row r="217" spans="1:4" s="28" customFormat="1" x14ac:dyDescent="0.25">
      <c r="A217" s="390">
        <v>632001</v>
      </c>
      <c r="B217" s="166" t="s">
        <v>365</v>
      </c>
      <c r="C217" s="402" t="s">
        <v>548</v>
      </c>
      <c r="D217" s="395">
        <v>25</v>
      </c>
    </row>
    <row r="218" spans="1:4" s="28" customFormat="1" x14ac:dyDescent="0.25">
      <c r="A218" s="390">
        <v>632002</v>
      </c>
      <c r="B218" s="166" t="s">
        <v>366</v>
      </c>
      <c r="C218" s="402" t="s">
        <v>548</v>
      </c>
      <c r="D218" s="395">
        <v>25</v>
      </c>
    </row>
    <row r="219" spans="1:4" s="28" customFormat="1" x14ac:dyDescent="0.25">
      <c r="A219" s="390">
        <v>632003</v>
      </c>
      <c r="B219" s="166" t="s">
        <v>367</v>
      </c>
      <c r="C219" s="402" t="s">
        <v>548</v>
      </c>
      <c r="D219" s="395">
        <v>25</v>
      </c>
    </row>
    <row r="220" spans="1:4" s="28" customFormat="1" x14ac:dyDescent="0.25">
      <c r="A220" s="390">
        <v>632004</v>
      </c>
      <c r="B220" s="166" t="s">
        <v>368</v>
      </c>
      <c r="C220" s="402" t="s">
        <v>548</v>
      </c>
      <c r="D220" s="395">
        <v>25</v>
      </c>
    </row>
    <row r="221" spans="1:4" s="28" customFormat="1" x14ac:dyDescent="0.25">
      <c r="A221" s="390">
        <v>633000</v>
      </c>
      <c r="B221" s="166" t="s">
        <v>829</v>
      </c>
      <c r="C221" s="402" t="s">
        <v>548</v>
      </c>
      <c r="D221" s="391">
        <v>25</v>
      </c>
    </row>
    <row r="222" spans="1:4" s="28" customFormat="1" x14ac:dyDescent="0.25">
      <c r="A222" s="390">
        <v>633001</v>
      </c>
      <c r="B222" s="166" t="s">
        <v>369</v>
      </c>
      <c r="C222" s="402" t="s">
        <v>548</v>
      </c>
      <c r="D222" s="391">
        <v>25</v>
      </c>
    </row>
    <row r="223" spans="1:4" s="28" customFormat="1" x14ac:dyDescent="0.25">
      <c r="A223" s="390">
        <v>633002</v>
      </c>
      <c r="B223" s="166" t="s">
        <v>370</v>
      </c>
      <c r="C223" s="402" t="s">
        <v>548</v>
      </c>
      <c r="D223" s="391">
        <v>25</v>
      </c>
    </row>
    <row r="224" spans="1:4" s="28" customFormat="1" x14ac:dyDescent="0.25">
      <c r="A224" s="390">
        <v>633003</v>
      </c>
      <c r="B224" s="166" t="s">
        <v>371</v>
      </c>
      <c r="C224" s="402" t="s">
        <v>548</v>
      </c>
      <c r="D224" s="391">
        <v>25</v>
      </c>
    </row>
    <row r="225" spans="1:4" s="28" customFormat="1" x14ac:dyDescent="0.25">
      <c r="A225" s="396">
        <v>633004</v>
      </c>
      <c r="B225" s="204" t="s">
        <v>372</v>
      </c>
      <c r="C225" s="402" t="s">
        <v>548</v>
      </c>
      <c r="D225" s="391">
        <v>25</v>
      </c>
    </row>
    <row r="226" spans="1:4" s="28" customFormat="1" x14ac:dyDescent="0.25">
      <c r="A226" s="396">
        <v>633005</v>
      </c>
      <c r="B226" s="204" t="s">
        <v>373</v>
      </c>
      <c r="C226" s="402" t="s">
        <v>548</v>
      </c>
      <c r="D226" s="391">
        <v>25</v>
      </c>
    </row>
    <row r="227" spans="1:4" s="28" customFormat="1" x14ac:dyDescent="0.25">
      <c r="A227" s="390">
        <v>633006</v>
      </c>
      <c r="B227" s="166" t="s">
        <v>374</v>
      </c>
      <c r="C227" s="402" t="s">
        <v>548</v>
      </c>
      <c r="D227" s="391">
        <v>25</v>
      </c>
    </row>
    <row r="228" spans="1:4" s="28" customFormat="1" x14ac:dyDescent="0.25">
      <c r="A228" s="390">
        <v>633007</v>
      </c>
      <c r="B228" s="166" t="s">
        <v>375</v>
      </c>
      <c r="C228" s="402" t="s">
        <v>548</v>
      </c>
      <c r="D228" s="391">
        <v>25</v>
      </c>
    </row>
    <row r="229" spans="1:4" s="28" customFormat="1" x14ac:dyDescent="0.25">
      <c r="A229" s="390">
        <v>633008</v>
      </c>
      <c r="B229" s="166" t="s">
        <v>376</v>
      </c>
      <c r="C229" s="402" t="s">
        <v>548</v>
      </c>
      <c r="D229" s="391">
        <v>25</v>
      </c>
    </row>
    <row r="230" spans="1:4" x14ac:dyDescent="0.25">
      <c r="A230" s="390">
        <v>633009</v>
      </c>
      <c r="B230" s="166" t="s">
        <v>377</v>
      </c>
      <c r="C230" s="402" t="s">
        <v>548</v>
      </c>
      <c r="D230" s="391">
        <v>25</v>
      </c>
    </row>
    <row r="231" spans="1:4" x14ac:dyDescent="0.25">
      <c r="A231" s="390">
        <v>633010</v>
      </c>
      <c r="B231" s="166" t="s">
        <v>378</v>
      </c>
      <c r="C231" s="402" t="s">
        <v>548</v>
      </c>
      <c r="D231" s="391">
        <v>25</v>
      </c>
    </row>
    <row r="232" spans="1:4" x14ac:dyDescent="0.25">
      <c r="A232" s="390">
        <v>633011</v>
      </c>
      <c r="B232" s="166" t="s">
        <v>379</v>
      </c>
      <c r="C232" s="403" t="s">
        <v>542</v>
      </c>
      <c r="D232" s="391">
        <v>55</v>
      </c>
    </row>
    <row r="233" spans="1:4" x14ac:dyDescent="0.25">
      <c r="A233" s="390">
        <v>633012</v>
      </c>
      <c r="B233" s="166" t="s">
        <v>380</v>
      </c>
      <c r="C233" s="402" t="s">
        <v>548</v>
      </c>
      <c r="D233" s="391">
        <v>25</v>
      </c>
    </row>
    <row r="234" spans="1:4" x14ac:dyDescent="0.25">
      <c r="A234" s="390">
        <v>633013</v>
      </c>
      <c r="B234" s="166" t="s">
        <v>381</v>
      </c>
      <c r="C234" s="402" t="s">
        <v>548</v>
      </c>
      <c r="D234" s="391">
        <v>25</v>
      </c>
    </row>
    <row r="235" spans="1:4" x14ac:dyDescent="0.25">
      <c r="A235" s="390">
        <v>633014</v>
      </c>
      <c r="B235" s="166" t="s">
        <v>382</v>
      </c>
      <c r="C235" s="402" t="s">
        <v>547</v>
      </c>
      <c r="D235" s="391">
        <v>37</v>
      </c>
    </row>
    <row r="236" spans="1:4" x14ac:dyDescent="0.25">
      <c r="A236" s="390">
        <v>633015</v>
      </c>
      <c r="B236" s="166" t="s">
        <v>383</v>
      </c>
      <c r="C236" s="402" t="s">
        <v>548</v>
      </c>
      <c r="D236" s="391">
        <v>25</v>
      </c>
    </row>
    <row r="237" spans="1:4" x14ac:dyDescent="0.25">
      <c r="A237" s="390">
        <v>633016</v>
      </c>
      <c r="B237" s="166" t="s">
        <v>384</v>
      </c>
      <c r="C237" s="402" t="s">
        <v>548</v>
      </c>
      <c r="D237" s="391">
        <v>25</v>
      </c>
    </row>
    <row r="238" spans="1:4" x14ac:dyDescent="0.25">
      <c r="A238" s="390">
        <v>633017</v>
      </c>
      <c r="B238" s="166" t="s">
        <v>385</v>
      </c>
      <c r="C238" s="402" t="s">
        <v>548</v>
      </c>
      <c r="D238" s="391">
        <v>25</v>
      </c>
    </row>
    <row r="239" spans="1:4" x14ac:dyDescent="0.25">
      <c r="A239" s="390">
        <v>633018</v>
      </c>
      <c r="B239" s="166" t="s">
        <v>285</v>
      </c>
      <c r="C239" s="402" t="s">
        <v>548</v>
      </c>
      <c r="D239" s="391">
        <v>25</v>
      </c>
    </row>
    <row r="240" spans="1:4" x14ac:dyDescent="0.25">
      <c r="A240" s="390">
        <v>633019</v>
      </c>
      <c r="B240" s="166" t="s">
        <v>368</v>
      </c>
      <c r="C240" s="402" t="s">
        <v>548</v>
      </c>
      <c r="D240" s="391">
        <v>25</v>
      </c>
    </row>
    <row r="241" spans="1:4" x14ac:dyDescent="0.25">
      <c r="A241" s="390">
        <v>633200</v>
      </c>
      <c r="B241" s="166" t="s">
        <v>386</v>
      </c>
      <c r="C241" s="402" t="s">
        <v>548</v>
      </c>
      <c r="D241" s="391">
        <v>25</v>
      </c>
    </row>
    <row r="242" spans="1:4" x14ac:dyDescent="0.25">
      <c r="A242" s="390">
        <v>634000</v>
      </c>
      <c r="B242" s="166" t="s">
        <v>387</v>
      </c>
      <c r="C242" s="402" t="s">
        <v>548</v>
      </c>
      <c r="D242" s="391">
        <v>25</v>
      </c>
    </row>
    <row r="243" spans="1:4" x14ac:dyDescent="0.25">
      <c r="A243" s="390">
        <v>634001</v>
      </c>
      <c r="B243" s="166" t="s">
        <v>388</v>
      </c>
      <c r="C243" s="402" t="s">
        <v>548</v>
      </c>
      <c r="D243" s="391">
        <v>25</v>
      </c>
    </row>
    <row r="244" spans="1:4" x14ac:dyDescent="0.25">
      <c r="A244" s="390">
        <v>634002</v>
      </c>
      <c r="B244" s="166" t="s">
        <v>389</v>
      </c>
      <c r="C244" s="402" t="s">
        <v>548</v>
      </c>
      <c r="D244" s="391">
        <v>25</v>
      </c>
    </row>
    <row r="245" spans="1:4" x14ac:dyDescent="0.25">
      <c r="A245" s="390">
        <v>634003</v>
      </c>
      <c r="B245" s="166" t="s">
        <v>390</v>
      </c>
      <c r="C245" s="402" t="s">
        <v>548</v>
      </c>
      <c r="D245" s="391">
        <v>25</v>
      </c>
    </row>
    <row r="246" spans="1:4" x14ac:dyDescent="0.25">
      <c r="A246" s="390">
        <v>634004</v>
      </c>
      <c r="B246" s="166" t="s">
        <v>391</v>
      </c>
      <c r="C246" s="402" t="s">
        <v>548</v>
      </c>
      <c r="D246" s="391">
        <v>25</v>
      </c>
    </row>
    <row r="247" spans="1:4" x14ac:dyDescent="0.25">
      <c r="A247" s="390">
        <v>634005</v>
      </c>
      <c r="B247" s="166" t="s">
        <v>392</v>
      </c>
      <c r="C247" s="402" t="s">
        <v>548</v>
      </c>
      <c r="D247" s="391">
        <v>25</v>
      </c>
    </row>
    <row r="248" spans="1:4" x14ac:dyDescent="0.25">
      <c r="A248" s="390">
        <v>634006</v>
      </c>
      <c r="B248" s="166" t="s">
        <v>378</v>
      </c>
      <c r="C248" s="402" t="s">
        <v>548</v>
      </c>
      <c r="D248" s="391">
        <v>25</v>
      </c>
    </row>
    <row r="249" spans="1:4" x14ac:dyDescent="0.25">
      <c r="A249" s="390">
        <v>635000</v>
      </c>
      <c r="B249" s="166" t="s">
        <v>393</v>
      </c>
      <c r="C249" s="402" t="s">
        <v>548</v>
      </c>
      <c r="D249" s="391">
        <v>25</v>
      </c>
    </row>
    <row r="250" spans="1:4" x14ac:dyDescent="0.25">
      <c r="A250" s="390">
        <v>635001</v>
      </c>
      <c r="B250" s="166" t="s">
        <v>394</v>
      </c>
      <c r="C250" s="402" t="s">
        <v>548</v>
      </c>
      <c r="D250" s="391">
        <v>25</v>
      </c>
    </row>
    <row r="251" spans="1:4" x14ac:dyDescent="0.25">
      <c r="A251" s="390">
        <v>635002</v>
      </c>
      <c r="B251" s="166" t="s">
        <v>395</v>
      </c>
      <c r="C251" s="402" t="s">
        <v>548</v>
      </c>
      <c r="D251" s="391">
        <v>25</v>
      </c>
    </row>
    <row r="252" spans="1:4" x14ac:dyDescent="0.25">
      <c r="A252" s="396">
        <v>635003</v>
      </c>
      <c r="B252" s="204" t="s">
        <v>396</v>
      </c>
      <c r="C252" s="402" t="s">
        <v>548</v>
      </c>
      <c r="D252" s="391">
        <v>25</v>
      </c>
    </row>
    <row r="253" spans="1:4" x14ac:dyDescent="0.25">
      <c r="A253" s="396">
        <v>635004</v>
      </c>
      <c r="B253" s="204" t="s">
        <v>397</v>
      </c>
      <c r="C253" s="402" t="s">
        <v>548</v>
      </c>
      <c r="D253" s="391">
        <v>25</v>
      </c>
    </row>
    <row r="254" spans="1:4" x14ac:dyDescent="0.25">
      <c r="A254" s="390">
        <v>635005</v>
      </c>
      <c r="B254" s="166" t="s">
        <v>398</v>
      </c>
      <c r="C254" s="402" t="s">
        <v>548</v>
      </c>
      <c r="D254" s="391">
        <v>25</v>
      </c>
    </row>
    <row r="255" spans="1:4" x14ac:dyDescent="0.25">
      <c r="A255" s="390">
        <v>635006</v>
      </c>
      <c r="B255" s="166" t="s">
        <v>186</v>
      </c>
      <c r="C255" s="402" t="s">
        <v>548</v>
      </c>
      <c r="D255" s="391">
        <v>25</v>
      </c>
    </row>
    <row r="256" spans="1:4" x14ac:dyDescent="0.25">
      <c r="A256" s="390">
        <v>635007</v>
      </c>
      <c r="B256" s="166" t="s">
        <v>399</v>
      </c>
      <c r="C256" s="402" t="s">
        <v>548</v>
      </c>
      <c r="D256" s="391">
        <v>25</v>
      </c>
    </row>
    <row r="257" spans="1:4" x14ac:dyDescent="0.25">
      <c r="A257" s="390">
        <v>635008</v>
      </c>
      <c r="B257" s="166" t="s">
        <v>400</v>
      </c>
      <c r="C257" s="402" t="s">
        <v>548</v>
      </c>
      <c r="D257" s="391">
        <v>25</v>
      </c>
    </row>
    <row r="258" spans="1:4" x14ac:dyDescent="0.25">
      <c r="A258" s="390">
        <v>635009</v>
      </c>
      <c r="B258" s="166" t="s">
        <v>401</v>
      </c>
      <c r="C258" s="402" t="s">
        <v>548</v>
      </c>
      <c r="D258" s="391">
        <v>25</v>
      </c>
    </row>
    <row r="259" spans="1:4" x14ac:dyDescent="0.25">
      <c r="A259" s="390">
        <v>635010</v>
      </c>
      <c r="B259" s="166" t="s">
        <v>402</v>
      </c>
      <c r="C259" s="402" t="s">
        <v>548</v>
      </c>
      <c r="D259" s="391">
        <v>25</v>
      </c>
    </row>
    <row r="260" spans="1:4" x14ac:dyDescent="0.25">
      <c r="A260" s="390">
        <v>635200</v>
      </c>
      <c r="B260" s="166" t="s">
        <v>403</v>
      </c>
      <c r="C260" s="402" t="s">
        <v>548</v>
      </c>
      <c r="D260" s="391">
        <v>25</v>
      </c>
    </row>
    <row r="261" spans="1:4" x14ac:dyDescent="0.25">
      <c r="A261" s="390">
        <v>636000</v>
      </c>
      <c r="B261" s="166" t="s">
        <v>404</v>
      </c>
      <c r="C261" s="402" t="s">
        <v>548</v>
      </c>
      <c r="D261" s="391">
        <v>25</v>
      </c>
    </row>
    <row r="262" spans="1:4" x14ac:dyDescent="0.25">
      <c r="A262" s="390">
        <v>636001</v>
      </c>
      <c r="B262" s="166" t="s">
        <v>186</v>
      </c>
      <c r="C262" s="402" t="s">
        <v>661</v>
      </c>
      <c r="D262" s="391" t="s">
        <v>662</v>
      </c>
    </row>
    <row r="263" spans="1:4" x14ac:dyDescent="0.25">
      <c r="A263" s="390">
        <v>636002</v>
      </c>
      <c r="B263" s="166" t="s">
        <v>397</v>
      </c>
      <c r="C263" s="402" t="s">
        <v>548</v>
      </c>
      <c r="D263" s="391">
        <v>25</v>
      </c>
    </row>
    <row r="264" spans="1:4" x14ac:dyDescent="0.25">
      <c r="A264" s="390">
        <v>636003</v>
      </c>
      <c r="B264" s="166" t="s">
        <v>405</v>
      </c>
      <c r="C264" s="402" t="s">
        <v>548</v>
      </c>
      <c r="D264" s="391">
        <v>25</v>
      </c>
    </row>
    <row r="265" spans="1:4" x14ac:dyDescent="0.25">
      <c r="A265" s="390">
        <v>636004</v>
      </c>
      <c r="B265" s="166" t="s">
        <v>406</v>
      </c>
      <c r="C265" s="402" t="s">
        <v>548</v>
      </c>
      <c r="D265" s="391">
        <v>25</v>
      </c>
    </row>
    <row r="266" spans="1:4" x14ac:dyDescent="0.25">
      <c r="A266" s="390">
        <v>636005</v>
      </c>
      <c r="B266" s="166" t="s">
        <v>407</v>
      </c>
      <c r="C266" s="402" t="s">
        <v>548</v>
      </c>
      <c r="D266" s="391">
        <v>25</v>
      </c>
    </row>
    <row r="267" spans="1:4" x14ac:dyDescent="0.25">
      <c r="A267" s="390">
        <v>636006</v>
      </c>
      <c r="B267" s="166" t="s">
        <v>395</v>
      </c>
      <c r="C267" s="402" t="s">
        <v>548</v>
      </c>
      <c r="D267" s="391">
        <v>25</v>
      </c>
    </row>
    <row r="268" spans="1:4" x14ac:dyDescent="0.25">
      <c r="A268" s="390">
        <v>636007</v>
      </c>
      <c r="B268" s="166" t="s">
        <v>401</v>
      </c>
      <c r="C268" s="402" t="s">
        <v>548</v>
      </c>
      <c r="D268" s="391">
        <v>25</v>
      </c>
    </row>
    <row r="269" spans="1:4" x14ac:dyDescent="0.25">
      <c r="A269" s="390">
        <v>636008</v>
      </c>
      <c r="B269" s="166" t="s">
        <v>402</v>
      </c>
      <c r="C269" s="402" t="s">
        <v>548</v>
      </c>
      <c r="D269" s="391">
        <v>25</v>
      </c>
    </row>
    <row r="270" spans="1:4" x14ac:dyDescent="0.25">
      <c r="A270" s="390">
        <v>637000</v>
      </c>
      <c r="B270" s="166" t="s">
        <v>408</v>
      </c>
      <c r="C270" s="402" t="s">
        <v>548</v>
      </c>
      <c r="D270" s="391">
        <v>25</v>
      </c>
    </row>
    <row r="271" spans="1:4" x14ac:dyDescent="0.25">
      <c r="A271" s="390">
        <v>637001</v>
      </c>
      <c r="B271" s="166" t="s">
        <v>409</v>
      </c>
      <c r="C271" s="402" t="s">
        <v>549</v>
      </c>
      <c r="D271" s="391">
        <v>39</v>
      </c>
    </row>
    <row r="272" spans="1:4" x14ac:dyDescent="0.25">
      <c r="A272" s="390">
        <v>637002</v>
      </c>
      <c r="B272" s="166" t="s">
        <v>410</v>
      </c>
      <c r="C272" s="402" t="s">
        <v>548</v>
      </c>
      <c r="D272" s="391">
        <v>25</v>
      </c>
    </row>
    <row r="273" spans="1:4" x14ac:dyDescent="0.25">
      <c r="A273" s="390">
        <v>637003</v>
      </c>
      <c r="B273" s="166" t="s">
        <v>411</v>
      </c>
      <c r="C273" s="402" t="s">
        <v>548</v>
      </c>
      <c r="D273" s="391">
        <v>25</v>
      </c>
    </row>
    <row r="274" spans="1:4" x14ac:dyDescent="0.25">
      <c r="A274" s="390">
        <v>637004</v>
      </c>
      <c r="B274" s="166" t="s">
        <v>412</v>
      </c>
      <c r="C274" s="402" t="s">
        <v>661</v>
      </c>
      <c r="D274" s="391" t="s">
        <v>662</v>
      </c>
    </row>
    <row r="275" spans="1:4" ht="25.5" x14ac:dyDescent="0.25">
      <c r="A275" s="390">
        <v>637005</v>
      </c>
      <c r="B275" s="166" t="s">
        <v>413</v>
      </c>
      <c r="C275" s="403" t="s">
        <v>553</v>
      </c>
      <c r="D275" s="391">
        <v>6</v>
      </c>
    </row>
    <row r="276" spans="1:4" x14ac:dyDescent="0.25">
      <c r="A276" s="390">
        <v>637006</v>
      </c>
      <c r="B276" s="166" t="s">
        <v>414</v>
      </c>
      <c r="C276" s="402" t="s">
        <v>548</v>
      </c>
      <c r="D276" s="391">
        <v>25</v>
      </c>
    </row>
    <row r="277" spans="1:4" x14ac:dyDescent="0.25">
      <c r="A277" s="390">
        <v>637007</v>
      </c>
      <c r="B277" s="166" t="s">
        <v>359</v>
      </c>
      <c r="C277" s="402" t="s">
        <v>548</v>
      </c>
      <c r="D277" s="391">
        <v>25</v>
      </c>
    </row>
    <row r="278" spans="1:4" x14ac:dyDescent="0.25">
      <c r="A278" s="390">
        <v>637008</v>
      </c>
      <c r="B278" s="166" t="s">
        <v>415</v>
      </c>
      <c r="C278" s="402" t="s">
        <v>661</v>
      </c>
      <c r="D278" s="391" t="s">
        <v>662</v>
      </c>
    </row>
    <row r="279" spans="1:4" x14ac:dyDescent="0.25">
      <c r="A279" s="390">
        <v>637009</v>
      </c>
      <c r="B279" s="166" t="s">
        <v>416</v>
      </c>
      <c r="C279" s="402" t="s">
        <v>549</v>
      </c>
      <c r="D279" s="391">
        <v>39</v>
      </c>
    </row>
    <row r="280" spans="1:4" x14ac:dyDescent="0.25">
      <c r="A280" s="390">
        <v>637010</v>
      </c>
      <c r="B280" s="166" t="s">
        <v>417</v>
      </c>
      <c r="C280" s="402" t="s">
        <v>548</v>
      </c>
      <c r="D280" s="391">
        <v>25</v>
      </c>
    </row>
    <row r="281" spans="1:4" x14ac:dyDescent="0.25">
      <c r="A281" s="390">
        <v>637011</v>
      </c>
      <c r="B281" s="166" t="s">
        <v>418</v>
      </c>
      <c r="C281" s="402" t="s">
        <v>661</v>
      </c>
      <c r="D281" s="391" t="s">
        <v>662</v>
      </c>
    </row>
    <row r="282" spans="1:4" x14ac:dyDescent="0.25">
      <c r="A282" s="390">
        <v>637012</v>
      </c>
      <c r="B282" s="166" t="s">
        <v>161</v>
      </c>
      <c r="C282" s="402" t="s">
        <v>661</v>
      </c>
      <c r="D282" s="391" t="s">
        <v>662</v>
      </c>
    </row>
    <row r="283" spans="1:4" x14ac:dyDescent="0.25">
      <c r="A283" s="390">
        <v>637013</v>
      </c>
      <c r="B283" s="166" t="s">
        <v>419</v>
      </c>
      <c r="C283" s="402" t="s">
        <v>549</v>
      </c>
      <c r="D283" s="391">
        <v>39</v>
      </c>
    </row>
    <row r="284" spans="1:4" x14ac:dyDescent="0.25">
      <c r="A284" s="390">
        <v>637014</v>
      </c>
      <c r="B284" s="166" t="s">
        <v>420</v>
      </c>
      <c r="C284" s="402" t="s">
        <v>548</v>
      </c>
      <c r="D284" s="391">
        <v>25</v>
      </c>
    </row>
    <row r="285" spans="1:4" x14ac:dyDescent="0.25">
      <c r="A285" s="390">
        <v>637015</v>
      </c>
      <c r="B285" s="166" t="s">
        <v>260</v>
      </c>
      <c r="C285" s="402" t="s">
        <v>548</v>
      </c>
      <c r="D285" s="391">
        <v>25</v>
      </c>
    </row>
    <row r="286" spans="1:4" x14ac:dyDescent="0.25">
      <c r="A286" s="390">
        <v>637016</v>
      </c>
      <c r="B286" s="166" t="s">
        <v>421</v>
      </c>
      <c r="C286" s="402" t="s">
        <v>549</v>
      </c>
      <c r="D286" s="391">
        <v>39</v>
      </c>
    </row>
    <row r="287" spans="1:4" x14ac:dyDescent="0.25">
      <c r="A287" s="390">
        <v>637017</v>
      </c>
      <c r="B287" s="166" t="s">
        <v>422</v>
      </c>
      <c r="C287" s="402" t="s">
        <v>548</v>
      </c>
      <c r="D287" s="391">
        <v>25</v>
      </c>
    </row>
    <row r="288" spans="1:4" x14ac:dyDescent="0.25">
      <c r="A288" s="390">
        <v>637018</v>
      </c>
      <c r="B288" s="166" t="s">
        <v>423</v>
      </c>
      <c r="C288" s="402" t="s">
        <v>550</v>
      </c>
      <c r="D288" s="391">
        <v>9</v>
      </c>
    </row>
    <row r="289" spans="1:4" x14ac:dyDescent="0.25">
      <c r="A289" s="390">
        <v>637019</v>
      </c>
      <c r="B289" s="166" t="s">
        <v>424</v>
      </c>
      <c r="C289" s="402" t="s">
        <v>548</v>
      </c>
      <c r="D289" s="391">
        <v>25</v>
      </c>
    </row>
    <row r="290" spans="1:4" x14ac:dyDescent="0.25">
      <c r="A290" s="390">
        <v>637020</v>
      </c>
      <c r="B290" s="166" t="s">
        <v>425</v>
      </c>
      <c r="C290" s="402" t="s">
        <v>550</v>
      </c>
      <c r="D290" s="391">
        <v>9</v>
      </c>
    </row>
    <row r="291" spans="1:4" x14ac:dyDescent="0.25">
      <c r="A291" s="390">
        <v>637021</v>
      </c>
      <c r="B291" s="166" t="s">
        <v>426</v>
      </c>
      <c r="C291" s="402" t="s">
        <v>548</v>
      </c>
      <c r="D291" s="391">
        <v>25</v>
      </c>
    </row>
    <row r="292" spans="1:4" x14ac:dyDescent="0.25">
      <c r="A292" s="390">
        <v>637022</v>
      </c>
      <c r="B292" s="166" t="s">
        <v>427</v>
      </c>
      <c r="C292" s="402" t="s">
        <v>548</v>
      </c>
      <c r="D292" s="391">
        <v>25</v>
      </c>
    </row>
    <row r="293" spans="1:4" x14ac:dyDescent="0.25">
      <c r="A293" s="390">
        <v>637023</v>
      </c>
      <c r="B293" s="166" t="s">
        <v>428</v>
      </c>
      <c r="C293" s="403" t="s">
        <v>543</v>
      </c>
      <c r="D293" s="391">
        <v>22</v>
      </c>
    </row>
    <row r="294" spans="1:4" x14ac:dyDescent="0.25">
      <c r="A294" s="396">
        <v>637024</v>
      </c>
      <c r="B294" s="204" t="s">
        <v>429</v>
      </c>
      <c r="C294" s="403" t="s">
        <v>530</v>
      </c>
      <c r="D294" s="391">
        <v>2</v>
      </c>
    </row>
    <row r="295" spans="1:4" x14ac:dyDescent="0.25">
      <c r="A295" s="396">
        <v>637025</v>
      </c>
      <c r="B295" s="204" t="s">
        <v>430</v>
      </c>
      <c r="C295" s="402" t="s">
        <v>550</v>
      </c>
      <c r="D295" s="391">
        <v>9</v>
      </c>
    </row>
    <row r="296" spans="1:4" x14ac:dyDescent="0.25">
      <c r="A296" s="396">
        <v>637026</v>
      </c>
      <c r="B296" s="204" t="s">
        <v>431</v>
      </c>
      <c r="C296" s="402" t="s">
        <v>551</v>
      </c>
      <c r="D296" s="391">
        <v>39</v>
      </c>
    </row>
    <row r="297" spans="1:4" x14ac:dyDescent="0.25">
      <c r="A297" s="390">
        <v>637027</v>
      </c>
      <c r="B297" s="166" t="s">
        <v>432</v>
      </c>
      <c r="C297" s="402" t="s">
        <v>551</v>
      </c>
      <c r="D297" s="391">
        <v>39</v>
      </c>
    </row>
    <row r="298" spans="1:4" x14ac:dyDescent="0.25">
      <c r="A298" s="396">
        <v>637028</v>
      </c>
      <c r="B298" s="204" t="s">
        <v>433</v>
      </c>
      <c r="C298" s="402" t="s">
        <v>550</v>
      </c>
      <c r="D298" s="391">
        <v>9</v>
      </c>
    </row>
    <row r="299" spans="1:4" x14ac:dyDescent="0.25">
      <c r="A299" s="390">
        <v>637029</v>
      </c>
      <c r="B299" s="166" t="s">
        <v>434</v>
      </c>
      <c r="C299" s="402" t="s">
        <v>550</v>
      </c>
      <c r="D299" s="391">
        <v>9</v>
      </c>
    </row>
    <row r="300" spans="1:4" x14ac:dyDescent="0.25">
      <c r="A300" s="390">
        <v>637030</v>
      </c>
      <c r="B300" s="166" t="s">
        <v>435</v>
      </c>
      <c r="C300" s="402" t="s">
        <v>550</v>
      </c>
      <c r="D300" s="391">
        <v>9</v>
      </c>
    </row>
    <row r="301" spans="1:4" x14ac:dyDescent="0.25">
      <c r="A301" s="390">
        <v>637031</v>
      </c>
      <c r="B301" s="166" t="s">
        <v>436</v>
      </c>
      <c r="C301" s="402" t="s">
        <v>550</v>
      </c>
      <c r="D301" s="391">
        <v>9</v>
      </c>
    </row>
    <row r="302" spans="1:4" x14ac:dyDescent="0.25">
      <c r="A302" s="390">
        <v>637032</v>
      </c>
      <c r="B302" s="166" t="s">
        <v>437</v>
      </c>
      <c r="C302" s="402" t="s">
        <v>550</v>
      </c>
      <c r="D302" s="391">
        <v>9</v>
      </c>
    </row>
    <row r="303" spans="1:4" x14ac:dyDescent="0.25">
      <c r="A303" s="390">
        <v>637033</v>
      </c>
      <c r="B303" s="166" t="s">
        <v>438</v>
      </c>
      <c r="C303" s="402" t="s">
        <v>550</v>
      </c>
      <c r="D303" s="391">
        <v>9</v>
      </c>
    </row>
    <row r="304" spans="1:4" x14ac:dyDescent="0.25">
      <c r="A304" s="390">
        <v>637034</v>
      </c>
      <c r="B304" s="166" t="s">
        <v>143</v>
      </c>
      <c r="C304" s="402" t="s">
        <v>661</v>
      </c>
      <c r="D304" s="391" t="s">
        <v>662</v>
      </c>
    </row>
    <row r="305" spans="1:4" x14ac:dyDescent="0.25">
      <c r="A305" s="390">
        <v>637035</v>
      </c>
      <c r="B305" s="166" t="s">
        <v>439</v>
      </c>
      <c r="C305" s="403" t="s">
        <v>552</v>
      </c>
      <c r="D305" s="391">
        <v>25</v>
      </c>
    </row>
    <row r="306" spans="1:4" x14ac:dyDescent="0.25">
      <c r="A306" s="390">
        <v>637036</v>
      </c>
      <c r="B306" s="166" t="s">
        <v>440</v>
      </c>
      <c r="C306" s="403" t="s">
        <v>552</v>
      </c>
      <c r="D306" s="391">
        <v>25</v>
      </c>
    </row>
    <row r="307" spans="1:4" x14ac:dyDescent="0.25">
      <c r="A307" s="390">
        <v>637037</v>
      </c>
      <c r="B307" s="166" t="s">
        <v>441</v>
      </c>
      <c r="C307" s="402" t="s">
        <v>550</v>
      </c>
      <c r="D307" s="391">
        <v>9</v>
      </c>
    </row>
    <row r="308" spans="1:4" x14ac:dyDescent="0.25">
      <c r="A308" s="390">
        <v>637200</v>
      </c>
      <c r="B308" s="166" t="s">
        <v>146</v>
      </c>
      <c r="C308" s="402" t="s">
        <v>550</v>
      </c>
      <c r="D308" s="391">
        <v>9</v>
      </c>
    </row>
    <row r="309" spans="1:4" x14ac:dyDescent="0.25">
      <c r="A309" s="390">
        <v>641000</v>
      </c>
      <c r="B309" s="166" t="s">
        <v>328</v>
      </c>
      <c r="C309" s="402" t="s">
        <v>530</v>
      </c>
      <c r="D309" s="391">
        <v>2</v>
      </c>
    </row>
    <row r="310" spans="1:4" x14ac:dyDescent="0.25">
      <c r="A310" s="393">
        <v>641001</v>
      </c>
      <c r="B310" s="128" t="s">
        <v>610</v>
      </c>
      <c r="C310" s="402" t="s">
        <v>530</v>
      </c>
      <c r="D310" s="391">
        <v>2</v>
      </c>
    </row>
    <row r="311" spans="1:4" x14ac:dyDescent="0.25">
      <c r="A311" s="393">
        <v>641002</v>
      </c>
      <c r="B311" s="128" t="s">
        <v>611</v>
      </c>
      <c r="C311" s="402" t="s">
        <v>530</v>
      </c>
      <c r="D311" s="391">
        <v>2</v>
      </c>
    </row>
    <row r="312" spans="1:4" x14ac:dyDescent="0.25">
      <c r="A312" s="393">
        <v>641003</v>
      </c>
      <c r="B312" s="128" t="s">
        <v>612</v>
      </c>
      <c r="C312" s="402" t="s">
        <v>530</v>
      </c>
      <c r="D312" s="391">
        <v>2</v>
      </c>
    </row>
    <row r="313" spans="1:4" x14ac:dyDescent="0.25">
      <c r="A313" s="393">
        <v>641006</v>
      </c>
      <c r="B313" s="128" t="s">
        <v>613</v>
      </c>
      <c r="C313" s="402" t="s">
        <v>530</v>
      </c>
      <c r="D313" s="391">
        <v>2</v>
      </c>
    </row>
    <row r="314" spans="1:4" x14ac:dyDescent="0.25">
      <c r="A314" s="393">
        <v>641008</v>
      </c>
      <c r="B314" s="128" t="s">
        <v>614</v>
      </c>
      <c r="C314" s="402" t="s">
        <v>530</v>
      </c>
      <c r="D314" s="391">
        <v>2</v>
      </c>
    </row>
    <row r="315" spans="1:4" x14ac:dyDescent="0.25">
      <c r="A315" s="393">
        <v>641009</v>
      </c>
      <c r="B315" s="128" t="s">
        <v>615</v>
      </c>
      <c r="C315" s="402" t="s">
        <v>530</v>
      </c>
      <c r="D315" s="391">
        <v>2</v>
      </c>
    </row>
    <row r="316" spans="1:4" x14ac:dyDescent="0.25">
      <c r="A316" s="393">
        <v>641010</v>
      </c>
      <c r="B316" s="128" t="s">
        <v>616</v>
      </c>
      <c r="C316" s="402" t="s">
        <v>530</v>
      </c>
      <c r="D316" s="391">
        <v>2</v>
      </c>
    </row>
    <row r="317" spans="1:4" x14ac:dyDescent="0.25">
      <c r="A317" s="393">
        <v>641011</v>
      </c>
      <c r="B317" s="128" t="s">
        <v>617</v>
      </c>
      <c r="C317" s="402" t="s">
        <v>530</v>
      </c>
      <c r="D317" s="391">
        <v>2</v>
      </c>
    </row>
    <row r="318" spans="1:4" x14ac:dyDescent="0.25">
      <c r="A318" s="393">
        <v>641012</v>
      </c>
      <c r="B318" s="128" t="s">
        <v>618</v>
      </c>
      <c r="C318" s="402" t="s">
        <v>530</v>
      </c>
      <c r="D318" s="391">
        <v>2</v>
      </c>
    </row>
    <row r="319" spans="1:4" x14ac:dyDescent="0.25">
      <c r="A319" s="393">
        <v>641013</v>
      </c>
      <c r="B319" s="128" t="s">
        <v>619</v>
      </c>
      <c r="C319" s="402" t="s">
        <v>530</v>
      </c>
      <c r="D319" s="391">
        <v>2</v>
      </c>
    </row>
    <row r="320" spans="1:4" x14ac:dyDescent="0.25">
      <c r="A320" s="393">
        <v>641014</v>
      </c>
      <c r="B320" s="128" t="s">
        <v>1190</v>
      </c>
      <c r="C320" s="402" t="s">
        <v>530</v>
      </c>
      <c r="D320" s="391">
        <v>2</v>
      </c>
    </row>
    <row r="321" spans="1:4" x14ac:dyDescent="0.25">
      <c r="A321" s="393">
        <v>642000</v>
      </c>
      <c r="B321" s="128" t="s">
        <v>835</v>
      </c>
      <c r="C321" s="403" t="s">
        <v>548</v>
      </c>
      <c r="D321" s="391">
        <v>25</v>
      </c>
    </row>
    <row r="322" spans="1:4" ht="25.5" x14ac:dyDescent="0.25">
      <c r="A322" s="390">
        <v>642001</v>
      </c>
      <c r="B322" s="166" t="s">
        <v>442</v>
      </c>
      <c r="C322" s="403" t="s">
        <v>553</v>
      </c>
      <c r="D322" s="391">
        <v>6</v>
      </c>
    </row>
    <row r="323" spans="1:4" ht="25.5" x14ac:dyDescent="0.25">
      <c r="A323" s="390">
        <v>642002</v>
      </c>
      <c r="B323" s="166" t="s">
        <v>443</v>
      </c>
      <c r="C323" s="403" t="s">
        <v>553</v>
      </c>
      <c r="D323" s="391">
        <v>6</v>
      </c>
    </row>
    <row r="324" spans="1:4" ht="25.5" x14ac:dyDescent="0.25">
      <c r="A324" s="390">
        <v>642004</v>
      </c>
      <c r="B324" s="166" t="s">
        <v>444</v>
      </c>
      <c r="C324" s="402" t="s">
        <v>554</v>
      </c>
      <c r="D324" s="391">
        <v>24</v>
      </c>
    </row>
    <row r="325" spans="1:4" ht="25.5" x14ac:dyDescent="0.25">
      <c r="A325" s="390">
        <v>642005</v>
      </c>
      <c r="B325" s="166" t="s">
        <v>445</v>
      </c>
      <c r="C325" s="402" t="s">
        <v>554</v>
      </c>
      <c r="D325" s="391">
        <v>24</v>
      </c>
    </row>
    <row r="326" spans="1:4" x14ac:dyDescent="0.25">
      <c r="A326" s="390">
        <v>642006</v>
      </c>
      <c r="B326" s="166" t="s">
        <v>446</v>
      </c>
      <c r="C326" s="403" t="s">
        <v>548</v>
      </c>
      <c r="D326" s="391">
        <v>25</v>
      </c>
    </row>
    <row r="327" spans="1:4" ht="25.5" x14ac:dyDescent="0.25">
      <c r="A327" s="390">
        <v>642007</v>
      </c>
      <c r="B327" s="166" t="s">
        <v>447</v>
      </c>
      <c r="C327" s="402" t="s">
        <v>553</v>
      </c>
      <c r="D327" s="391">
        <v>6</v>
      </c>
    </row>
    <row r="328" spans="1:4" x14ac:dyDescent="0.25">
      <c r="A328" s="390">
        <v>642008</v>
      </c>
      <c r="B328" s="166" t="s">
        <v>163</v>
      </c>
      <c r="C328" s="402" t="s">
        <v>661</v>
      </c>
      <c r="D328" s="391" t="s">
        <v>662</v>
      </c>
    </row>
    <row r="329" spans="1:4" ht="25.5" x14ac:dyDescent="0.25">
      <c r="A329" s="390">
        <v>642009</v>
      </c>
      <c r="B329" s="166" t="s">
        <v>448</v>
      </c>
      <c r="C329" s="403" t="s">
        <v>553</v>
      </c>
      <c r="D329" s="391">
        <v>6</v>
      </c>
    </row>
    <row r="330" spans="1:4" ht="51" x14ac:dyDescent="0.25">
      <c r="A330" s="390">
        <v>642010</v>
      </c>
      <c r="B330" s="166" t="s">
        <v>449</v>
      </c>
      <c r="C330" s="404" t="s">
        <v>555</v>
      </c>
      <c r="D330" s="391" t="s">
        <v>662</v>
      </c>
    </row>
    <row r="331" spans="1:4" x14ac:dyDescent="0.25">
      <c r="A331" s="390">
        <v>642011</v>
      </c>
      <c r="B331" s="166" t="s">
        <v>450</v>
      </c>
      <c r="C331" s="403" t="s">
        <v>1121</v>
      </c>
      <c r="D331" s="391">
        <v>25</v>
      </c>
    </row>
    <row r="332" spans="1:4" ht="25.5" x14ac:dyDescent="0.25">
      <c r="A332" s="390">
        <v>642012</v>
      </c>
      <c r="B332" s="166" t="s">
        <v>451</v>
      </c>
      <c r="C332" s="402" t="s">
        <v>584</v>
      </c>
      <c r="D332" s="391">
        <v>43</v>
      </c>
    </row>
    <row r="333" spans="1:4" ht="25.5" x14ac:dyDescent="0.25">
      <c r="A333" s="390">
        <v>642013</v>
      </c>
      <c r="B333" s="166" t="s">
        <v>452</v>
      </c>
      <c r="C333" s="402" t="s">
        <v>655</v>
      </c>
      <c r="D333" s="391">
        <v>43</v>
      </c>
    </row>
    <row r="334" spans="1:4" x14ac:dyDescent="0.25">
      <c r="A334" s="390">
        <v>642014</v>
      </c>
      <c r="B334" s="166" t="s">
        <v>453</v>
      </c>
      <c r="C334" s="403" t="s">
        <v>1121</v>
      </c>
      <c r="D334" s="391">
        <v>25</v>
      </c>
    </row>
    <row r="335" spans="1:4" x14ac:dyDescent="0.25">
      <c r="A335" s="390">
        <v>642015</v>
      </c>
      <c r="B335" s="166" t="s">
        <v>167</v>
      </c>
      <c r="C335" s="402" t="s">
        <v>661</v>
      </c>
      <c r="D335" s="391" t="s">
        <v>662</v>
      </c>
    </row>
    <row r="336" spans="1:4" x14ac:dyDescent="0.25">
      <c r="A336" s="390">
        <v>642016</v>
      </c>
      <c r="B336" s="166" t="s">
        <v>137</v>
      </c>
      <c r="C336" s="402" t="s">
        <v>661</v>
      </c>
      <c r="D336" s="391" t="s">
        <v>662</v>
      </c>
    </row>
    <row r="337" spans="1:4" ht="25.5" x14ac:dyDescent="0.25">
      <c r="A337" s="390">
        <v>642017</v>
      </c>
      <c r="B337" s="166" t="s">
        <v>454</v>
      </c>
      <c r="C337" s="403" t="s">
        <v>553</v>
      </c>
      <c r="D337" s="391">
        <v>6</v>
      </c>
    </row>
    <row r="338" spans="1:4" x14ac:dyDescent="0.25">
      <c r="A338" s="390">
        <v>642018</v>
      </c>
      <c r="B338" s="166" t="s">
        <v>173</v>
      </c>
      <c r="C338" s="402" t="s">
        <v>661</v>
      </c>
      <c r="D338" s="391" t="s">
        <v>662</v>
      </c>
    </row>
    <row r="339" spans="1:4" ht="25.5" x14ac:dyDescent="0.25">
      <c r="A339" s="390">
        <v>642019</v>
      </c>
      <c r="B339" s="166" t="s">
        <v>455</v>
      </c>
      <c r="C339" s="403" t="s">
        <v>557</v>
      </c>
      <c r="D339" s="391">
        <v>50</v>
      </c>
    </row>
    <row r="340" spans="1:4" x14ac:dyDescent="0.25">
      <c r="A340" s="390">
        <v>642020</v>
      </c>
      <c r="B340" s="166" t="s">
        <v>140</v>
      </c>
      <c r="C340" s="402" t="s">
        <v>661</v>
      </c>
      <c r="D340" s="391" t="s">
        <v>662</v>
      </c>
    </row>
    <row r="341" spans="1:4" ht="25.5" x14ac:dyDescent="0.25">
      <c r="A341" s="390">
        <v>642022</v>
      </c>
      <c r="B341" s="166" t="s">
        <v>456</v>
      </c>
      <c r="C341" s="403" t="s">
        <v>558</v>
      </c>
      <c r="D341" s="391">
        <v>53</v>
      </c>
    </row>
    <row r="342" spans="1:4" s="28" customFormat="1" ht="25.5" x14ac:dyDescent="0.25">
      <c r="A342" s="390">
        <v>642023</v>
      </c>
      <c r="B342" s="166" t="s">
        <v>457</v>
      </c>
      <c r="C342" s="403" t="s">
        <v>559</v>
      </c>
      <c r="D342" s="391">
        <v>54</v>
      </c>
    </row>
    <row r="343" spans="1:4" ht="25.5" x14ac:dyDescent="0.25">
      <c r="A343" s="390">
        <v>642024</v>
      </c>
      <c r="B343" s="166" t="s">
        <v>458</v>
      </c>
      <c r="C343" s="403" t="s">
        <v>557</v>
      </c>
      <c r="D343" s="391">
        <v>50</v>
      </c>
    </row>
    <row r="344" spans="1:4" x14ac:dyDescent="0.25">
      <c r="A344" s="390">
        <v>642026</v>
      </c>
      <c r="B344" s="166" t="s">
        <v>183</v>
      </c>
      <c r="C344" s="402" t="s">
        <v>661</v>
      </c>
      <c r="D344" s="391" t="s">
        <v>662</v>
      </c>
    </row>
    <row r="345" spans="1:4" ht="25.5" x14ac:dyDescent="0.25">
      <c r="A345" s="390">
        <v>642027</v>
      </c>
      <c r="B345" s="166" t="s">
        <v>459</v>
      </c>
      <c r="C345" s="402" t="s">
        <v>560</v>
      </c>
      <c r="D345" s="391">
        <v>30</v>
      </c>
    </row>
    <row r="346" spans="1:4" ht="25.5" x14ac:dyDescent="0.25">
      <c r="A346" s="390">
        <v>642028</v>
      </c>
      <c r="B346" s="166" t="s">
        <v>460</v>
      </c>
      <c r="C346" s="402" t="s">
        <v>1122</v>
      </c>
      <c r="D346" s="391">
        <v>39</v>
      </c>
    </row>
    <row r="347" spans="1:4" x14ac:dyDescent="0.25">
      <c r="A347" s="390">
        <v>642029</v>
      </c>
      <c r="B347" s="166" t="s">
        <v>461</v>
      </c>
      <c r="C347" s="403" t="s">
        <v>550</v>
      </c>
      <c r="D347" s="391">
        <v>9</v>
      </c>
    </row>
    <row r="348" spans="1:4" ht="25.5" x14ac:dyDescent="0.25">
      <c r="A348" s="390">
        <v>642030</v>
      </c>
      <c r="B348" s="166" t="s">
        <v>462</v>
      </c>
      <c r="C348" s="402" t="s">
        <v>553</v>
      </c>
      <c r="D348" s="391">
        <v>6</v>
      </c>
    </row>
    <row r="349" spans="1:4" x14ac:dyDescent="0.25">
      <c r="A349" s="390">
        <v>642031</v>
      </c>
      <c r="B349" s="166" t="s">
        <v>176</v>
      </c>
      <c r="C349" s="402" t="s">
        <v>661</v>
      </c>
      <c r="D349" s="391" t="s">
        <v>662</v>
      </c>
    </row>
    <row r="350" spans="1:4" ht="25.5" x14ac:dyDescent="0.25">
      <c r="A350" s="390">
        <v>642032</v>
      </c>
      <c r="B350" s="166" t="s">
        <v>463</v>
      </c>
      <c r="C350" s="402" t="s">
        <v>656</v>
      </c>
      <c r="D350" s="391">
        <v>44</v>
      </c>
    </row>
    <row r="351" spans="1:4" ht="25.5" x14ac:dyDescent="0.25">
      <c r="A351" s="390">
        <v>642033</v>
      </c>
      <c r="B351" s="166" t="s">
        <v>464</v>
      </c>
      <c r="C351" s="402" t="s">
        <v>656</v>
      </c>
      <c r="D351" s="391">
        <v>44</v>
      </c>
    </row>
    <row r="352" spans="1:4" ht="25.5" x14ac:dyDescent="0.25">
      <c r="A352" s="390">
        <v>642035</v>
      </c>
      <c r="B352" s="166" t="s">
        <v>465</v>
      </c>
      <c r="C352" s="402" t="s">
        <v>565</v>
      </c>
      <c r="D352" s="391">
        <v>6</v>
      </c>
    </row>
    <row r="353" spans="1:4" ht="25.5" x14ac:dyDescent="0.25">
      <c r="A353" s="390">
        <v>642036</v>
      </c>
      <c r="B353" s="166" t="s">
        <v>466</v>
      </c>
      <c r="C353" s="402" t="s">
        <v>564</v>
      </c>
      <c r="D353" s="391">
        <v>27</v>
      </c>
    </row>
    <row r="354" spans="1:4" ht="25.5" x14ac:dyDescent="0.25">
      <c r="A354" s="390">
        <v>642037</v>
      </c>
      <c r="B354" s="166" t="s">
        <v>467</v>
      </c>
      <c r="C354" s="403" t="s">
        <v>557</v>
      </c>
      <c r="D354" s="391">
        <v>50</v>
      </c>
    </row>
    <row r="355" spans="1:4" ht="25.5" x14ac:dyDescent="0.25">
      <c r="A355" s="390">
        <v>642038</v>
      </c>
      <c r="B355" s="166" t="s">
        <v>468</v>
      </c>
      <c r="C355" s="403" t="s">
        <v>557</v>
      </c>
      <c r="D355" s="391">
        <v>50</v>
      </c>
    </row>
    <row r="356" spans="1:4" ht="25.5" x14ac:dyDescent="0.25">
      <c r="A356" s="390">
        <v>642039</v>
      </c>
      <c r="B356" s="166" t="s">
        <v>469</v>
      </c>
      <c r="C356" s="403" t="s">
        <v>558</v>
      </c>
      <c r="D356" s="391">
        <v>53</v>
      </c>
    </row>
    <row r="357" spans="1:4" ht="25.5" x14ac:dyDescent="0.25">
      <c r="A357" s="390">
        <v>642040</v>
      </c>
      <c r="B357" s="166" t="s">
        <v>470</v>
      </c>
      <c r="C357" s="402" t="s">
        <v>567</v>
      </c>
      <c r="D357" s="391">
        <v>51</v>
      </c>
    </row>
    <row r="358" spans="1:4" s="28" customFormat="1" ht="25.5" x14ac:dyDescent="0.25">
      <c r="A358" s="390">
        <v>642041</v>
      </c>
      <c r="B358" s="166" t="s">
        <v>471</v>
      </c>
      <c r="C358" s="403" t="s">
        <v>568</v>
      </c>
      <c r="D358" s="391">
        <v>52</v>
      </c>
    </row>
    <row r="359" spans="1:4" ht="25.5" x14ac:dyDescent="0.25">
      <c r="A359" s="390">
        <v>642042</v>
      </c>
      <c r="B359" s="166" t="s">
        <v>472</v>
      </c>
      <c r="C359" s="403" t="s">
        <v>578</v>
      </c>
      <c r="D359" s="391">
        <v>52</v>
      </c>
    </row>
    <row r="360" spans="1:4" x14ac:dyDescent="0.25">
      <c r="A360" s="390">
        <v>642200</v>
      </c>
      <c r="B360" s="166" t="s">
        <v>473</v>
      </c>
      <c r="C360" s="403" t="s">
        <v>548</v>
      </c>
      <c r="D360" s="391">
        <v>25</v>
      </c>
    </row>
    <row r="361" spans="1:4" x14ac:dyDescent="0.25">
      <c r="A361" s="390">
        <v>644000</v>
      </c>
      <c r="B361" s="166" t="s">
        <v>838</v>
      </c>
      <c r="C361" s="402" t="s">
        <v>552</v>
      </c>
      <c r="D361" s="391">
        <v>25</v>
      </c>
    </row>
    <row r="362" spans="1:4" x14ac:dyDescent="0.25">
      <c r="A362" s="390">
        <v>644001</v>
      </c>
      <c r="B362" s="166" t="s">
        <v>180</v>
      </c>
      <c r="C362" s="402" t="s">
        <v>661</v>
      </c>
      <c r="D362" s="391" t="s">
        <v>662</v>
      </c>
    </row>
    <row r="363" spans="1:4" x14ac:dyDescent="0.25">
      <c r="A363" s="390">
        <v>644002</v>
      </c>
      <c r="B363" s="166" t="s">
        <v>182</v>
      </c>
      <c r="C363" s="402" t="s">
        <v>661</v>
      </c>
      <c r="D363" s="391" t="s">
        <v>662</v>
      </c>
    </row>
    <row r="364" spans="1:4" x14ac:dyDescent="0.25">
      <c r="A364" s="390">
        <v>644003</v>
      </c>
      <c r="B364" s="166" t="s">
        <v>474</v>
      </c>
      <c r="C364" s="402" t="s">
        <v>552</v>
      </c>
      <c r="D364" s="391">
        <v>25</v>
      </c>
    </row>
    <row r="365" spans="1:4" x14ac:dyDescent="0.25">
      <c r="A365" s="390">
        <v>644004</v>
      </c>
      <c r="B365" s="166" t="s">
        <v>475</v>
      </c>
      <c r="C365" s="402" t="s">
        <v>552</v>
      </c>
      <c r="D365" s="391">
        <v>25</v>
      </c>
    </row>
    <row r="366" spans="1:4" x14ac:dyDescent="0.25">
      <c r="A366" s="390">
        <v>645000</v>
      </c>
      <c r="B366" s="166" t="s">
        <v>476</v>
      </c>
      <c r="C366" s="403" t="s">
        <v>537</v>
      </c>
      <c r="D366" s="391">
        <v>9</v>
      </c>
    </row>
    <row r="367" spans="1:4" s="28" customFormat="1" x14ac:dyDescent="0.25">
      <c r="A367" s="390">
        <v>646000</v>
      </c>
      <c r="B367" s="166" t="s">
        <v>477</v>
      </c>
      <c r="C367" s="403" t="s">
        <v>537</v>
      </c>
      <c r="D367" s="391">
        <v>9</v>
      </c>
    </row>
    <row r="368" spans="1:4" x14ac:dyDescent="0.25">
      <c r="A368" s="390">
        <v>647001</v>
      </c>
      <c r="B368" s="166" t="s">
        <v>478</v>
      </c>
      <c r="C368" s="403" t="s">
        <v>537</v>
      </c>
      <c r="D368" s="391">
        <v>9</v>
      </c>
    </row>
    <row r="369" spans="1:4" x14ac:dyDescent="0.25">
      <c r="A369" s="390">
        <v>647002</v>
      </c>
      <c r="B369" s="166" t="s">
        <v>479</v>
      </c>
      <c r="C369" s="403" t="s">
        <v>537</v>
      </c>
      <c r="D369" s="391">
        <v>9</v>
      </c>
    </row>
    <row r="370" spans="1:4" x14ac:dyDescent="0.25">
      <c r="A370" s="390">
        <v>647003</v>
      </c>
      <c r="B370" s="166" t="s">
        <v>480</v>
      </c>
      <c r="C370" s="403" t="s">
        <v>537</v>
      </c>
      <c r="D370" s="391">
        <v>9</v>
      </c>
    </row>
    <row r="371" spans="1:4" x14ac:dyDescent="0.25">
      <c r="A371" s="390">
        <v>647004</v>
      </c>
      <c r="B371" s="166" t="s">
        <v>481</v>
      </c>
      <c r="C371" s="403" t="s">
        <v>537</v>
      </c>
      <c r="D371" s="391">
        <v>9</v>
      </c>
    </row>
    <row r="372" spans="1:4" ht="25.5" x14ac:dyDescent="0.25">
      <c r="A372" s="390">
        <v>647005</v>
      </c>
      <c r="B372" s="166" t="s">
        <v>482</v>
      </c>
      <c r="C372" s="403" t="s">
        <v>569</v>
      </c>
      <c r="D372" s="391">
        <v>29</v>
      </c>
    </row>
    <row r="373" spans="1:4" x14ac:dyDescent="0.25">
      <c r="A373" s="390">
        <v>649000</v>
      </c>
      <c r="B373" s="166" t="s">
        <v>843</v>
      </c>
      <c r="C373" s="403" t="s">
        <v>548</v>
      </c>
      <c r="D373" s="391">
        <v>25</v>
      </c>
    </row>
    <row r="374" spans="1:4" x14ac:dyDescent="0.25">
      <c r="A374" s="390">
        <v>649001</v>
      </c>
      <c r="B374" s="166" t="s">
        <v>483</v>
      </c>
      <c r="C374" s="403" t="s">
        <v>548</v>
      </c>
      <c r="D374" s="391">
        <v>25</v>
      </c>
    </row>
    <row r="375" spans="1:4" s="28" customFormat="1" x14ac:dyDescent="0.25">
      <c r="A375" s="390">
        <v>649002</v>
      </c>
      <c r="B375" s="166" t="s">
        <v>484</v>
      </c>
      <c r="C375" s="403" t="s">
        <v>548</v>
      </c>
      <c r="D375" s="391">
        <v>25</v>
      </c>
    </row>
    <row r="376" spans="1:4" x14ac:dyDescent="0.25">
      <c r="A376" s="390">
        <v>649003</v>
      </c>
      <c r="B376" s="166" t="s">
        <v>485</v>
      </c>
      <c r="C376" s="403" t="s">
        <v>548</v>
      </c>
      <c r="D376" s="391">
        <v>25</v>
      </c>
    </row>
    <row r="377" spans="1:4" x14ac:dyDescent="0.25">
      <c r="A377" s="390">
        <v>649005</v>
      </c>
      <c r="B377" s="198" t="s">
        <v>486</v>
      </c>
      <c r="C377" s="403" t="s">
        <v>570</v>
      </c>
      <c r="D377" s="391">
        <v>37</v>
      </c>
    </row>
    <row r="378" spans="1:4" x14ac:dyDescent="0.25">
      <c r="A378" s="397">
        <v>651000</v>
      </c>
      <c r="B378" s="205" t="s">
        <v>487</v>
      </c>
      <c r="C378" s="402" t="s">
        <v>661</v>
      </c>
      <c r="D378" s="391" t="s">
        <v>662</v>
      </c>
    </row>
    <row r="379" spans="1:4" x14ac:dyDescent="0.25">
      <c r="A379" s="390">
        <v>651001</v>
      </c>
      <c r="B379" s="166" t="s">
        <v>663</v>
      </c>
      <c r="C379" s="402" t="s">
        <v>530</v>
      </c>
      <c r="D379" s="391">
        <v>2</v>
      </c>
    </row>
    <row r="380" spans="1:4" x14ac:dyDescent="0.25">
      <c r="A380" s="390">
        <v>651002</v>
      </c>
      <c r="B380" s="166" t="s">
        <v>664</v>
      </c>
      <c r="C380" s="402" t="s">
        <v>530</v>
      </c>
      <c r="D380" s="391">
        <v>2</v>
      </c>
    </row>
    <row r="381" spans="1:4" x14ac:dyDescent="0.25">
      <c r="A381" s="390">
        <v>651003</v>
      </c>
      <c r="B381" s="166" t="s">
        <v>665</v>
      </c>
      <c r="C381" s="402" t="s">
        <v>530</v>
      </c>
      <c r="D381" s="391">
        <v>2</v>
      </c>
    </row>
    <row r="382" spans="1:4" x14ac:dyDescent="0.25">
      <c r="A382" s="390">
        <v>651004</v>
      </c>
      <c r="B382" s="166" t="s">
        <v>666</v>
      </c>
      <c r="C382" s="402" t="s">
        <v>530</v>
      </c>
      <c r="D382" s="391">
        <v>2</v>
      </c>
    </row>
    <row r="383" spans="1:4" x14ac:dyDescent="0.25">
      <c r="A383" s="390">
        <v>651005</v>
      </c>
      <c r="B383" s="166" t="s">
        <v>667</v>
      </c>
      <c r="C383" s="402" t="s">
        <v>530</v>
      </c>
      <c r="D383" s="391">
        <v>2</v>
      </c>
    </row>
    <row r="384" spans="1:4" x14ac:dyDescent="0.25">
      <c r="A384" s="390">
        <v>652000</v>
      </c>
      <c r="B384" s="166" t="s">
        <v>670</v>
      </c>
      <c r="C384" s="402" t="s">
        <v>530</v>
      </c>
      <c r="D384" s="391">
        <v>2</v>
      </c>
    </row>
    <row r="385" spans="1:4" x14ac:dyDescent="0.25">
      <c r="A385" s="390">
        <v>652001</v>
      </c>
      <c r="B385" s="166" t="s">
        <v>483</v>
      </c>
      <c r="C385" s="402" t="s">
        <v>530</v>
      </c>
      <c r="D385" s="391">
        <v>2</v>
      </c>
    </row>
    <row r="386" spans="1:4" x14ac:dyDescent="0.25">
      <c r="A386" s="390">
        <v>652002</v>
      </c>
      <c r="B386" s="166" t="s">
        <v>668</v>
      </c>
      <c r="C386" s="402" t="s">
        <v>530</v>
      </c>
      <c r="D386" s="391">
        <v>2</v>
      </c>
    </row>
    <row r="387" spans="1:4" x14ac:dyDescent="0.25">
      <c r="A387" s="390">
        <v>652003</v>
      </c>
      <c r="B387" s="166" t="s">
        <v>669</v>
      </c>
      <c r="C387" s="402" t="s">
        <v>530</v>
      </c>
      <c r="D387" s="391">
        <v>2</v>
      </c>
    </row>
    <row r="388" spans="1:4" x14ac:dyDescent="0.25">
      <c r="A388" s="390">
        <v>652004</v>
      </c>
      <c r="B388" s="166" t="s">
        <v>485</v>
      </c>
      <c r="C388" s="402" t="s">
        <v>530</v>
      </c>
      <c r="D388" s="391">
        <v>2</v>
      </c>
    </row>
    <row r="389" spans="1:4" x14ac:dyDescent="0.25">
      <c r="A389" s="390">
        <v>653000</v>
      </c>
      <c r="B389" s="166" t="s">
        <v>671</v>
      </c>
      <c r="C389" s="402" t="s">
        <v>530</v>
      </c>
      <c r="D389" s="391">
        <v>2</v>
      </c>
    </row>
    <row r="390" spans="1:4" x14ac:dyDescent="0.25">
      <c r="A390" s="390">
        <v>653001</v>
      </c>
      <c r="B390" s="166" t="s">
        <v>488</v>
      </c>
      <c r="C390" s="403" t="s">
        <v>537</v>
      </c>
      <c r="D390" s="391">
        <v>9</v>
      </c>
    </row>
    <row r="391" spans="1:4" x14ac:dyDescent="0.25">
      <c r="A391" s="390">
        <v>653002</v>
      </c>
      <c r="B391" s="166" t="s">
        <v>489</v>
      </c>
      <c r="C391" s="403" t="s">
        <v>537</v>
      </c>
      <c r="D391" s="391">
        <v>9</v>
      </c>
    </row>
    <row r="392" spans="1:4" x14ac:dyDescent="0.25">
      <c r="A392" s="390">
        <v>653003</v>
      </c>
      <c r="B392" s="198" t="s">
        <v>672</v>
      </c>
      <c r="C392" s="402" t="s">
        <v>530</v>
      </c>
      <c r="D392" s="391">
        <v>2</v>
      </c>
    </row>
    <row r="393" spans="1:4" x14ac:dyDescent="0.25">
      <c r="A393" s="390">
        <v>653004</v>
      </c>
      <c r="B393" s="166" t="s">
        <v>490</v>
      </c>
      <c r="C393" s="403" t="s">
        <v>537</v>
      </c>
      <c r="D393" s="391">
        <v>9</v>
      </c>
    </row>
    <row r="394" spans="1:4" x14ac:dyDescent="0.25">
      <c r="A394" s="390">
        <v>711001</v>
      </c>
      <c r="B394" s="166" t="s">
        <v>491</v>
      </c>
      <c r="C394" s="402" t="s">
        <v>546</v>
      </c>
      <c r="D394" s="391">
        <v>37</v>
      </c>
    </row>
    <row r="395" spans="1:4" x14ac:dyDescent="0.25">
      <c r="A395" s="390">
        <v>711002</v>
      </c>
      <c r="B395" s="166" t="s">
        <v>492</v>
      </c>
      <c r="C395" s="402" t="s">
        <v>546</v>
      </c>
      <c r="D395" s="391">
        <v>37</v>
      </c>
    </row>
    <row r="396" spans="1:4" x14ac:dyDescent="0.25">
      <c r="A396" s="390">
        <v>711003</v>
      </c>
      <c r="B396" s="166" t="s">
        <v>401</v>
      </c>
      <c r="C396" s="402" t="s">
        <v>546</v>
      </c>
      <c r="D396" s="391">
        <v>37</v>
      </c>
    </row>
    <row r="397" spans="1:4" x14ac:dyDescent="0.25">
      <c r="A397" s="390">
        <v>711004</v>
      </c>
      <c r="B397" s="166" t="s">
        <v>493</v>
      </c>
      <c r="C397" s="402" t="s">
        <v>546</v>
      </c>
      <c r="D397" s="391">
        <v>37</v>
      </c>
    </row>
    <row r="398" spans="1:4" x14ac:dyDescent="0.25">
      <c r="A398" s="390">
        <v>711005</v>
      </c>
      <c r="B398" s="166" t="s">
        <v>494</v>
      </c>
      <c r="C398" s="402" t="s">
        <v>546</v>
      </c>
      <c r="D398" s="391">
        <v>37</v>
      </c>
    </row>
    <row r="399" spans="1:4" x14ac:dyDescent="0.25">
      <c r="A399" s="390">
        <v>712001</v>
      </c>
      <c r="B399" s="166" t="s">
        <v>186</v>
      </c>
      <c r="C399" s="402" t="s">
        <v>546</v>
      </c>
      <c r="D399" s="391">
        <v>37</v>
      </c>
    </row>
    <row r="400" spans="1:4" x14ac:dyDescent="0.25">
      <c r="A400" s="390">
        <v>712002</v>
      </c>
      <c r="B400" s="166" t="s">
        <v>495</v>
      </c>
      <c r="C400" s="402" t="s">
        <v>546</v>
      </c>
      <c r="D400" s="391">
        <v>37</v>
      </c>
    </row>
    <row r="401" spans="1:4" x14ac:dyDescent="0.25">
      <c r="A401" s="390">
        <v>713000</v>
      </c>
      <c r="B401" s="166" t="s">
        <v>496</v>
      </c>
      <c r="C401" s="402" t="s">
        <v>546</v>
      </c>
      <c r="D401" s="391">
        <v>37</v>
      </c>
    </row>
    <row r="402" spans="1:4" s="28" customFormat="1" x14ac:dyDescent="0.25">
      <c r="A402" s="390">
        <v>713001</v>
      </c>
      <c r="B402" s="166" t="s">
        <v>394</v>
      </c>
      <c r="C402" s="402" t="s">
        <v>546</v>
      </c>
      <c r="D402" s="391">
        <v>37</v>
      </c>
    </row>
    <row r="403" spans="1:4" x14ac:dyDescent="0.25">
      <c r="A403" s="390">
        <v>713002</v>
      </c>
      <c r="B403" s="166" t="s">
        <v>395</v>
      </c>
      <c r="C403" s="402" t="s">
        <v>546</v>
      </c>
      <c r="D403" s="391">
        <v>37</v>
      </c>
    </row>
    <row r="404" spans="1:4" x14ac:dyDescent="0.25">
      <c r="A404" s="390">
        <v>713003</v>
      </c>
      <c r="B404" s="166" t="s">
        <v>396</v>
      </c>
      <c r="C404" s="402" t="s">
        <v>546</v>
      </c>
      <c r="D404" s="391">
        <v>37</v>
      </c>
    </row>
    <row r="405" spans="1:4" x14ac:dyDescent="0.25">
      <c r="A405" s="390">
        <v>713004</v>
      </c>
      <c r="B405" s="166" t="s">
        <v>497</v>
      </c>
      <c r="C405" s="402" t="s">
        <v>546</v>
      </c>
      <c r="D405" s="391">
        <v>37</v>
      </c>
    </row>
    <row r="406" spans="1:4" x14ac:dyDescent="0.25">
      <c r="A406" s="390">
        <v>713005</v>
      </c>
      <c r="B406" s="166" t="s">
        <v>498</v>
      </c>
      <c r="C406" s="402" t="s">
        <v>546</v>
      </c>
      <c r="D406" s="391">
        <v>37</v>
      </c>
    </row>
    <row r="407" spans="1:4" x14ac:dyDescent="0.25">
      <c r="A407" s="390">
        <v>713006</v>
      </c>
      <c r="B407" s="166" t="s">
        <v>402</v>
      </c>
      <c r="C407" s="402" t="s">
        <v>546</v>
      </c>
      <c r="D407" s="391">
        <v>37</v>
      </c>
    </row>
    <row r="408" spans="1:4" x14ac:dyDescent="0.25">
      <c r="A408" s="390">
        <v>714000</v>
      </c>
      <c r="B408" s="166" t="s">
        <v>499</v>
      </c>
      <c r="C408" s="402" t="s">
        <v>546</v>
      </c>
      <c r="D408" s="391">
        <v>37</v>
      </c>
    </row>
    <row r="409" spans="1:4" x14ac:dyDescent="0.25">
      <c r="A409" s="390">
        <v>714001</v>
      </c>
      <c r="B409" s="166" t="s">
        <v>500</v>
      </c>
      <c r="C409" s="402" t="s">
        <v>546</v>
      </c>
      <c r="D409" s="391">
        <v>37</v>
      </c>
    </row>
    <row r="410" spans="1:4" x14ac:dyDescent="0.25">
      <c r="A410" s="390">
        <v>714002</v>
      </c>
      <c r="B410" s="166" t="s">
        <v>501</v>
      </c>
      <c r="C410" s="402" t="s">
        <v>546</v>
      </c>
      <c r="D410" s="391">
        <v>37</v>
      </c>
    </row>
    <row r="411" spans="1:4" x14ac:dyDescent="0.25">
      <c r="A411" s="390">
        <v>714003</v>
      </c>
      <c r="B411" s="166" t="s">
        <v>502</v>
      </c>
      <c r="C411" s="402" t="s">
        <v>546</v>
      </c>
      <c r="D411" s="391">
        <v>37</v>
      </c>
    </row>
    <row r="412" spans="1:4" x14ac:dyDescent="0.25">
      <c r="A412" s="390">
        <v>714004</v>
      </c>
      <c r="B412" s="166" t="s">
        <v>503</v>
      </c>
      <c r="C412" s="402" t="s">
        <v>546</v>
      </c>
      <c r="D412" s="391">
        <v>37</v>
      </c>
    </row>
    <row r="413" spans="1:4" x14ac:dyDescent="0.25">
      <c r="A413" s="390">
        <v>714005</v>
      </c>
      <c r="B413" s="166" t="s">
        <v>504</v>
      </c>
      <c r="C413" s="402" t="s">
        <v>546</v>
      </c>
      <c r="D413" s="391">
        <v>37</v>
      </c>
    </row>
    <row r="414" spans="1:4" x14ac:dyDescent="0.25">
      <c r="A414" s="390">
        <v>714006</v>
      </c>
      <c r="B414" s="166" t="s">
        <v>505</v>
      </c>
      <c r="C414" s="402" t="s">
        <v>546</v>
      </c>
      <c r="D414" s="391">
        <v>37</v>
      </c>
    </row>
    <row r="415" spans="1:4" x14ac:dyDescent="0.25">
      <c r="A415" s="390">
        <v>714007</v>
      </c>
      <c r="B415" s="166" t="s">
        <v>506</v>
      </c>
      <c r="C415" s="402" t="s">
        <v>546</v>
      </c>
      <c r="D415" s="391">
        <v>37</v>
      </c>
    </row>
    <row r="416" spans="1:4" x14ac:dyDescent="0.25">
      <c r="A416" s="390">
        <v>716000</v>
      </c>
      <c r="B416" s="166" t="s">
        <v>507</v>
      </c>
      <c r="C416" s="402" t="s">
        <v>546</v>
      </c>
      <c r="D416" s="391">
        <v>37</v>
      </c>
    </row>
    <row r="417" spans="1:4" x14ac:dyDescent="0.25">
      <c r="A417" s="390">
        <v>717000</v>
      </c>
      <c r="B417" s="166" t="s">
        <v>508</v>
      </c>
      <c r="C417" s="402" t="s">
        <v>546</v>
      </c>
      <c r="D417" s="391">
        <v>37</v>
      </c>
    </row>
    <row r="418" spans="1:4" x14ac:dyDescent="0.25">
      <c r="A418" s="390">
        <v>717001</v>
      </c>
      <c r="B418" s="166" t="s">
        <v>509</v>
      </c>
      <c r="C418" s="402" t="s">
        <v>546</v>
      </c>
      <c r="D418" s="391">
        <v>37</v>
      </c>
    </row>
    <row r="419" spans="1:4" x14ac:dyDescent="0.25">
      <c r="A419" s="390">
        <v>717002</v>
      </c>
      <c r="B419" s="166" t="s">
        <v>510</v>
      </c>
      <c r="C419" s="402" t="s">
        <v>546</v>
      </c>
      <c r="D419" s="391">
        <v>37</v>
      </c>
    </row>
    <row r="420" spans="1:4" x14ac:dyDescent="0.25">
      <c r="A420" s="390">
        <v>717003</v>
      </c>
      <c r="B420" s="166" t="s">
        <v>511</v>
      </c>
      <c r="C420" s="402" t="s">
        <v>546</v>
      </c>
      <c r="D420" s="391">
        <v>37</v>
      </c>
    </row>
    <row r="421" spans="1:4" x14ac:dyDescent="0.25">
      <c r="A421" s="390">
        <v>718002</v>
      </c>
      <c r="B421" s="166" t="s">
        <v>395</v>
      </c>
      <c r="C421" s="402" t="s">
        <v>546</v>
      </c>
      <c r="D421" s="391">
        <v>37</v>
      </c>
    </row>
    <row r="422" spans="1:4" x14ac:dyDescent="0.25">
      <c r="A422" s="390">
        <v>718003</v>
      </c>
      <c r="B422" s="166" t="s">
        <v>396</v>
      </c>
      <c r="C422" s="402" t="s">
        <v>546</v>
      </c>
      <c r="D422" s="391">
        <v>37</v>
      </c>
    </row>
    <row r="423" spans="1:4" x14ac:dyDescent="0.25">
      <c r="A423" s="390">
        <v>718004</v>
      </c>
      <c r="B423" s="166" t="s">
        <v>397</v>
      </c>
      <c r="C423" s="402" t="s">
        <v>546</v>
      </c>
      <c r="D423" s="391">
        <v>37</v>
      </c>
    </row>
    <row r="424" spans="1:4" x14ac:dyDescent="0.25">
      <c r="A424" s="390">
        <v>718005</v>
      </c>
      <c r="B424" s="166" t="s">
        <v>512</v>
      </c>
      <c r="C424" s="402" t="s">
        <v>546</v>
      </c>
      <c r="D424" s="391">
        <v>37</v>
      </c>
    </row>
    <row r="425" spans="1:4" x14ac:dyDescent="0.25">
      <c r="A425" s="390">
        <v>718006</v>
      </c>
      <c r="B425" s="166" t="s">
        <v>401</v>
      </c>
      <c r="C425" s="402" t="s">
        <v>546</v>
      </c>
      <c r="D425" s="391">
        <v>37</v>
      </c>
    </row>
    <row r="426" spans="1:4" x14ac:dyDescent="0.25">
      <c r="A426" s="390">
        <v>718007</v>
      </c>
      <c r="B426" s="166" t="s">
        <v>402</v>
      </c>
      <c r="C426" s="402" t="s">
        <v>546</v>
      </c>
      <c r="D426" s="391">
        <v>37</v>
      </c>
    </row>
    <row r="427" spans="1:4" x14ac:dyDescent="0.25">
      <c r="A427" s="390">
        <v>719000</v>
      </c>
      <c r="B427" s="166" t="s">
        <v>513</v>
      </c>
      <c r="C427" s="402" t="s">
        <v>546</v>
      </c>
      <c r="D427" s="391">
        <v>37</v>
      </c>
    </row>
    <row r="428" spans="1:4" x14ac:dyDescent="0.25">
      <c r="A428" s="390">
        <v>719001</v>
      </c>
      <c r="B428" s="166" t="s">
        <v>514</v>
      </c>
      <c r="C428" s="402" t="s">
        <v>546</v>
      </c>
      <c r="D428" s="391">
        <v>37</v>
      </c>
    </row>
    <row r="429" spans="1:4" x14ac:dyDescent="0.25">
      <c r="A429" s="390">
        <v>719002</v>
      </c>
      <c r="B429" s="166" t="s">
        <v>515</v>
      </c>
      <c r="C429" s="402" t="s">
        <v>546</v>
      </c>
      <c r="D429" s="391">
        <v>37</v>
      </c>
    </row>
    <row r="430" spans="1:4" x14ac:dyDescent="0.25">
      <c r="A430" s="390">
        <v>719004</v>
      </c>
      <c r="B430" s="166" t="s">
        <v>516</v>
      </c>
      <c r="C430" s="402" t="s">
        <v>571</v>
      </c>
      <c r="D430" s="391">
        <v>9</v>
      </c>
    </row>
    <row r="431" spans="1:4" x14ac:dyDescent="0.25">
      <c r="A431" s="390">
        <v>719012</v>
      </c>
      <c r="B431" s="166" t="s">
        <v>517</v>
      </c>
      <c r="C431" s="402" t="s">
        <v>546</v>
      </c>
      <c r="D431" s="391">
        <v>37</v>
      </c>
    </row>
    <row r="432" spans="1:4" x14ac:dyDescent="0.25">
      <c r="A432" s="390">
        <v>719013</v>
      </c>
      <c r="B432" s="166" t="s">
        <v>518</v>
      </c>
      <c r="C432" s="402" t="s">
        <v>546</v>
      </c>
      <c r="D432" s="391">
        <v>37</v>
      </c>
    </row>
    <row r="433" spans="1:4" x14ac:dyDescent="0.25">
      <c r="A433" s="390">
        <v>719014</v>
      </c>
      <c r="B433" s="166" t="s">
        <v>441</v>
      </c>
      <c r="C433" s="402" t="s">
        <v>537</v>
      </c>
      <c r="D433" s="391">
        <v>9</v>
      </c>
    </row>
    <row r="434" spans="1:4" x14ac:dyDescent="0.25">
      <c r="A434" s="390">
        <v>719200</v>
      </c>
      <c r="B434" s="166" t="s">
        <v>146</v>
      </c>
      <c r="C434" s="402" t="s">
        <v>546</v>
      </c>
      <c r="D434" s="391">
        <v>37</v>
      </c>
    </row>
    <row r="435" spans="1:4" x14ac:dyDescent="0.25">
      <c r="A435" s="390">
        <v>721000</v>
      </c>
      <c r="B435" s="166" t="s">
        <v>328</v>
      </c>
      <c r="C435" s="402" t="s">
        <v>530</v>
      </c>
      <c r="D435" s="391">
        <v>2</v>
      </c>
    </row>
    <row r="436" spans="1:4" x14ac:dyDescent="0.25">
      <c r="A436" s="393">
        <v>721001</v>
      </c>
      <c r="B436" s="128" t="s">
        <v>610</v>
      </c>
      <c r="C436" s="402" t="s">
        <v>530</v>
      </c>
      <c r="D436" s="391">
        <v>2</v>
      </c>
    </row>
    <row r="437" spans="1:4" x14ac:dyDescent="0.25">
      <c r="A437" s="393">
        <v>721002</v>
      </c>
      <c r="B437" s="128" t="s">
        <v>613</v>
      </c>
      <c r="C437" s="402" t="s">
        <v>530</v>
      </c>
      <c r="D437" s="391">
        <v>2</v>
      </c>
    </row>
    <row r="438" spans="1:4" x14ac:dyDescent="0.25">
      <c r="A438" s="393">
        <v>721003</v>
      </c>
      <c r="B438" s="128" t="s">
        <v>614</v>
      </c>
      <c r="C438" s="402" t="s">
        <v>530</v>
      </c>
      <c r="D438" s="391">
        <v>2</v>
      </c>
    </row>
    <row r="439" spans="1:4" x14ac:dyDescent="0.25">
      <c r="A439" s="393">
        <v>721004</v>
      </c>
      <c r="B439" s="128" t="s">
        <v>621</v>
      </c>
      <c r="C439" s="402" t="s">
        <v>530</v>
      </c>
      <c r="D439" s="391">
        <v>2</v>
      </c>
    </row>
    <row r="440" spans="1:4" x14ac:dyDescent="0.25">
      <c r="A440" s="393">
        <v>721005</v>
      </c>
      <c r="B440" s="128" t="s">
        <v>611</v>
      </c>
      <c r="C440" s="402" t="s">
        <v>530</v>
      </c>
      <c r="D440" s="391">
        <v>2</v>
      </c>
    </row>
    <row r="441" spans="1:4" x14ac:dyDescent="0.25">
      <c r="A441" s="393">
        <v>721006</v>
      </c>
      <c r="B441" s="128" t="s">
        <v>622</v>
      </c>
      <c r="C441" s="402" t="s">
        <v>530</v>
      </c>
      <c r="D441" s="391">
        <v>2</v>
      </c>
    </row>
    <row r="442" spans="1:4" x14ac:dyDescent="0.25">
      <c r="A442" s="393">
        <v>721007</v>
      </c>
      <c r="B442" s="128" t="s">
        <v>623</v>
      </c>
      <c r="C442" s="402" t="s">
        <v>530</v>
      </c>
      <c r="D442" s="391">
        <v>2</v>
      </c>
    </row>
    <row r="443" spans="1:4" x14ac:dyDescent="0.25">
      <c r="A443" s="393">
        <v>721008</v>
      </c>
      <c r="B443" s="128" t="s">
        <v>617</v>
      </c>
      <c r="C443" s="402" t="s">
        <v>530</v>
      </c>
      <c r="D443" s="391">
        <v>2</v>
      </c>
    </row>
    <row r="444" spans="1:4" x14ac:dyDescent="0.25">
      <c r="A444" s="393">
        <v>721009</v>
      </c>
      <c r="B444" s="128" t="s">
        <v>618</v>
      </c>
      <c r="C444" s="402" t="s">
        <v>530</v>
      </c>
      <c r="D444" s="391">
        <v>2</v>
      </c>
    </row>
    <row r="445" spans="1:4" x14ac:dyDescent="0.25">
      <c r="A445" s="390">
        <v>722001</v>
      </c>
      <c r="B445" s="166" t="s">
        <v>442</v>
      </c>
      <c r="C445" s="402" t="s">
        <v>546</v>
      </c>
      <c r="D445" s="391">
        <v>37</v>
      </c>
    </row>
    <row r="446" spans="1:4" x14ac:dyDescent="0.25">
      <c r="A446" s="390">
        <v>722002</v>
      </c>
      <c r="B446" s="166" t="s">
        <v>447</v>
      </c>
      <c r="C446" s="402" t="s">
        <v>546</v>
      </c>
      <c r="D446" s="391">
        <v>37</v>
      </c>
    </row>
    <row r="447" spans="1:4" x14ac:dyDescent="0.25">
      <c r="A447" s="390">
        <v>722003</v>
      </c>
      <c r="B447" s="166" t="s">
        <v>519</v>
      </c>
      <c r="C447" s="402" t="s">
        <v>546</v>
      </c>
      <c r="D447" s="391">
        <v>37</v>
      </c>
    </row>
    <row r="448" spans="1:4" x14ac:dyDescent="0.25">
      <c r="A448" s="390">
        <v>722004</v>
      </c>
      <c r="B448" s="166" t="s">
        <v>453</v>
      </c>
      <c r="C448" s="402" t="s">
        <v>546</v>
      </c>
      <c r="D448" s="391">
        <v>37</v>
      </c>
    </row>
    <row r="449" spans="1:4" x14ac:dyDescent="0.25">
      <c r="A449" s="390">
        <v>723001</v>
      </c>
      <c r="B449" s="166" t="s">
        <v>180</v>
      </c>
      <c r="C449" s="402" t="s">
        <v>661</v>
      </c>
      <c r="D449" s="391" t="s">
        <v>662</v>
      </c>
    </row>
    <row r="450" spans="1:4" x14ac:dyDescent="0.25">
      <c r="A450" s="390">
        <v>723002</v>
      </c>
      <c r="B450" s="166" t="s">
        <v>520</v>
      </c>
      <c r="C450" s="402" t="s">
        <v>546</v>
      </c>
      <c r="D450" s="391">
        <v>37</v>
      </c>
    </row>
    <row r="451" spans="1:4" x14ac:dyDescent="0.25">
      <c r="A451" s="390">
        <v>723003</v>
      </c>
      <c r="B451" s="166" t="s">
        <v>474</v>
      </c>
      <c r="C451" s="402" t="s">
        <v>546</v>
      </c>
      <c r="D451" s="391">
        <v>37</v>
      </c>
    </row>
    <row r="452" spans="1:4" x14ac:dyDescent="0.25">
      <c r="A452" s="390">
        <v>723004</v>
      </c>
      <c r="B452" s="166" t="s">
        <v>521</v>
      </c>
      <c r="C452" s="402" t="s">
        <v>537</v>
      </c>
      <c r="D452" s="391">
        <v>9</v>
      </c>
    </row>
    <row r="453" spans="1:4" x14ac:dyDescent="0.25">
      <c r="A453" s="390">
        <v>723005</v>
      </c>
      <c r="B453" s="166" t="s">
        <v>475</v>
      </c>
      <c r="C453" s="402" t="s">
        <v>546</v>
      </c>
      <c r="D453" s="391">
        <v>37</v>
      </c>
    </row>
    <row r="454" spans="1:4" x14ac:dyDescent="0.25">
      <c r="A454" s="390">
        <v>725001</v>
      </c>
      <c r="B454" s="166" t="s">
        <v>484</v>
      </c>
      <c r="C454" s="402" t="s">
        <v>546</v>
      </c>
      <c r="D454" s="391">
        <v>37</v>
      </c>
    </row>
    <row r="455" spans="1:4" x14ac:dyDescent="0.25">
      <c r="A455" s="390">
        <v>725002</v>
      </c>
      <c r="B455" s="166" t="s">
        <v>485</v>
      </c>
      <c r="C455" s="402" t="s">
        <v>546</v>
      </c>
      <c r="D455" s="391">
        <v>37</v>
      </c>
    </row>
    <row r="456" spans="1:4" x14ac:dyDescent="0.25">
      <c r="A456" s="390">
        <v>725003</v>
      </c>
      <c r="B456" s="166" t="s">
        <v>483</v>
      </c>
      <c r="C456" s="402" t="s">
        <v>546</v>
      </c>
      <c r="D456" s="391">
        <v>37</v>
      </c>
    </row>
    <row r="457" spans="1:4" x14ac:dyDescent="0.25">
      <c r="A457" s="390">
        <v>726001</v>
      </c>
      <c r="B457" s="166" t="s">
        <v>482</v>
      </c>
      <c r="C457" s="402" t="s">
        <v>546</v>
      </c>
      <c r="D457" s="391">
        <v>37</v>
      </c>
    </row>
    <row r="458" spans="1:4" x14ac:dyDescent="0.25">
      <c r="A458" s="390">
        <v>726002</v>
      </c>
      <c r="B458" s="166" t="s">
        <v>522</v>
      </c>
      <c r="C458" s="402" t="s">
        <v>546</v>
      </c>
      <c r="D458" s="391">
        <v>37</v>
      </c>
    </row>
    <row r="459" spans="1:4" x14ac:dyDescent="0.25">
      <c r="A459" s="390" t="s">
        <v>189</v>
      </c>
      <c r="B459" s="198" t="s">
        <v>150</v>
      </c>
      <c r="C459" s="402" t="s">
        <v>661</v>
      </c>
      <c r="D459" s="391" t="s">
        <v>662</v>
      </c>
    </row>
    <row r="460" spans="1:4" x14ac:dyDescent="0.25">
      <c r="A460" s="390" t="s">
        <v>190</v>
      </c>
      <c r="B460" s="198" t="s">
        <v>151</v>
      </c>
      <c r="C460" s="402" t="s">
        <v>661</v>
      </c>
      <c r="D460" s="391" t="s">
        <v>662</v>
      </c>
    </row>
    <row r="461" spans="1:4" x14ac:dyDescent="0.25">
      <c r="A461" s="390" t="s">
        <v>675</v>
      </c>
      <c r="B461" s="198" t="s">
        <v>677</v>
      </c>
      <c r="C461" s="402" t="s">
        <v>661</v>
      </c>
      <c r="D461" s="391" t="s">
        <v>662</v>
      </c>
    </row>
    <row r="462" spans="1:4" x14ac:dyDescent="0.25">
      <c r="A462" s="390" t="s">
        <v>676</v>
      </c>
      <c r="B462" s="198" t="s">
        <v>678</v>
      </c>
      <c r="C462" s="402" t="s">
        <v>546</v>
      </c>
      <c r="D462" s="391">
        <v>37</v>
      </c>
    </row>
    <row r="463" spans="1:4" x14ac:dyDescent="0.25">
      <c r="A463" s="390" t="s">
        <v>191</v>
      </c>
      <c r="B463" s="198" t="s">
        <v>154</v>
      </c>
      <c r="C463" s="404" t="s">
        <v>534</v>
      </c>
      <c r="D463" s="391">
        <v>47</v>
      </c>
    </row>
    <row r="464" spans="1:4" x14ac:dyDescent="0.25">
      <c r="A464" s="390" t="s">
        <v>192</v>
      </c>
      <c r="B464" s="198" t="s">
        <v>155</v>
      </c>
      <c r="C464" s="404" t="s">
        <v>1123</v>
      </c>
      <c r="D464" s="391">
        <v>34</v>
      </c>
    </row>
    <row r="465" spans="1:4" x14ac:dyDescent="0.25">
      <c r="A465" s="390" t="s">
        <v>193</v>
      </c>
      <c r="B465" s="198" t="s">
        <v>157</v>
      </c>
      <c r="C465" s="402" t="s">
        <v>661</v>
      </c>
      <c r="D465" s="391" t="s">
        <v>662</v>
      </c>
    </row>
    <row r="466" spans="1:4" x14ac:dyDescent="0.25">
      <c r="A466" s="390" t="s">
        <v>194</v>
      </c>
      <c r="B466" s="198" t="s">
        <v>158</v>
      </c>
      <c r="C466" s="403" t="s">
        <v>1118</v>
      </c>
      <c r="D466" s="391">
        <v>9</v>
      </c>
    </row>
    <row r="467" spans="1:4" x14ac:dyDescent="0.25">
      <c r="A467" s="392" t="s">
        <v>195</v>
      </c>
      <c r="B467" s="198" t="s">
        <v>326</v>
      </c>
      <c r="C467" s="402" t="s">
        <v>661</v>
      </c>
      <c r="D467" s="391" t="s">
        <v>662</v>
      </c>
    </row>
    <row r="468" spans="1:4" x14ac:dyDescent="0.25">
      <c r="A468" s="392" t="s">
        <v>196</v>
      </c>
      <c r="B468" s="198" t="s">
        <v>687</v>
      </c>
      <c r="C468" s="402" t="s">
        <v>530</v>
      </c>
      <c r="D468" s="391">
        <v>2</v>
      </c>
    </row>
    <row r="469" spans="1:4" x14ac:dyDescent="0.25">
      <c r="A469" s="390" t="s">
        <v>685</v>
      </c>
      <c r="B469" s="198" t="s">
        <v>158</v>
      </c>
      <c r="C469" s="403" t="s">
        <v>537</v>
      </c>
      <c r="D469" s="391">
        <v>9</v>
      </c>
    </row>
    <row r="470" spans="1:4" x14ac:dyDescent="0.25">
      <c r="A470" s="390" t="s">
        <v>218</v>
      </c>
      <c r="B470" s="166" t="s">
        <v>187</v>
      </c>
      <c r="C470" s="402" t="s">
        <v>661</v>
      </c>
      <c r="D470" s="391" t="s">
        <v>662</v>
      </c>
    </row>
    <row r="471" spans="1:4" x14ac:dyDescent="0.25">
      <c r="A471" s="390" t="s">
        <v>219</v>
      </c>
      <c r="B471" s="166" t="s">
        <v>158</v>
      </c>
      <c r="C471" s="402" t="s">
        <v>548</v>
      </c>
      <c r="D471" s="391">
        <v>25</v>
      </c>
    </row>
    <row r="472" spans="1:4" x14ac:dyDescent="0.25">
      <c r="A472" s="390" t="s">
        <v>649</v>
      </c>
      <c r="B472" s="166" t="s">
        <v>651</v>
      </c>
      <c r="C472" s="402" t="s">
        <v>661</v>
      </c>
      <c r="D472" s="391" t="s">
        <v>662</v>
      </c>
    </row>
    <row r="473" spans="1:4" x14ac:dyDescent="0.25">
      <c r="A473" s="390" t="s">
        <v>650</v>
      </c>
      <c r="B473" s="166" t="s">
        <v>158</v>
      </c>
      <c r="C473" s="402" t="s">
        <v>548</v>
      </c>
      <c r="D473" s="391">
        <v>25</v>
      </c>
    </row>
    <row r="474" spans="1:4" x14ac:dyDescent="0.25">
      <c r="A474" s="390" t="s">
        <v>688</v>
      </c>
      <c r="B474" s="166" t="s">
        <v>690</v>
      </c>
      <c r="C474" s="402" t="s">
        <v>530</v>
      </c>
      <c r="D474" s="391">
        <v>2</v>
      </c>
    </row>
    <row r="475" spans="1:4" x14ac:dyDescent="0.25">
      <c r="A475" s="390" t="s">
        <v>689</v>
      </c>
      <c r="B475" s="166" t="s">
        <v>158</v>
      </c>
      <c r="C475" s="402" t="s">
        <v>548</v>
      </c>
      <c r="D475" s="391">
        <v>25</v>
      </c>
    </row>
    <row r="476" spans="1:4" x14ac:dyDescent="0.25">
      <c r="A476" s="390" t="s">
        <v>691</v>
      </c>
      <c r="B476" s="166" t="s">
        <v>690</v>
      </c>
      <c r="C476" s="402" t="s">
        <v>530</v>
      </c>
      <c r="D476" s="391">
        <v>2</v>
      </c>
    </row>
    <row r="477" spans="1:4" x14ac:dyDescent="0.25">
      <c r="A477" s="390" t="s">
        <v>692</v>
      </c>
      <c r="B477" s="166" t="s">
        <v>158</v>
      </c>
      <c r="C477" s="402" t="s">
        <v>549</v>
      </c>
      <c r="D477" s="391">
        <v>39</v>
      </c>
    </row>
    <row r="478" spans="1:4" x14ac:dyDescent="0.25">
      <c r="A478" s="390" t="s">
        <v>197</v>
      </c>
      <c r="B478" s="166" t="s">
        <v>162</v>
      </c>
      <c r="C478" s="403" t="s">
        <v>550</v>
      </c>
      <c r="D478" s="391">
        <v>9</v>
      </c>
    </row>
    <row r="479" spans="1:4" x14ac:dyDescent="0.25">
      <c r="A479" s="390" t="s">
        <v>198</v>
      </c>
      <c r="B479" s="166" t="s">
        <v>158</v>
      </c>
      <c r="C479" s="403" t="s">
        <v>540</v>
      </c>
      <c r="D479" s="391">
        <v>22</v>
      </c>
    </row>
    <row r="480" spans="1:4" x14ac:dyDescent="0.25">
      <c r="A480" s="390" t="s">
        <v>199</v>
      </c>
      <c r="B480" s="166" t="s">
        <v>164</v>
      </c>
      <c r="C480" s="402" t="s">
        <v>661</v>
      </c>
      <c r="D480" s="391" t="s">
        <v>662</v>
      </c>
    </row>
    <row r="481" spans="1:4" x14ac:dyDescent="0.25">
      <c r="A481" s="390" t="s">
        <v>200</v>
      </c>
      <c r="B481" s="166" t="s">
        <v>166</v>
      </c>
      <c r="C481" s="403" t="s">
        <v>548</v>
      </c>
      <c r="D481" s="391">
        <v>25</v>
      </c>
    </row>
    <row r="482" spans="1:4" ht="25.5" x14ac:dyDescent="0.25">
      <c r="A482" s="390" t="s">
        <v>964</v>
      </c>
      <c r="B482" s="166" t="s">
        <v>965</v>
      </c>
      <c r="C482" s="403" t="s">
        <v>968</v>
      </c>
      <c r="D482" s="391">
        <v>1</v>
      </c>
    </row>
    <row r="483" spans="1:4" ht="25.5" x14ac:dyDescent="0.25">
      <c r="A483" s="390" t="s">
        <v>966</v>
      </c>
      <c r="B483" s="166" t="s">
        <v>158</v>
      </c>
      <c r="C483" s="402" t="s">
        <v>584</v>
      </c>
      <c r="D483" s="391">
        <v>43</v>
      </c>
    </row>
    <row r="484" spans="1:4" x14ac:dyDescent="0.25">
      <c r="A484" s="390" t="s">
        <v>201</v>
      </c>
      <c r="B484" s="206" t="s">
        <v>169</v>
      </c>
      <c r="C484" s="402" t="s">
        <v>1117</v>
      </c>
      <c r="D484" s="391">
        <v>36</v>
      </c>
    </row>
    <row r="485" spans="1:4" x14ac:dyDescent="0.25">
      <c r="A485" s="390" t="s">
        <v>202</v>
      </c>
      <c r="B485" s="206" t="s">
        <v>170</v>
      </c>
      <c r="C485" s="402" t="s">
        <v>549</v>
      </c>
      <c r="D485" s="391">
        <v>39</v>
      </c>
    </row>
    <row r="486" spans="1:4" x14ac:dyDescent="0.25">
      <c r="A486" s="390" t="s">
        <v>203</v>
      </c>
      <c r="B486" s="206" t="s">
        <v>171</v>
      </c>
      <c r="C486" s="402" t="s">
        <v>1117</v>
      </c>
      <c r="D486" s="391">
        <v>36</v>
      </c>
    </row>
    <row r="487" spans="1:4" ht="25.5" x14ac:dyDescent="0.25">
      <c r="A487" s="390" t="s">
        <v>204</v>
      </c>
      <c r="B487" s="206" t="s">
        <v>172</v>
      </c>
      <c r="C487" s="403" t="s">
        <v>556</v>
      </c>
      <c r="D487" s="391">
        <v>40</v>
      </c>
    </row>
    <row r="488" spans="1:4" x14ac:dyDescent="0.25">
      <c r="A488" s="392" t="s">
        <v>205</v>
      </c>
      <c r="B488" s="166" t="s">
        <v>174</v>
      </c>
      <c r="C488" s="402" t="s">
        <v>661</v>
      </c>
      <c r="D488" s="391" t="s">
        <v>662</v>
      </c>
    </row>
    <row r="489" spans="1:4" x14ac:dyDescent="0.25">
      <c r="A489" s="392" t="s">
        <v>206</v>
      </c>
      <c r="B489" s="166" t="s">
        <v>175</v>
      </c>
      <c r="C489" s="403" t="s">
        <v>535</v>
      </c>
      <c r="D489" s="391">
        <v>22</v>
      </c>
    </row>
    <row r="490" spans="1:4" x14ac:dyDescent="0.25">
      <c r="A490" s="390" t="s">
        <v>216</v>
      </c>
      <c r="B490" s="166" t="s">
        <v>1050</v>
      </c>
      <c r="C490" s="402" t="s">
        <v>661</v>
      </c>
      <c r="D490" s="391" t="s">
        <v>662</v>
      </c>
    </row>
    <row r="491" spans="1:4" x14ac:dyDescent="0.25">
      <c r="A491" s="390" t="s">
        <v>217</v>
      </c>
      <c r="B491" s="166" t="s">
        <v>185</v>
      </c>
      <c r="C491" s="404" t="s">
        <v>1191</v>
      </c>
      <c r="D491" s="391">
        <v>45</v>
      </c>
    </row>
    <row r="492" spans="1:4" ht="25.5" x14ac:dyDescent="0.25">
      <c r="A492" s="392" t="s">
        <v>207</v>
      </c>
      <c r="B492" s="166" t="s">
        <v>177</v>
      </c>
      <c r="C492" s="403" t="s">
        <v>561</v>
      </c>
      <c r="D492" s="391">
        <v>7</v>
      </c>
    </row>
    <row r="493" spans="1:4" ht="25.5" x14ac:dyDescent="0.25">
      <c r="A493" s="390" t="s">
        <v>208</v>
      </c>
      <c r="B493" s="166" t="s">
        <v>178</v>
      </c>
      <c r="C493" s="402" t="s">
        <v>562</v>
      </c>
      <c r="D493" s="391">
        <v>6</v>
      </c>
    </row>
    <row r="494" spans="1:4" ht="38.25" x14ac:dyDescent="0.25">
      <c r="A494" s="390" t="s">
        <v>209</v>
      </c>
      <c r="B494" s="166" t="s">
        <v>179</v>
      </c>
      <c r="C494" s="402" t="s">
        <v>563</v>
      </c>
      <c r="D494" s="391">
        <v>8</v>
      </c>
    </row>
    <row r="495" spans="1:4" x14ac:dyDescent="0.25">
      <c r="A495" s="392" t="s">
        <v>210</v>
      </c>
      <c r="B495" s="166" t="s">
        <v>181</v>
      </c>
      <c r="C495" s="402" t="s">
        <v>661</v>
      </c>
      <c r="D495" s="391" t="s">
        <v>662</v>
      </c>
    </row>
    <row r="496" spans="1:4" ht="25.5" x14ac:dyDescent="0.25">
      <c r="A496" s="392" t="s">
        <v>211</v>
      </c>
      <c r="B496" s="166" t="s">
        <v>624</v>
      </c>
      <c r="C496" s="403" t="s">
        <v>569</v>
      </c>
      <c r="D496" s="391">
        <v>29</v>
      </c>
    </row>
    <row r="497" spans="1:4" x14ac:dyDescent="0.25">
      <c r="A497" s="390" t="s">
        <v>625</v>
      </c>
      <c r="B497" s="166" t="s">
        <v>158</v>
      </c>
      <c r="C497" s="402" t="s">
        <v>552</v>
      </c>
      <c r="D497" s="391">
        <v>25</v>
      </c>
    </row>
    <row r="498" spans="1:4" x14ac:dyDescent="0.25">
      <c r="A498" s="392" t="s">
        <v>212</v>
      </c>
      <c r="B498" s="166" t="s">
        <v>181</v>
      </c>
      <c r="C498" s="402" t="s">
        <v>530</v>
      </c>
      <c r="D498" s="391">
        <v>2</v>
      </c>
    </row>
    <row r="499" spans="1:4" x14ac:dyDescent="0.25">
      <c r="A499" s="390" t="s">
        <v>213</v>
      </c>
      <c r="B499" s="166" t="s">
        <v>158</v>
      </c>
      <c r="C499" s="402" t="s">
        <v>552</v>
      </c>
      <c r="D499" s="391">
        <v>25</v>
      </c>
    </row>
    <row r="500" spans="1:4" x14ac:dyDescent="0.25">
      <c r="A500" s="392" t="s">
        <v>214</v>
      </c>
      <c r="B500" s="166" t="s">
        <v>181</v>
      </c>
      <c r="C500" s="402" t="s">
        <v>661</v>
      </c>
      <c r="D500" s="391" t="s">
        <v>662</v>
      </c>
    </row>
    <row r="501" spans="1:4" x14ac:dyDescent="0.25">
      <c r="A501" s="398" t="s">
        <v>215</v>
      </c>
      <c r="B501" s="399" t="s">
        <v>158</v>
      </c>
      <c r="C501" s="405" t="s">
        <v>546</v>
      </c>
      <c r="D501" s="400">
        <v>37</v>
      </c>
    </row>
  </sheetData>
  <sortState ref="A2:D480">
    <sortCondition ref="A2:A480"/>
  </sortState>
  <pageMargins left="0.70866141732283472" right="0.70866141732283472" top="0.74803149606299213" bottom="0.74803149606299213" header="0.31496062992125984" footer="0.31496062992125984"/>
  <pageSetup scale="33" fitToHeight="4" orientation="portrait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62234CA8-3147-4AAC-9A0F-10FBF124E955}">
            <xm:f>NOT(ISERROR(SEARCH(#REF!,B95)))</xm:f>
            <xm:f>#REF!</xm:f>
            <x14:dxf>
              <fill>
                <patternFill>
                  <bgColor theme="9" tint="0.79998168889431442"/>
                </patternFill>
              </fill>
            </x14:dxf>
          </x14:cfRule>
          <xm:sqref>B95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>
    <tabColor rgb="FFFFC000"/>
  </sheetPr>
  <dimension ref="A1:U616"/>
  <sheetViews>
    <sheetView showGridLines="0" workbookViewId="0"/>
  </sheetViews>
  <sheetFormatPr defaultRowHeight="15" x14ac:dyDescent="0.25"/>
  <cols>
    <col min="1" max="1" width="9.28515625" customWidth="1"/>
    <col min="2" max="2" width="17.28515625" style="36" customWidth="1"/>
    <col min="3" max="3" width="148.85546875" customWidth="1"/>
    <col min="4" max="10" width="9.140625" customWidth="1"/>
    <col min="11" max="11" width="9.28515625" style="37" bestFit="1" customWidth="1"/>
    <col min="12" max="12" width="13.28515625" bestFit="1" customWidth="1"/>
    <col min="13" max="13" width="9.140625" customWidth="1"/>
    <col min="14" max="16" width="9.28515625" bestFit="1" customWidth="1"/>
  </cols>
  <sheetData>
    <row r="1" spans="1:21" s="39" customFormat="1" x14ac:dyDescent="0.25">
      <c r="B1" s="36"/>
      <c r="K1" s="454" t="s">
        <v>1205</v>
      </c>
      <c r="L1" s="454" t="s">
        <v>575</v>
      </c>
      <c r="M1" s="453" t="s">
        <v>1208</v>
      </c>
      <c r="N1" s="453"/>
      <c r="O1" s="453"/>
      <c r="P1" s="453"/>
    </row>
    <row r="2" spans="1:21" x14ac:dyDescent="0.25">
      <c r="A2" s="452" t="s">
        <v>1207</v>
      </c>
      <c r="B2" s="452"/>
      <c r="C2" s="452"/>
      <c r="D2" s="69"/>
      <c r="E2" s="69"/>
      <c r="F2" s="69"/>
      <c r="G2" s="69"/>
      <c r="H2" s="69"/>
      <c r="I2" s="69"/>
      <c r="J2" s="69"/>
      <c r="K2" s="454"/>
      <c r="L2" s="454"/>
      <c r="M2" s="331">
        <v>2014</v>
      </c>
      <c r="N2" s="380">
        <v>2015</v>
      </c>
      <c r="O2" s="380">
        <v>2016</v>
      </c>
      <c r="P2" s="332">
        <v>2017</v>
      </c>
    </row>
    <row r="3" spans="1:21" x14ac:dyDescent="0.25">
      <c r="A3" s="69">
        <v>110000</v>
      </c>
      <c r="B3" s="207" t="e">
        <f>VLOOKUP(A3,pravidla_SDcast!$A$1:$D$458,4,FALSE)</f>
        <v>#N/A</v>
      </c>
      <c r="C3" s="69" t="s">
        <v>762</v>
      </c>
      <c r="D3" s="69"/>
      <c r="E3" s="69"/>
      <c r="F3" s="69"/>
      <c r="G3" s="69"/>
      <c r="H3" s="69"/>
      <c r="I3" s="69"/>
      <c r="J3" s="69"/>
      <c r="K3" s="406">
        <v>2</v>
      </c>
      <c r="L3" s="408">
        <v>0</v>
      </c>
      <c r="M3" s="381">
        <v>0</v>
      </c>
      <c r="N3" s="128">
        <v>0</v>
      </c>
      <c r="O3" s="128">
        <v>0</v>
      </c>
      <c r="P3" s="407">
        <v>0</v>
      </c>
    </row>
    <row r="4" spans="1:21" x14ac:dyDescent="0.25">
      <c r="A4" s="69">
        <v>111000</v>
      </c>
      <c r="B4" s="207" t="e">
        <f>VLOOKUP(A4,pravidla_SDcast!$A$1:$D$458,4,FALSE)</f>
        <v>#N/A</v>
      </c>
      <c r="C4" s="69" t="s">
        <v>763</v>
      </c>
      <c r="D4" s="69"/>
      <c r="E4" s="69"/>
      <c r="F4" s="69"/>
      <c r="G4" s="69"/>
      <c r="H4" s="69"/>
      <c r="I4" s="69"/>
      <c r="J4" s="69"/>
      <c r="K4" s="406" t="s">
        <v>662</v>
      </c>
      <c r="L4" s="409"/>
      <c r="M4" s="381"/>
      <c r="N4" s="128"/>
      <c r="O4" s="128"/>
      <c r="P4" s="407"/>
    </row>
    <row r="5" spans="1:21" x14ac:dyDescent="0.25">
      <c r="A5" s="69">
        <v>111001</v>
      </c>
      <c r="B5" s="207" t="str">
        <f>VLOOKUP(A5,pravidla_SDcast!$A$1:$D$458,4,FALSE)</f>
        <v>data</v>
      </c>
      <c r="C5" s="69" t="s">
        <v>764</v>
      </c>
      <c r="D5" s="69"/>
      <c r="E5" s="69"/>
      <c r="F5" s="69"/>
      <c r="G5" s="69"/>
      <c r="H5" s="69"/>
      <c r="I5" s="69"/>
      <c r="J5" s="69"/>
      <c r="K5" s="406">
        <v>6</v>
      </c>
      <c r="L5" s="409" t="s">
        <v>934</v>
      </c>
      <c r="M5" s="381">
        <f>(1+(SD_prognozy!G15+SD_prognozy!G17)/200)</f>
        <v>1.0182669475227719</v>
      </c>
      <c r="N5" s="128">
        <f>(1+(SD_prognozy!H15+SD_prognozy!H17)/200)</f>
        <v>1.0288633447247482</v>
      </c>
      <c r="O5" s="128">
        <f>(1+(SD_prognozy!I15+SD_prognozy!I17)/200)</f>
        <v>1.0327404671523821</v>
      </c>
      <c r="P5" s="407">
        <f>(1+(SD_prognozy!J15+SD_prognozy!J17)/200)</f>
        <v>1.0348238817731636</v>
      </c>
    </row>
    <row r="6" spans="1:21" x14ac:dyDescent="0.25">
      <c r="A6" s="69">
        <v>111002</v>
      </c>
      <c r="B6" s="207" t="str">
        <f>VLOOKUP(A6,pravidla_SDcast!$A$1:$D$458,4,FALSE)</f>
        <v>data</v>
      </c>
      <c r="C6" s="69" t="s">
        <v>765</v>
      </c>
      <c r="D6" s="69"/>
      <c r="E6" s="69"/>
      <c r="F6" s="69"/>
      <c r="G6" s="69"/>
      <c r="H6" s="69"/>
      <c r="I6" s="69"/>
      <c r="J6" s="69"/>
      <c r="K6" s="406">
        <v>7</v>
      </c>
      <c r="L6" s="409" t="s">
        <v>935</v>
      </c>
      <c r="M6" s="381">
        <f>(1+SD_prognozy!E15/100)*(SD_prognozy!G32/SD_prognozy!F32)</f>
        <v>1.0195104985508303</v>
      </c>
      <c r="N6" s="128">
        <f>(1+SD_prognozy!F15/100)*(SD_prognozy!H32/SD_prognozy!G32)</f>
        <v>1.0222467321656921</v>
      </c>
      <c r="O6" s="128">
        <f>(1+SD_prognozy!G15/100)*(SD_prognozy!I32/SD_prognozy!H32)</f>
        <v>1.0247239733605478</v>
      </c>
      <c r="P6" s="407">
        <f>(1+SD_prognozy!H15/100)*(SD_prognozy!J32/SD_prognozy!I32)</f>
        <v>1.0309750653163063</v>
      </c>
    </row>
    <row r="7" spans="1:21" x14ac:dyDescent="0.25">
      <c r="A7" s="69">
        <v>111003</v>
      </c>
      <c r="B7" s="207">
        <f>VLOOKUP(A7,pravidla_SDcast!$A$1:$D$458,4,FALSE)</f>
        <v>2</v>
      </c>
      <c r="C7" s="69" t="s">
        <v>225</v>
      </c>
      <c r="D7" s="69"/>
      <c r="E7" s="69"/>
      <c r="F7" s="69"/>
      <c r="G7" s="69"/>
      <c r="H7" s="69"/>
      <c r="I7" s="69"/>
      <c r="J7" s="69"/>
      <c r="K7" s="406">
        <v>8</v>
      </c>
      <c r="L7" s="409" t="s">
        <v>936</v>
      </c>
      <c r="M7" s="381">
        <f>(1+SD_prognozy!E15/100)*(SD_prognozy!G24/SD_prognozy!F24)*(SD_prognozy!G83/SD_prognozy!F83)</f>
        <v>0.96427867383787458</v>
      </c>
      <c r="N7" s="128">
        <f>(1+SD_prognozy!F15/100)*(SD_prognozy!H24/SD_prognozy!G24)*(SD_prognozy!H83/SD_prognozy!G83)</f>
        <v>1.0277166044432038</v>
      </c>
      <c r="O7" s="128">
        <f>(1+SD_prognozy!G15/100)*(SD_prognozy!I24/SD_prognozy!H24)*(SD_prognozy!I83/SD_prognozy!H83)</f>
        <v>1.0316706425855562</v>
      </c>
      <c r="P7" s="407">
        <f>(1+SD_prognozy!H15/100)*(SD_prognozy!J24/SD_prognozy!I24)*(SD_prognozy!J83/SD_prognozy!I83)</f>
        <v>1.0395987703725409</v>
      </c>
    </row>
    <row r="8" spans="1:21" x14ac:dyDescent="0.25">
      <c r="A8" s="69">
        <v>111004</v>
      </c>
      <c r="B8" s="207" t="str">
        <f>VLOOKUP(A8,pravidla_SDcast!$A$1:$D$458,4,FALSE)</f>
        <v>data</v>
      </c>
      <c r="C8" s="69" t="s">
        <v>226</v>
      </c>
      <c r="D8" s="69"/>
      <c r="E8" s="69"/>
      <c r="F8" s="69"/>
      <c r="G8" s="69"/>
      <c r="H8" s="69"/>
      <c r="I8" s="69"/>
      <c r="J8" s="69"/>
      <c r="K8" s="406">
        <v>9</v>
      </c>
      <c r="L8" s="409" t="s">
        <v>937</v>
      </c>
      <c r="M8" s="415">
        <v>1</v>
      </c>
      <c r="N8" s="130">
        <v>1</v>
      </c>
      <c r="O8" s="130">
        <v>1</v>
      </c>
      <c r="P8" s="410">
        <v>1</v>
      </c>
    </row>
    <row r="9" spans="1:21" x14ac:dyDescent="0.25">
      <c r="A9" s="69">
        <v>112000</v>
      </c>
      <c r="B9" s="207">
        <f>VLOOKUP(A9,pravidla_SDcast!$A$1:$D$458,4,FALSE)</f>
        <v>2</v>
      </c>
      <c r="C9" s="69" t="s">
        <v>766</v>
      </c>
      <c r="D9" s="69"/>
      <c r="E9" s="69"/>
      <c r="F9" s="69"/>
      <c r="G9" s="69"/>
      <c r="H9" s="69"/>
      <c r="I9" s="69"/>
      <c r="J9" s="69"/>
      <c r="K9" s="406">
        <v>21</v>
      </c>
      <c r="L9" s="409" t="s">
        <v>938</v>
      </c>
      <c r="M9" s="381">
        <v>0.75</v>
      </c>
      <c r="N9" s="128">
        <v>0.66666666666666663</v>
      </c>
      <c r="O9" s="128">
        <v>0.5</v>
      </c>
      <c r="P9" s="407">
        <v>0</v>
      </c>
    </row>
    <row r="10" spans="1:21" x14ac:dyDescent="0.25">
      <c r="A10" s="69">
        <v>112001</v>
      </c>
      <c r="B10" s="207" t="str">
        <f>VLOOKUP(A10,pravidla_SDcast!$A$1:$D$458,4,FALSE)</f>
        <v>data</v>
      </c>
      <c r="C10" s="69" t="s">
        <v>767</v>
      </c>
      <c r="D10" s="69"/>
      <c r="E10" s="69"/>
      <c r="F10" s="69"/>
      <c r="G10" s="69"/>
      <c r="H10" s="69"/>
      <c r="I10" s="69"/>
      <c r="J10" s="69"/>
      <c r="K10" s="406">
        <v>22</v>
      </c>
      <c r="L10" s="409" t="s">
        <v>120</v>
      </c>
      <c r="M10" s="381">
        <v>1</v>
      </c>
      <c r="N10" s="128">
        <v>1</v>
      </c>
      <c r="O10" s="128">
        <v>1</v>
      </c>
      <c r="P10" s="407">
        <v>1</v>
      </c>
    </row>
    <row r="11" spans="1:21" x14ac:dyDescent="0.25">
      <c r="A11" s="69">
        <v>112003</v>
      </c>
      <c r="B11" s="207" t="str">
        <f>VLOOKUP(A11,pravidla_SDcast!$A$1:$D$458,4,FALSE)</f>
        <v>data</v>
      </c>
      <c r="C11" s="69" t="s">
        <v>766</v>
      </c>
      <c r="D11" s="69"/>
      <c r="E11" s="69"/>
      <c r="F11" s="69"/>
      <c r="G11" s="69"/>
      <c r="H11" s="69"/>
      <c r="I11" s="69"/>
      <c r="J11" s="69"/>
      <c r="K11" s="406">
        <v>23</v>
      </c>
      <c r="L11" s="409" t="s">
        <v>939</v>
      </c>
      <c r="M11" s="381">
        <f>(1+SD_prognozy!G17/100)*(SD_prognozy!G24/SD_prognozy!F24)</f>
        <v>1.010308870710277</v>
      </c>
      <c r="N11" s="128">
        <f>(1+SD_prognozy!H17/100)*(SD_prognozy!H24/SD_prognozy!G24)</f>
        <v>1.0234785307931549</v>
      </c>
      <c r="O11" s="128">
        <f>(1+SD_prognozy!I17/100)*(SD_prognozy!I24/SD_prognozy!H24)</f>
        <v>1.0254155786658481</v>
      </c>
      <c r="P11" s="407">
        <f>(1+SD_prognozy!J17/100)*(SD_prognozy!J24/SD_prognozy!I24)</f>
        <v>1.0261411252068726</v>
      </c>
    </row>
    <row r="12" spans="1:21" x14ac:dyDescent="0.25">
      <c r="A12" s="69">
        <v>113000</v>
      </c>
      <c r="B12" s="207" t="str">
        <f>VLOOKUP(A12,pravidla_SDcast!$A$1:$D$458,4,FALSE)</f>
        <v>data</v>
      </c>
      <c r="C12" s="69" t="s">
        <v>149</v>
      </c>
      <c r="D12" s="69"/>
      <c r="E12" s="69"/>
      <c r="F12" s="69"/>
      <c r="G12" s="69"/>
      <c r="H12" s="69"/>
      <c r="I12" s="69"/>
      <c r="J12" s="69"/>
      <c r="K12" s="406">
        <v>24</v>
      </c>
      <c r="L12" s="409" t="s">
        <v>940</v>
      </c>
      <c r="M12" s="381">
        <f>(1+(SD_prognozy!G17*0.2+SD_prognozy!G15*0.8)/100)*(SD_prognozy!G30/SD_prognozy!F30)</f>
        <v>1.0031470753045437</v>
      </c>
      <c r="N12" s="128">
        <f>(1+(SD_prognozy!H17*0.2+SD_prognozy!H15*0.8)/100)*(SD_prognozy!H30/SD_prognozy!G30)</f>
        <v>1.0235365381428316</v>
      </c>
      <c r="O12" s="128">
        <f>(1+(SD_prognozy!I17*0.2+SD_prognozy!I15*0.8)/100)*(SD_prognozy!I30/SD_prognozy!H30)</f>
        <v>1.0382918853523193</v>
      </c>
      <c r="P12" s="407">
        <f>(1+(SD_prognozy!J17*0.2+SD_prognozy!J15*0.8)/100)*(SD_prognozy!J30/SD_prognozy!I30)</f>
        <v>1.0404291942855155</v>
      </c>
    </row>
    <row r="13" spans="1:21" x14ac:dyDescent="0.25">
      <c r="A13" s="69">
        <v>120000</v>
      </c>
      <c r="B13" s="207" t="e">
        <f>VLOOKUP(A13,pravidla_SDcast!$A$1:$D$458,4,FALSE)</f>
        <v>#N/A</v>
      </c>
      <c r="C13" s="69" t="s">
        <v>768</v>
      </c>
      <c r="D13" s="69"/>
      <c r="E13" s="69"/>
      <c r="F13" s="69"/>
      <c r="G13" s="69"/>
      <c r="H13" s="69"/>
      <c r="I13" s="69"/>
      <c r="J13" s="69"/>
      <c r="K13" s="406">
        <v>25</v>
      </c>
      <c r="L13" s="409" t="s">
        <v>33</v>
      </c>
      <c r="M13" s="381">
        <f>(1+SD_prognozy!G17/100)</f>
        <v>1.0075474945023764</v>
      </c>
      <c r="N13" s="128">
        <f>(1+SD_prognozy!H17/100)</f>
        <v>1.0207496303941728</v>
      </c>
      <c r="O13" s="128">
        <f>(1+SD_prognozy!I17/100)</f>
        <v>1.0227476112995606</v>
      </c>
      <c r="P13" s="407">
        <f>(1+SD_prognozy!J17/100)</f>
        <v>1.0235533520412188</v>
      </c>
      <c r="S13" s="39"/>
      <c r="T13" s="39"/>
      <c r="U13" s="39"/>
    </row>
    <row r="14" spans="1:21" x14ac:dyDescent="0.25">
      <c r="A14" s="69">
        <v>121000</v>
      </c>
      <c r="B14" s="207" t="e">
        <f>VLOOKUP(A14,pravidla_SDcast!$A$1:$D$458,4,FALSE)</f>
        <v>#N/A</v>
      </c>
      <c r="C14" s="69" t="s">
        <v>769</v>
      </c>
      <c r="D14" s="69"/>
      <c r="E14" s="69"/>
      <c r="F14" s="69"/>
      <c r="G14" s="69"/>
      <c r="H14" s="69"/>
      <c r="I14" s="69"/>
      <c r="J14" s="69"/>
      <c r="K14" s="406">
        <v>26</v>
      </c>
      <c r="L14" s="409" t="s">
        <v>941</v>
      </c>
      <c r="M14" s="381">
        <f>(1+SD_prognozy!G17/100)*(SD_prognozy!G16/SD_prognozy!F16)</f>
        <v>0.97736247591992087</v>
      </c>
      <c r="N14" s="128">
        <f>(1+SD_prognozy!H17/100)*(SD_prognozy!H16/SD_prognozy!G16)</f>
        <v>0.96628306188389657</v>
      </c>
      <c r="O14" s="128">
        <f>(1+SD_prognozy!I17/100)*(SD_prognozy!I16/SD_prognozy!H16)</f>
        <v>0.94945058036838093</v>
      </c>
      <c r="P14" s="407">
        <f>(1+SD_prognozy!J17/100)*(SD_prognozy!J16/SD_prognozy!I16)</f>
        <v>0.93585637013226564</v>
      </c>
    </row>
    <row r="15" spans="1:21" x14ac:dyDescent="0.25">
      <c r="A15" s="69">
        <v>121001</v>
      </c>
      <c r="B15" s="207">
        <f>VLOOKUP(A15,pravidla_SDcast!$A$1:$D$458,4,FALSE)</f>
        <v>22</v>
      </c>
      <c r="C15" s="69" t="s">
        <v>229</v>
      </c>
      <c r="D15" s="69"/>
      <c r="E15" s="69"/>
      <c r="F15" s="69"/>
      <c r="G15" s="69"/>
      <c r="H15" s="69"/>
      <c r="I15" s="69"/>
      <c r="J15" s="69"/>
      <c r="K15" s="406">
        <v>27</v>
      </c>
      <c r="L15" s="409" t="s">
        <v>942</v>
      </c>
      <c r="M15" s="381">
        <f>(1+SD_prognozy!G17/100)*(SD_prognozy!G31/SD_prognozy!F31)</f>
        <v>0.9783470381967273</v>
      </c>
      <c r="N15" s="128">
        <f>(1+SD_prognozy!H17/100)*(SD_prognozy!H31/SD_prognozy!G31)</f>
        <v>0.98992651234068441</v>
      </c>
      <c r="O15" s="128">
        <f>(1+SD_prognozy!I17/100)*(SD_prognozy!I31/SD_prognozy!H31)</f>
        <v>0.99296740004202477</v>
      </c>
      <c r="P15" s="407">
        <f>(1+SD_prognozy!J17/100)*(SD_prognozy!J31/SD_prognozy!I31)</f>
        <v>0.9877348471170917</v>
      </c>
    </row>
    <row r="16" spans="1:21" x14ac:dyDescent="0.25">
      <c r="A16" s="69">
        <v>121002</v>
      </c>
      <c r="B16" s="207">
        <f>VLOOKUP(A16,pravidla_SDcast!$A$1:$D$458,4,FALSE)</f>
        <v>22</v>
      </c>
      <c r="C16" s="69" t="s">
        <v>230</v>
      </c>
      <c r="D16" s="69"/>
      <c r="E16" s="69"/>
      <c r="F16" s="69"/>
      <c r="G16" s="69"/>
      <c r="H16" s="69"/>
      <c r="I16" s="69"/>
      <c r="J16" s="69"/>
      <c r="K16" s="406">
        <v>29</v>
      </c>
      <c r="L16" s="409" t="s">
        <v>943</v>
      </c>
      <c r="M16" s="381">
        <f>(1+(SD_prognozy!G15*SD_prognozy!G84/100+SD_prognozy!G17*(1-SD_prognozy!G84/100))/100)</f>
        <v>1.0225547287309302</v>
      </c>
      <c r="N16" s="128">
        <f>(1+(SD_prognozy!H15*SD_prognozy!H84/100+SD_prognozy!H17*(1-SD_prognozy!H84/100))/100)</f>
        <v>1.0321088304569783</v>
      </c>
      <c r="O16" s="128">
        <f>(1+(SD_prognozy!I15*SD_prognozy!I84/100+SD_prognozy!I17*(1-SD_prognozy!I84/100))/100)</f>
        <v>1.0367376094935108</v>
      </c>
      <c r="P16" s="407">
        <f>(1+(SD_prognozy!J15*SD_prognozy!J84/100+SD_prognozy!J17*(1-SD_prognozy!J84/100))/100)</f>
        <v>1.0393320936659414</v>
      </c>
    </row>
    <row r="17" spans="1:21" x14ac:dyDescent="0.25">
      <c r="A17" s="69">
        <v>121003</v>
      </c>
      <c r="B17" s="207">
        <f>VLOOKUP(A17,pravidla_SDcast!$A$1:$D$458,4,FALSE)</f>
        <v>32</v>
      </c>
      <c r="C17" s="69" t="s">
        <v>231</v>
      </c>
      <c r="D17" s="69"/>
      <c r="E17" s="69"/>
      <c r="F17" s="69"/>
      <c r="G17" s="69"/>
      <c r="H17" s="69"/>
      <c r="I17" s="69"/>
      <c r="J17" s="69"/>
      <c r="K17" s="406">
        <v>30</v>
      </c>
      <c r="L17" s="409" t="s">
        <v>944</v>
      </c>
      <c r="M17" s="381">
        <f>(1+SD_prognozy!G17/100)*(SD_prognozy!G35/SD_prognozy!F35)</f>
        <v>0.92065163254287441</v>
      </c>
      <c r="N17" s="128">
        <f>(1+SD_prognozy!H17/100)*(SD_prognozy!H35/SD_prognozy!G35)</f>
        <v>1.0463587549516433</v>
      </c>
      <c r="O17" s="128">
        <f>(1+SD_prognozy!I17/100)*(SD_prognozy!I35/SD_prognozy!H35)</f>
        <v>1.0793049519957982</v>
      </c>
      <c r="P17" s="407">
        <f>(1+SD_prognozy!J17/100)*(SD_prognozy!J35/SD_prognozy!I35)</f>
        <v>1.0395870051787843</v>
      </c>
    </row>
    <row r="18" spans="1:21" x14ac:dyDescent="0.25">
      <c r="A18" s="69">
        <v>122000</v>
      </c>
      <c r="B18" s="207">
        <f>VLOOKUP(A18,pravidla_SDcast!$A$1:$D$458,4,FALSE)</f>
        <v>21</v>
      </c>
      <c r="C18" s="69" t="s">
        <v>232</v>
      </c>
      <c r="D18" s="69"/>
      <c r="E18" s="69"/>
      <c r="F18" s="69"/>
      <c r="G18" s="69"/>
      <c r="H18" s="69"/>
      <c r="I18" s="69"/>
      <c r="J18" s="69"/>
      <c r="K18" s="406">
        <v>31</v>
      </c>
      <c r="L18" s="409" t="s">
        <v>18</v>
      </c>
      <c r="M18" s="381">
        <f>(1+SD_prognozy!G10/100)</f>
        <v>1.0234719817846214</v>
      </c>
      <c r="N18" s="128">
        <f>(1+SD_prognozy!H10/100)</f>
        <v>1.0296833375786412</v>
      </c>
      <c r="O18" s="128">
        <f>(1+SD_prognozy!I10/100)</f>
        <v>1.0320332830546541</v>
      </c>
      <c r="P18" s="407">
        <f>(1+SD_prognozy!J10/100)</f>
        <v>1.0344881269359096</v>
      </c>
    </row>
    <row r="19" spans="1:21" x14ac:dyDescent="0.25">
      <c r="A19" s="69">
        <v>123000</v>
      </c>
      <c r="B19" s="207" t="e">
        <f>VLOOKUP(A19,pravidla_SDcast!$A$1:$D$458,4,FALSE)</f>
        <v>#N/A</v>
      </c>
      <c r="C19" s="69" t="s">
        <v>770</v>
      </c>
      <c r="D19" s="69"/>
      <c r="E19" s="69"/>
      <c r="F19" s="69"/>
      <c r="G19" s="69"/>
      <c r="H19" s="69"/>
      <c r="I19" s="69"/>
      <c r="J19" s="69"/>
      <c r="K19" s="406">
        <v>32</v>
      </c>
      <c r="L19" s="409" t="s">
        <v>945</v>
      </c>
      <c r="M19" s="381">
        <f>POWER((1+SD_prognozy!E10/100)*(1+SD_prognozy!F10/100)*(1+SD_prognozy!G10/100),1/3)</f>
        <v>1.0166680970448516</v>
      </c>
      <c r="N19" s="128">
        <f>POWER((1+SD_prognozy!F10/100)*(1+SD_prognozy!G10/100)*(1+SD_prognozy!H10/100),1/3)</f>
        <v>1.020538301047224</v>
      </c>
      <c r="O19" s="128">
        <f>POWER((1+SD_prognozy!G10/100)*(1+SD_prognozy!H10/100)*(1+SD_prognozy!I10/100),1/3)</f>
        <v>1.0283898514218808</v>
      </c>
      <c r="P19" s="407">
        <f>POWER((1+SD_prognozy!H10/100)*(1+SD_prognozy!I10/100)*(1+SD_prognozy!J10/100),1/3)</f>
        <v>1.0320663848969842</v>
      </c>
    </row>
    <row r="20" spans="1:21" x14ac:dyDescent="0.25">
      <c r="A20" s="69">
        <v>123001</v>
      </c>
      <c r="B20" s="207">
        <f>VLOOKUP(A20,pravidla_SDcast!$A$1:$D$458,4,FALSE)</f>
        <v>21</v>
      </c>
      <c r="C20" s="69" t="s">
        <v>233</v>
      </c>
      <c r="D20" s="69"/>
      <c r="E20" s="69"/>
      <c r="F20" s="69"/>
      <c r="G20" s="69"/>
      <c r="H20" s="69"/>
      <c r="I20" s="69"/>
      <c r="J20" s="69"/>
      <c r="K20" s="406">
        <v>33</v>
      </c>
      <c r="L20" s="409" t="s">
        <v>22</v>
      </c>
      <c r="M20" s="381">
        <f>(1+SD_prognozy!G12/100)</f>
        <v>1.013603480888172</v>
      </c>
      <c r="N20" s="128">
        <f>(1+SD_prognozy!H12/100)</f>
        <v>1.0225834829099649</v>
      </c>
      <c r="O20" s="128">
        <f>(1+SD_prognozy!I12/100)</f>
        <v>1.0227921046709576</v>
      </c>
      <c r="P20" s="407">
        <f>(1+SD_prognozy!J12/100)</f>
        <v>1.0272922709045709</v>
      </c>
    </row>
    <row r="21" spans="1:21" x14ac:dyDescent="0.25">
      <c r="A21" s="69">
        <v>129000</v>
      </c>
      <c r="B21" s="207">
        <f>VLOOKUP(A21,pravidla_SDcast!$A$1:$D$458,4,FALSE)</f>
        <v>2</v>
      </c>
      <c r="C21" s="69" t="s">
        <v>234</v>
      </c>
      <c r="D21" s="69"/>
      <c r="E21" s="69"/>
      <c r="F21" s="69"/>
      <c r="G21" s="69"/>
      <c r="H21" s="69"/>
      <c r="I21" s="69"/>
      <c r="J21" s="69"/>
      <c r="K21" s="406">
        <v>34</v>
      </c>
      <c r="L21" s="409" t="s">
        <v>946</v>
      </c>
      <c r="M21" s="381">
        <f>(1+SD_prognozy!G14/100)</f>
        <v>1.0033417510253826</v>
      </c>
      <c r="N21" s="128">
        <f>(1+SD_prognozy!H14/100)</f>
        <v>1.0062670699961467</v>
      </c>
      <c r="O21" s="128">
        <f>(1+SD_prognozy!I14/100)</f>
        <v>1.0074879485961992</v>
      </c>
      <c r="P21" s="407">
        <f>(1+SD_prognozy!J14/100)</f>
        <v>1.0093377104707575</v>
      </c>
    </row>
    <row r="22" spans="1:21" x14ac:dyDescent="0.25">
      <c r="A22" s="69">
        <v>130000</v>
      </c>
      <c r="B22" s="207" t="e">
        <f>VLOOKUP(A22,pravidla_SDcast!$A$1:$D$458,4,FALSE)</f>
        <v>#N/A</v>
      </c>
      <c r="C22" s="69" t="s">
        <v>771</v>
      </c>
      <c r="D22" s="69"/>
      <c r="E22" s="69"/>
      <c r="F22" s="69"/>
      <c r="G22" s="69"/>
      <c r="H22" s="69"/>
      <c r="I22" s="69"/>
      <c r="J22" s="69"/>
      <c r="K22" s="406">
        <v>35</v>
      </c>
      <c r="L22" s="409" t="s">
        <v>660</v>
      </c>
      <c r="M22" s="415">
        <f>EU_fondy!I13/EU_fondy!H13</f>
        <v>1.2802321433076178</v>
      </c>
      <c r="N22" s="130">
        <f>EU_fondy!J13/EU_fondy!I13</f>
        <v>1.0112413056782665</v>
      </c>
      <c r="O22" s="130">
        <f>EU_fondy!K13/EU_fondy!J13</f>
        <v>0.64232598957111275</v>
      </c>
      <c r="P22" s="410">
        <f>EU_fondy!L13/EU_fondy!K13</f>
        <v>1.3528479645416367</v>
      </c>
    </row>
    <row r="23" spans="1:21" x14ac:dyDescent="0.25">
      <c r="A23" s="69">
        <v>131000</v>
      </c>
      <c r="B23" s="207" t="str">
        <f>VLOOKUP(A23,pravidla_SDcast!$A$1:$D$458,4,FALSE)</f>
        <v>data</v>
      </c>
      <c r="C23" s="69" t="s">
        <v>674</v>
      </c>
      <c r="D23" s="69"/>
      <c r="E23" s="69"/>
      <c r="F23" s="69"/>
      <c r="G23" s="69"/>
      <c r="H23" s="69"/>
      <c r="I23" s="69"/>
      <c r="J23" s="69"/>
      <c r="K23" s="406">
        <v>36</v>
      </c>
      <c r="L23" s="409" t="s">
        <v>24</v>
      </c>
      <c r="M23" s="381">
        <f>1+SD_prognozy!G13/100</f>
        <v>1.0288504396107736</v>
      </c>
      <c r="N23" s="128">
        <f>1+SD_prognozy!H13/100</f>
        <v>1.0419081704682653</v>
      </c>
      <c r="O23" s="128">
        <f>1+SD_prognozy!I13/100</f>
        <v>1.0488443524154274</v>
      </c>
      <c r="P23" s="407">
        <f>1+SD_prognozy!J13/100</f>
        <v>1.0546639384327523</v>
      </c>
    </row>
    <row r="24" spans="1:21" x14ac:dyDescent="0.25">
      <c r="A24" s="69">
        <v>132000</v>
      </c>
      <c r="B24" s="207" t="e">
        <f>VLOOKUP(A24,pravidla_SDcast!$A$1:$D$458,4,FALSE)</f>
        <v>#N/A</v>
      </c>
      <c r="C24" s="69" t="s">
        <v>772</v>
      </c>
      <c r="D24" s="69"/>
      <c r="E24" s="69"/>
      <c r="F24" s="69"/>
      <c r="G24" s="69"/>
      <c r="H24" s="69"/>
      <c r="I24" s="69"/>
      <c r="J24" s="69"/>
      <c r="K24" s="406">
        <v>37</v>
      </c>
      <c r="L24" s="409" t="s">
        <v>15</v>
      </c>
      <c r="M24" s="381">
        <f>1+SD_prognozy!G9/100</f>
        <v>1.0324663054777168</v>
      </c>
      <c r="N24" s="128">
        <f>1+SD_prognozy!H9/100</f>
        <v>1.0442277332069565</v>
      </c>
      <c r="O24" s="128">
        <f>1+SD_prognozy!I9/100</f>
        <v>1.0504334819509229</v>
      </c>
      <c r="P24" s="407">
        <f>1+SD_prognozy!J9/100</f>
        <v>1.0550796198924557</v>
      </c>
    </row>
    <row r="25" spans="1:21" x14ac:dyDescent="0.25">
      <c r="A25" s="69">
        <v>132001</v>
      </c>
      <c r="B25" s="207" t="str">
        <f>VLOOKUP(A25,pravidla_SDcast!$A$1:$D$458,4,FALSE)</f>
        <v>data</v>
      </c>
      <c r="C25" s="69" t="s">
        <v>236</v>
      </c>
      <c r="D25" s="69"/>
      <c r="E25" s="69"/>
      <c r="F25" s="69"/>
      <c r="G25" s="69"/>
      <c r="H25" s="69"/>
      <c r="I25" s="69"/>
      <c r="J25" s="69"/>
      <c r="K25" s="406">
        <v>38</v>
      </c>
      <c r="L25" s="409" t="s">
        <v>947</v>
      </c>
      <c r="M25" s="381">
        <f>(SD_prognozy!G4-SD_prognozy!G6)/(SD_prognozy!F4-SD_prognozy!F6)</f>
        <v>1.0352916387335824</v>
      </c>
      <c r="N25" s="128">
        <f>(SD_prognozy!H4-SD_prognozy!H6)/(SD_prognozy!G4-SD_prognozy!G6)</f>
        <v>1.0461408967236239</v>
      </c>
      <c r="O25" s="128">
        <f>(SD_prognozy!I4-SD_prognozy!I6)/(SD_prognozy!H4-SD_prognozy!H6)</f>
        <v>1.0517608605570288</v>
      </c>
      <c r="P25" s="407">
        <f>(SD_prognozy!J4-SD_prognozy!J6)/(SD_prognozy!I4-SD_prognozy!I6)</f>
        <v>1.0554764402948591</v>
      </c>
    </row>
    <row r="26" spans="1:21" x14ac:dyDescent="0.25">
      <c r="A26" s="69">
        <v>132003</v>
      </c>
      <c r="B26" s="207" t="str">
        <f>VLOOKUP(A26,pravidla_SDcast!$A$1:$D$458,4,FALSE)</f>
        <v>data</v>
      </c>
      <c r="C26" s="69" t="s">
        <v>237</v>
      </c>
      <c r="D26" s="69"/>
      <c r="E26" s="69"/>
      <c r="F26" s="69"/>
      <c r="G26" s="69"/>
      <c r="H26" s="69"/>
      <c r="I26" s="69"/>
      <c r="J26" s="69"/>
      <c r="K26" s="406">
        <v>39</v>
      </c>
      <c r="L26" s="409" t="s">
        <v>28</v>
      </c>
      <c r="M26" s="381">
        <f>1+SD_prognozy!G15/100</f>
        <v>1.0289864005431675</v>
      </c>
      <c r="N26" s="128">
        <f>1+SD_prognozy!H15/100</f>
        <v>1.0369770590553236</v>
      </c>
      <c r="O26" s="128">
        <f>1+SD_prognozy!I15/100</f>
        <v>1.0427333230052036</v>
      </c>
      <c r="P26" s="407">
        <f>1+SD_prognozy!J15/100</f>
        <v>1.0460944115051083</v>
      </c>
      <c r="R26" s="39"/>
      <c r="S26" s="39"/>
      <c r="T26" s="39"/>
      <c r="U26" s="39"/>
    </row>
    <row r="27" spans="1:21" x14ac:dyDescent="0.25">
      <c r="A27" s="69">
        <v>132005</v>
      </c>
      <c r="B27" s="207" t="str">
        <f>VLOOKUP(A27,pravidla_SDcast!$A$1:$D$458,4,FALSE)</f>
        <v>data</v>
      </c>
      <c r="C27" s="69" t="s">
        <v>238</v>
      </c>
      <c r="D27" s="69"/>
      <c r="E27" s="69"/>
      <c r="F27" s="69"/>
      <c r="G27" s="69"/>
      <c r="H27" s="69"/>
      <c r="I27" s="69"/>
      <c r="J27" s="69"/>
      <c r="K27" s="406">
        <v>40</v>
      </c>
      <c r="L27" s="409" t="s">
        <v>948</v>
      </c>
      <c r="M27" s="381">
        <f>(1+SD_prognozy!G15/100)*(SD_prognozy!G25/SD_prognozy!F25)</f>
        <v>1.0764023148019859</v>
      </c>
      <c r="N27" s="128">
        <f>(1+SD_prognozy!H15/100)*(SD_prognozy!H25/SD_prognozy!G25)</f>
        <v>1.0304913509165998</v>
      </c>
      <c r="O27" s="128">
        <f>(1+SD_prognozy!I15/100)*(SD_prognozy!I25/SD_prognozy!H25)</f>
        <v>1.0342525082751373</v>
      </c>
      <c r="P27" s="407">
        <f>(1+SD_prognozy!J15/100)*(SD_prognozy!J25/SD_prognozy!I25)</f>
        <v>1.0356029678861036</v>
      </c>
    </row>
    <row r="28" spans="1:21" x14ac:dyDescent="0.25">
      <c r="A28" s="69">
        <v>132007</v>
      </c>
      <c r="B28" s="207" t="str">
        <f>VLOOKUP(A28,pravidla_SDcast!$A$1:$D$458,4,FALSE)</f>
        <v>data</v>
      </c>
      <c r="C28" s="69" t="s">
        <v>239</v>
      </c>
      <c r="D28" s="69"/>
      <c r="E28" s="69"/>
      <c r="F28" s="69"/>
      <c r="G28" s="69"/>
      <c r="H28" s="69"/>
      <c r="I28" s="69"/>
      <c r="J28" s="69"/>
      <c r="K28" s="406">
        <v>43</v>
      </c>
      <c r="L28" s="409" t="s">
        <v>949</v>
      </c>
      <c r="M28" s="381">
        <f>1+SD_prognozy!F15/100</f>
        <v>1.0249764040701366</v>
      </c>
      <c r="N28" s="128">
        <f>1+SD_prognozy!G15/100</f>
        <v>1.0289864005431675</v>
      </c>
      <c r="O28" s="128">
        <f>1+SD_prognozy!H15/100</f>
        <v>1.0369770590553236</v>
      </c>
      <c r="P28" s="407">
        <f>1+SD_prognozy!I15/100</f>
        <v>1.0427333230052036</v>
      </c>
      <c r="R28" s="16"/>
      <c r="S28" s="16"/>
      <c r="T28" s="16"/>
      <c r="U28" s="16"/>
    </row>
    <row r="29" spans="1:21" x14ac:dyDescent="0.25">
      <c r="A29" s="69">
        <v>132009</v>
      </c>
      <c r="B29" s="207" t="str">
        <f>VLOOKUP(A29,pravidla_SDcast!$A$1:$D$458,4,FALSE)</f>
        <v>data</v>
      </c>
      <c r="C29" s="69" t="s">
        <v>240</v>
      </c>
      <c r="D29" s="69"/>
      <c r="E29" s="69"/>
      <c r="F29" s="69"/>
      <c r="G29" s="69"/>
      <c r="H29" s="69"/>
      <c r="I29" s="69"/>
      <c r="J29" s="69"/>
      <c r="K29" s="406">
        <v>44</v>
      </c>
      <c r="L29" s="409" t="s">
        <v>950</v>
      </c>
      <c r="M29" s="381">
        <f>(1+SD_prognozy!G15/100)*(SD_prognozy!G16/SD_prognozy!F16)</f>
        <v>0.99815909583448981</v>
      </c>
      <c r="N29" s="128">
        <f>(1+SD_prognozy!H15/100)*(SD_prognozy!H16/SD_prognozy!G16)</f>
        <v>0.98164460499525108</v>
      </c>
      <c r="O29" s="128">
        <f>(1+SD_prognozy!I15/100)*(SD_prognozy!I16/SD_prognozy!H16)</f>
        <v>0.96800398041385893</v>
      </c>
      <c r="P29" s="407">
        <f>(1+SD_prognozy!J15/100)*(SD_prognozy!J16/SD_prognozy!I16)</f>
        <v>0.95646613516966417</v>
      </c>
      <c r="S29" s="39"/>
      <c r="T29" s="39"/>
      <c r="U29" s="39"/>
    </row>
    <row r="30" spans="1:21" x14ac:dyDescent="0.25">
      <c r="A30" s="69">
        <v>132011</v>
      </c>
      <c r="B30" s="207" t="str">
        <f>VLOOKUP(A30,pravidla_SDcast!$A$1:$D$458,4,FALSE)</f>
        <v>data</v>
      </c>
      <c r="C30" s="69" t="s">
        <v>241</v>
      </c>
      <c r="D30" s="69"/>
      <c r="E30" s="69"/>
      <c r="F30" s="69"/>
      <c r="G30" s="69"/>
      <c r="H30" s="69"/>
      <c r="I30" s="69"/>
      <c r="J30" s="69"/>
      <c r="K30" s="406">
        <v>45</v>
      </c>
      <c r="L30" s="409" t="s">
        <v>951</v>
      </c>
      <c r="M30" s="381">
        <f>(1+SD_prognozy!F19/100)*(SD_prognozy!G16/SD_prognozy!F16)</f>
        <v>0.98711928439144747</v>
      </c>
      <c r="N30" s="128">
        <f>(1+SD_prognozy!G19/100)*(SD_prognozy!H16/SD_prognozy!G16)</f>
        <v>0.94948054078186517</v>
      </c>
      <c r="O30" s="128">
        <f>(1+SD_prognozy!H19/100)*(SD_prognozy!I16/SD_prognozy!H16)</f>
        <v>0.94759578832660329</v>
      </c>
      <c r="P30" s="407">
        <f>(1+SD_prognozy!I19/100)*(SD_prognozy!J16/SD_prognozy!I16)</f>
        <v>0.93511966441560501</v>
      </c>
    </row>
    <row r="31" spans="1:21" x14ac:dyDescent="0.25">
      <c r="A31" s="69">
        <v>132012</v>
      </c>
      <c r="B31" s="207" t="str">
        <f>VLOOKUP(A31,pravidla_SDcast!$A$1:$D$458,4,FALSE)</f>
        <v>data</v>
      </c>
      <c r="C31" s="69" t="s">
        <v>242</v>
      </c>
      <c r="D31" s="69"/>
      <c r="E31" s="69"/>
      <c r="F31" s="69"/>
      <c r="G31" s="69"/>
      <c r="H31" s="69"/>
      <c r="I31" s="69"/>
      <c r="J31" s="69"/>
      <c r="K31" s="406">
        <v>46</v>
      </c>
      <c r="L31" s="409" t="s">
        <v>952</v>
      </c>
      <c r="M31" s="381">
        <f>SD_prognozy!G21/SD_prognozy!F21</f>
        <v>0.78338104057922209</v>
      </c>
      <c r="N31" s="128">
        <f>SD_prognozy!H21/SD_prognozy!G21</f>
        <v>0.9865663621708759</v>
      </c>
      <c r="O31" s="128">
        <f>SD_prognozy!I21/SD_prognozy!H21</f>
        <v>1.3540305010893248</v>
      </c>
      <c r="P31" s="407">
        <f>SD_prognozy!J21/SD_prognozy!I21</f>
        <v>1.4827031375703943</v>
      </c>
      <c r="S31" s="39"/>
      <c r="T31" s="39"/>
      <c r="U31" s="39"/>
    </row>
    <row r="32" spans="1:21" x14ac:dyDescent="0.25">
      <c r="A32" s="69">
        <v>132013</v>
      </c>
      <c r="B32" s="207" t="str">
        <f>VLOOKUP(A32,pravidla_SDcast!$A$1:$D$458,4,FALSE)</f>
        <v>data</v>
      </c>
      <c r="C32" s="69" t="s">
        <v>243</v>
      </c>
      <c r="D32" s="69"/>
      <c r="E32" s="69"/>
      <c r="F32" s="69"/>
      <c r="G32" s="69"/>
      <c r="H32" s="69"/>
      <c r="I32" s="69"/>
      <c r="J32" s="69"/>
      <c r="K32" s="406">
        <v>47</v>
      </c>
      <c r="L32" s="409" t="s">
        <v>953</v>
      </c>
      <c r="M32" s="381">
        <f>(SD_prognozy!G32/SD_prognozy!F32)</f>
        <v>0.99781227089931279</v>
      </c>
      <c r="N32" s="128">
        <f>(SD_prognozy!H32/SD_prognozy!G32)</f>
        <v>0.9973368441521141</v>
      </c>
      <c r="O32" s="128">
        <f>(SD_prognozy!I32/SD_prognozy!H32)</f>
        <v>0.99585764478483907</v>
      </c>
      <c r="P32" s="407">
        <f>(SD_prognozy!J32/SD_prognozy!I32)</f>
        <v>0.99421202842762502</v>
      </c>
      <c r="S32" s="39"/>
      <c r="T32" s="39"/>
      <c r="U32" s="39"/>
    </row>
    <row r="33" spans="1:21" x14ac:dyDescent="0.25">
      <c r="A33" s="69">
        <v>133000</v>
      </c>
      <c r="B33" s="207" t="e">
        <f>VLOOKUP(A33,pravidla_SDcast!$A$1:$D$458,4,FALSE)</f>
        <v>#N/A</v>
      </c>
      <c r="C33" s="69" t="s">
        <v>773</v>
      </c>
      <c r="D33" s="69"/>
      <c r="E33" s="69"/>
      <c r="F33" s="69"/>
      <c r="G33" s="69"/>
      <c r="H33" s="69"/>
      <c r="I33" s="69"/>
      <c r="J33" s="69"/>
      <c r="K33" s="406">
        <v>48</v>
      </c>
      <c r="L33" s="409" t="s">
        <v>954</v>
      </c>
      <c r="M33" s="415">
        <f>DD_projekcie!F46/DD_projekcie!E46</f>
        <v>1.0449940138177598</v>
      </c>
      <c r="N33" s="130">
        <f>DD_projekcie!G46/DD_projekcie!F46</f>
        <v>1.0474321202723109</v>
      </c>
      <c r="O33" s="130">
        <f>DD_projekcie!H46/DD_projekcie!G46</f>
        <v>1.0444071430515667</v>
      </c>
      <c r="P33" s="410">
        <f>DD_projekcie!I46/DD_projekcie!H46</f>
        <v>1.0458516056979725</v>
      </c>
    </row>
    <row r="34" spans="1:21" x14ac:dyDescent="0.25">
      <c r="A34" s="69">
        <v>133001</v>
      </c>
      <c r="B34" s="207">
        <f>VLOOKUP(A34,pravidla_SDcast!$A$1:$D$458,4,FALSE)</f>
        <v>33</v>
      </c>
      <c r="C34" s="69" t="s">
        <v>244</v>
      </c>
      <c r="D34" s="69"/>
      <c r="E34" s="69"/>
      <c r="F34" s="69"/>
      <c r="G34" s="69"/>
      <c r="H34" s="69"/>
      <c r="I34" s="69"/>
      <c r="J34" s="69"/>
      <c r="K34" s="406">
        <v>49</v>
      </c>
      <c r="L34" s="409" t="s">
        <v>955</v>
      </c>
      <c r="M34" s="415">
        <f>DD_projekcie!F42/DD_projekcie!E42</f>
        <v>1.0731689972760803</v>
      </c>
      <c r="N34" s="130">
        <f>DD_projekcie!G42/DD_projekcie!F42</f>
        <v>1.072463350162038</v>
      </c>
      <c r="O34" s="130">
        <f>DD_projekcie!H42/DD_projekcie!G42</f>
        <v>1.0646367964628072</v>
      </c>
      <c r="P34" s="410">
        <f>DD_projekcie!I42/DD_projekcie!H42</f>
        <v>1.0638596969550123</v>
      </c>
    </row>
    <row r="35" spans="1:21" x14ac:dyDescent="0.25">
      <c r="A35" s="69">
        <v>133003</v>
      </c>
      <c r="B35" s="207">
        <f>VLOOKUP(A35,pravidla_SDcast!$A$1:$D$458,4,FALSE)</f>
        <v>22</v>
      </c>
      <c r="C35" s="69" t="s">
        <v>245</v>
      </c>
      <c r="D35" s="69"/>
      <c r="E35" s="69"/>
      <c r="F35" s="69"/>
      <c r="G35" s="69"/>
      <c r="H35" s="69"/>
      <c r="I35" s="69"/>
      <c r="J35" s="69"/>
      <c r="K35" s="406">
        <v>50</v>
      </c>
      <c r="L35" s="409" t="s">
        <v>956</v>
      </c>
      <c r="M35" s="381">
        <f>(1+SD_prognozy!F19/100)*(SD_prognozy!G28/SD_prognozy!F28)</f>
        <v>1.0047817628744988</v>
      </c>
      <c r="N35" s="128">
        <f>(1+SD_prognozy!G19/100)*(SD_prognozy!H28/SD_prognozy!G28)</f>
        <v>0.99029725246567846</v>
      </c>
      <c r="O35" s="128">
        <f>(1+SD_prognozy!H19/100)*(SD_prognozy!I28/SD_prognozy!H28)</f>
        <v>1.0089072826037835</v>
      </c>
      <c r="P35" s="407">
        <f>(1+SD_prognozy!I19/100)*(SD_prognozy!J28/SD_prognozy!I28)</f>
        <v>1.010294341295128</v>
      </c>
      <c r="Q35" s="40"/>
      <c r="S35" s="39"/>
      <c r="T35" s="39"/>
      <c r="U35" s="39"/>
    </row>
    <row r="36" spans="1:21" x14ac:dyDescent="0.25">
      <c r="A36" s="69">
        <v>133004</v>
      </c>
      <c r="B36" s="207">
        <f>VLOOKUP(A36,pravidla_SDcast!$A$1:$D$458,4,FALSE)</f>
        <v>22</v>
      </c>
      <c r="C36" s="69" t="s">
        <v>246</v>
      </c>
      <c r="D36" s="69"/>
      <c r="E36" s="69"/>
      <c r="F36" s="69"/>
      <c r="G36" s="69"/>
      <c r="H36" s="69"/>
      <c r="I36" s="69"/>
      <c r="J36" s="69"/>
      <c r="K36" s="406">
        <v>51</v>
      </c>
      <c r="L36" s="409" t="s">
        <v>957</v>
      </c>
      <c r="M36" s="381">
        <f>(1+SD_prognozy!F19/100)*(SD_prognozy!G27/SD_prognozy!F27)</f>
        <v>1.0152848139778825</v>
      </c>
      <c r="N36" s="128">
        <f>(1+SD_prognozy!G19/100)*(SD_prognozy!H27/SD_prognozy!G27)</f>
        <v>1.0059164968601628</v>
      </c>
      <c r="O36" s="128">
        <f>(1+SD_prognozy!H19/100)*(SD_prognozy!I27/SD_prognozy!H27)</f>
        <v>1.0242931034990155</v>
      </c>
      <c r="P36" s="407">
        <f>(1+SD_prognozy!I19/100)*(SD_prognozy!J27/SD_prognozy!I27)</f>
        <v>1.0268159292308594</v>
      </c>
      <c r="R36" s="40"/>
      <c r="S36" s="40"/>
      <c r="T36" s="40"/>
      <c r="U36" s="40"/>
    </row>
    <row r="37" spans="1:21" x14ac:dyDescent="0.25">
      <c r="A37" s="69">
        <v>133005</v>
      </c>
      <c r="B37" s="207">
        <f>VLOOKUP(A37,pravidla_SDcast!$A$1:$D$458,4,FALSE)</f>
        <v>33</v>
      </c>
      <c r="C37" s="69" t="s">
        <v>247</v>
      </c>
      <c r="D37" s="69"/>
      <c r="E37" s="69"/>
      <c r="F37" s="69"/>
      <c r="G37" s="69"/>
      <c r="H37" s="69"/>
      <c r="I37" s="69"/>
      <c r="J37" s="69"/>
      <c r="K37" s="406">
        <v>52</v>
      </c>
      <c r="L37" s="409" t="s">
        <v>958</v>
      </c>
      <c r="M37" s="381">
        <f>(1+SD_prognozy!F19/100)*(SD_prognozy!G26/SD_prognozy!F26)</f>
        <v>1.0124330546926219</v>
      </c>
      <c r="N37" s="128">
        <f>(1+SD_prognozy!G19/100)*(SD_prognozy!H26/SD_prognozy!G26)</f>
        <v>1.0041456051162485</v>
      </c>
      <c r="O37" s="128">
        <f>(1+SD_prognozy!H19/100)*(SD_prognozy!I26/SD_prognozy!H26)</f>
        <v>1.0056497963165121</v>
      </c>
      <c r="P37" s="407">
        <f>(1+SD_prognozy!I19/100)*(SD_prognozy!J26/SD_prognozy!I26)</f>
        <v>1.0279922222820341</v>
      </c>
    </row>
    <row r="38" spans="1:21" x14ac:dyDescent="0.25">
      <c r="A38" s="69">
        <v>133006</v>
      </c>
      <c r="B38" s="207">
        <f>VLOOKUP(A38,pravidla_SDcast!$A$1:$D$458,4,FALSE)</f>
        <v>33</v>
      </c>
      <c r="C38" s="69" t="s">
        <v>248</v>
      </c>
      <c r="D38" s="69"/>
      <c r="E38" s="69"/>
      <c r="F38" s="69"/>
      <c r="G38" s="69"/>
      <c r="H38" s="69"/>
      <c r="I38" s="69"/>
      <c r="J38" s="69"/>
      <c r="K38" s="406">
        <v>53</v>
      </c>
      <c r="L38" s="409" t="s">
        <v>959</v>
      </c>
      <c r="M38" s="381">
        <f>(1+SD_prognozy!F19/100)*(SD_prognozy!G25/SD_prognozy!F25)</f>
        <v>1.064497119886807</v>
      </c>
      <c r="N38" s="128">
        <f>(1+SD_prognozy!G19/100)*(SD_prognozy!H25/SD_prognozy!G25)</f>
        <v>0.99672679925140661</v>
      </c>
      <c r="O38" s="128">
        <f>(1+SD_prognozy!H19/100)*(SD_prognozy!I25/SD_prognozy!H25)</f>
        <v>1.0124476146149057</v>
      </c>
      <c r="P38" s="407">
        <f>(1+SD_prognozy!I19/100)*(SD_prognozy!J25/SD_prognozy!I25)</f>
        <v>1.0124903163724395</v>
      </c>
      <c r="R38" s="40"/>
      <c r="S38" s="40"/>
      <c r="T38" s="40"/>
      <c r="U38" s="40"/>
    </row>
    <row r="39" spans="1:21" x14ac:dyDescent="0.25">
      <c r="A39" s="69">
        <v>133012</v>
      </c>
      <c r="B39" s="207">
        <f>VLOOKUP(A39,pravidla_SDcast!$A$1:$D$458,4,FALSE)</f>
        <v>22</v>
      </c>
      <c r="C39" s="69" t="s">
        <v>249</v>
      </c>
      <c r="D39" s="69"/>
      <c r="E39" s="69"/>
      <c r="F39" s="69"/>
      <c r="G39" s="69"/>
      <c r="H39" s="69"/>
      <c r="I39" s="69"/>
      <c r="J39" s="69"/>
      <c r="K39" s="406">
        <v>54</v>
      </c>
      <c r="L39" s="409" t="s">
        <v>960</v>
      </c>
      <c r="M39" s="381">
        <f>(1+SD_prognozy!F19/100)*(SD_prognozy!G34/SD_prognozy!F34)</f>
        <v>1.0328482731348809</v>
      </c>
      <c r="N39" s="128">
        <f>(1+SD_prognozy!G19/100)*(SD_prognozy!H34/SD_prognozy!G34)</f>
        <v>1.0060124472133911</v>
      </c>
      <c r="O39" s="128">
        <f>(1+SD_prognozy!H19/100)*(SD_prognozy!I34/SD_prognozy!H34)</f>
        <v>1.0234534404967131</v>
      </c>
      <c r="P39" s="407">
        <f>(1+SD_prognozy!I19/100)*(SD_prognozy!J34/SD_prognozy!I34)</f>
        <v>1.0257248588218315</v>
      </c>
      <c r="R39" s="50"/>
      <c r="S39" s="50"/>
      <c r="T39" s="50"/>
      <c r="U39" s="50"/>
    </row>
    <row r="40" spans="1:21" x14ac:dyDescent="0.25">
      <c r="A40" s="69">
        <v>133013</v>
      </c>
      <c r="B40" s="207">
        <f>VLOOKUP(A40,pravidla_SDcast!$A$1:$D$458,4,FALSE)</f>
        <v>23</v>
      </c>
      <c r="C40" s="69" t="s">
        <v>250</v>
      </c>
      <c r="D40" s="69"/>
      <c r="E40" s="69"/>
      <c r="F40" s="69"/>
      <c r="G40" s="69"/>
      <c r="H40" s="69"/>
      <c r="I40" s="69"/>
      <c r="J40" s="69"/>
      <c r="K40" s="411">
        <v>55</v>
      </c>
      <c r="L40" s="412" t="s">
        <v>961</v>
      </c>
      <c r="M40" s="383">
        <f>(1+SD_prognozy!G17/100)*(SD_prognozy!G29/SD_prognozy!F29)</f>
        <v>0.99286931558377389</v>
      </c>
      <c r="N40" s="413">
        <f>(1+SD_prognozy!H17/100)*(SD_prognozy!H29/SD_prognozy!G29)</f>
        <v>1.0083817871522649</v>
      </c>
      <c r="O40" s="413">
        <f>(1+SD_prognozy!I17/100)*(SD_prognozy!I29/SD_prognozy!H29)</f>
        <v>1.0081546972217541</v>
      </c>
      <c r="P40" s="414">
        <f>(1+SD_prognozy!J17/100)*(SD_prognozy!J29/SD_prognozy!I29)</f>
        <v>1.0105549975438624</v>
      </c>
    </row>
    <row r="41" spans="1:21" x14ac:dyDescent="0.25">
      <c r="A41" s="69">
        <v>133014</v>
      </c>
      <c r="B41" s="207">
        <f>VLOOKUP(A41,pravidla_SDcast!$A$1:$D$458,4,FALSE)</f>
        <v>22</v>
      </c>
      <c r="C41" s="69" t="s">
        <v>251</v>
      </c>
      <c r="D41" s="69"/>
      <c r="E41" s="69"/>
      <c r="F41" s="69"/>
      <c r="G41" s="69"/>
      <c r="H41" s="69"/>
      <c r="I41" s="69"/>
      <c r="J41" s="69"/>
      <c r="K41" s="208"/>
      <c r="L41" s="126"/>
      <c r="M41" s="69"/>
      <c r="N41" s="69"/>
      <c r="O41" s="69"/>
      <c r="P41" s="69"/>
    </row>
    <row r="42" spans="1:21" x14ac:dyDescent="0.25">
      <c r="A42" s="69">
        <v>134000</v>
      </c>
      <c r="B42" s="207" t="e">
        <f>VLOOKUP(A42,pravidla_SDcast!$A$1:$D$458,4,FALSE)</f>
        <v>#N/A</v>
      </c>
      <c r="C42" s="69" t="s">
        <v>774</v>
      </c>
      <c r="D42" s="69"/>
      <c r="E42" s="69"/>
      <c r="F42" s="69"/>
      <c r="G42" s="69"/>
      <c r="H42" s="69"/>
      <c r="I42" s="69"/>
      <c r="J42" s="69"/>
      <c r="K42" s="208"/>
      <c r="L42" s="126"/>
      <c r="M42" s="69"/>
      <c r="N42" s="69"/>
      <c r="O42" s="69"/>
      <c r="P42" s="69"/>
    </row>
    <row r="43" spans="1:21" x14ac:dyDescent="0.25">
      <c r="A43" s="69">
        <v>134001</v>
      </c>
      <c r="B43" s="207">
        <f>VLOOKUP(A43,pravidla_SDcast!$A$1:$D$458,4,FALSE)</f>
        <v>22</v>
      </c>
      <c r="C43" s="69" t="s">
        <v>252</v>
      </c>
      <c r="D43" s="69"/>
      <c r="E43" s="69"/>
      <c r="F43" s="69"/>
      <c r="G43" s="69"/>
      <c r="H43" s="69"/>
      <c r="I43" s="69"/>
      <c r="J43" s="69"/>
      <c r="K43" s="208"/>
      <c r="L43" s="126"/>
      <c r="M43" s="69"/>
      <c r="N43" s="69"/>
      <c r="O43" s="69"/>
      <c r="P43" s="69"/>
    </row>
    <row r="44" spans="1:21" x14ac:dyDescent="0.25">
      <c r="A44" s="69">
        <v>134002</v>
      </c>
      <c r="B44" s="207">
        <f>VLOOKUP(A44,pravidla_SDcast!$A$1:$D$458,4,FALSE)</f>
        <v>31</v>
      </c>
      <c r="C44" s="69" t="s">
        <v>253</v>
      </c>
      <c r="D44" s="69"/>
      <c r="E44" s="69"/>
      <c r="F44" s="69"/>
      <c r="G44" s="69"/>
      <c r="H44" s="69"/>
      <c r="I44" s="69"/>
      <c r="J44" s="69"/>
      <c r="K44" s="208"/>
      <c r="L44" s="69"/>
      <c r="M44" s="69"/>
      <c r="N44" s="69"/>
      <c r="O44" s="69"/>
      <c r="P44" s="69"/>
    </row>
    <row r="45" spans="1:21" x14ac:dyDescent="0.25">
      <c r="A45" s="69">
        <v>134004</v>
      </c>
      <c r="B45" s="207">
        <f>VLOOKUP(A45,pravidla_SDcast!$A$1:$D$458,4,FALSE)</f>
        <v>22</v>
      </c>
      <c r="C45" s="69" t="s">
        <v>775</v>
      </c>
      <c r="D45" s="69"/>
      <c r="E45" s="69"/>
      <c r="F45" s="69"/>
      <c r="G45" s="69"/>
      <c r="H45" s="69"/>
      <c r="I45" s="69"/>
      <c r="J45" s="69"/>
      <c r="K45" s="208"/>
      <c r="L45" s="69"/>
      <c r="M45" s="69"/>
      <c r="N45" s="69"/>
      <c r="O45" s="69"/>
      <c r="P45" s="69"/>
    </row>
    <row r="46" spans="1:21" x14ac:dyDescent="0.25">
      <c r="A46" s="69">
        <v>139000</v>
      </c>
      <c r="B46" s="207" t="e">
        <f>VLOOKUP(A46,pravidla_SDcast!$A$1:$D$458,4,FALSE)</f>
        <v>#N/A</v>
      </c>
      <c r="C46" s="69" t="s">
        <v>776</v>
      </c>
      <c r="D46" s="69"/>
      <c r="E46" s="69"/>
      <c r="F46" s="69"/>
      <c r="G46" s="69"/>
      <c r="H46" s="69"/>
      <c r="I46" s="69"/>
      <c r="J46" s="69"/>
      <c r="K46" s="208"/>
      <c r="L46" s="69"/>
      <c r="M46" s="69"/>
      <c r="N46" s="69"/>
      <c r="O46" s="69"/>
      <c r="P46" s="69"/>
    </row>
    <row r="47" spans="1:21" x14ac:dyDescent="0.25">
      <c r="A47" s="69">
        <v>139001</v>
      </c>
      <c r="B47" s="207" t="str">
        <f>VLOOKUP(A47,pravidla_SDcast!$A$1:$D$458,4,FALSE)</f>
        <v>data</v>
      </c>
      <c r="C47" s="69" t="s">
        <v>777</v>
      </c>
      <c r="D47" s="69"/>
      <c r="E47" s="69"/>
      <c r="F47" s="69"/>
      <c r="G47" s="69"/>
      <c r="H47" s="69"/>
      <c r="I47" s="69"/>
      <c r="J47" s="69"/>
      <c r="K47" s="208"/>
      <c r="L47" s="69"/>
      <c r="M47" s="69"/>
      <c r="N47" s="69"/>
      <c r="O47" s="69"/>
      <c r="P47" s="69"/>
    </row>
    <row r="48" spans="1:21" x14ac:dyDescent="0.25">
      <c r="A48" s="69">
        <v>139002</v>
      </c>
      <c r="B48" s="207">
        <f>VLOOKUP(A48,pravidla_SDcast!$A$1:$D$458,4,FALSE)</f>
        <v>21</v>
      </c>
      <c r="C48" s="69" t="s">
        <v>778</v>
      </c>
      <c r="D48" s="69"/>
      <c r="E48" s="69"/>
      <c r="F48" s="69"/>
      <c r="G48" s="69"/>
      <c r="H48" s="69"/>
      <c r="I48" s="69"/>
      <c r="J48" s="69"/>
      <c r="K48" s="208"/>
      <c r="L48" s="69"/>
      <c r="M48" s="69"/>
      <c r="N48" s="69"/>
      <c r="O48" s="69"/>
      <c r="P48" s="69"/>
    </row>
    <row r="49" spans="1:16" x14ac:dyDescent="0.25">
      <c r="A49" s="69">
        <v>140000</v>
      </c>
      <c r="B49" s="207" t="e">
        <f>VLOOKUP(A49,pravidla_SDcast!$A$1:$D$458,4,FALSE)</f>
        <v>#N/A</v>
      </c>
      <c r="C49" s="69" t="s">
        <v>779</v>
      </c>
      <c r="D49" s="69"/>
      <c r="E49" s="69"/>
      <c r="F49" s="69"/>
      <c r="G49" s="69"/>
      <c r="H49" s="69"/>
      <c r="I49" s="69"/>
      <c r="J49" s="69"/>
      <c r="K49" s="208"/>
      <c r="L49" s="69"/>
      <c r="M49" s="69"/>
      <c r="N49" s="69"/>
      <c r="O49" s="69"/>
      <c r="P49" s="69"/>
    </row>
    <row r="50" spans="1:16" x14ac:dyDescent="0.25">
      <c r="A50" s="69">
        <v>141000</v>
      </c>
      <c r="B50" s="207">
        <f>VLOOKUP(A50,pravidla_SDcast!$A$1:$D$458,4,FALSE)</f>
        <v>21</v>
      </c>
      <c r="C50" s="69" t="s">
        <v>256</v>
      </c>
      <c r="D50" s="69"/>
      <c r="E50" s="69"/>
      <c r="F50" s="69"/>
      <c r="G50" s="69"/>
      <c r="H50" s="69"/>
      <c r="I50" s="69"/>
      <c r="J50" s="69"/>
      <c r="K50" s="208"/>
      <c r="L50" s="69"/>
      <c r="M50" s="69"/>
      <c r="N50" s="69"/>
      <c r="O50" s="69"/>
      <c r="P50" s="69"/>
    </row>
    <row r="51" spans="1:16" x14ac:dyDescent="0.25">
      <c r="A51" s="69">
        <v>142000</v>
      </c>
      <c r="B51" s="207">
        <f>VLOOKUP(A51,pravidla_SDcast!$A$1:$D$458,4,FALSE)</f>
        <v>21</v>
      </c>
      <c r="C51" s="69" t="s">
        <v>257</v>
      </c>
      <c r="D51" s="69"/>
      <c r="E51" s="69"/>
      <c r="F51" s="69"/>
      <c r="G51" s="69"/>
      <c r="H51" s="69"/>
      <c r="I51" s="69"/>
      <c r="J51" s="69"/>
      <c r="K51" s="208"/>
      <c r="L51" s="69"/>
      <c r="M51" s="69"/>
      <c r="N51" s="69"/>
      <c r="O51" s="69"/>
      <c r="P51" s="69"/>
    </row>
    <row r="52" spans="1:16" x14ac:dyDescent="0.25">
      <c r="A52" s="69">
        <v>143000</v>
      </c>
      <c r="B52" s="207" t="str">
        <f>VLOOKUP(A52,pravidla_SDcast!$A$1:$D$458,4,FALSE)</f>
        <v>data</v>
      </c>
      <c r="C52" s="69" t="s">
        <v>258</v>
      </c>
      <c r="D52" s="69"/>
      <c r="E52" s="69"/>
      <c r="F52" s="69"/>
      <c r="G52" s="69"/>
      <c r="H52" s="69"/>
      <c r="I52" s="69"/>
      <c r="J52" s="69"/>
      <c r="K52" s="208"/>
      <c r="L52" s="69"/>
      <c r="M52" s="69"/>
      <c r="N52" s="69"/>
      <c r="O52" s="69"/>
      <c r="P52" s="69"/>
    </row>
    <row r="53" spans="1:16" x14ac:dyDescent="0.25">
      <c r="A53" s="69">
        <v>149000</v>
      </c>
      <c r="B53" s="207">
        <f>VLOOKUP(A53,pravidla_SDcast!$A$1:$D$458,4,FALSE)</f>
        <v>22</v>
      </c>
      <c r="C53" s="69" t="s">
        <v>259</v>
      </c>
      <c r="D53" s="69"/>
      <c r="E53" s="69"/>
      <c r="F53" s="69"/>
      <c r="G53" s="69"/>
      <c r="H53" s="69"/>
      <c r="I53" s="69"/>
      <c r="J53" s="69"/>
      <c r="K53" s="208"/>
      <c r="L53" s="69"/>
      <c r="M53" s="69"/>
      <c r="N53" s="69"/>
      <c r="O53" s="69"/>
      <c r="P53" s="69"/>
    </row>
    <row r="54" spans="1:16" x14ac:dyDescent="0.25">
      <c r="A54" s="69">
        <v>150000</v>
      </c>
      <c r="B54" s="207" t="e">
        <f>VLOOKUP(A54,pravidla_SDcast!$A$1:$D$458,4,FALSE)</f>
        <v>#N/A</v>
      </c>
      <c r="C54" s="69" t="s">
        <v>260</v>
      </c>
      <c r="D54" s="69"/>
      <c r="E54" s="69"/>
      <c r="F54" s="69"/>
      <c r="G54" s="69"/>
      <c r="H54" s="69"/>
      <c r="I54" s="69"/>
      <c r="J54" s="69"/>
      <c r="K54" s="208"/>
      <c r="L54" s="69"/>
      <c r="M54" s="69"/>
      <c r="N54" s="69"/>
      <c r="O54" s="69"/>
      <c r="P54" s="69"/>
    </row>
    <row r="55" spans="1:16" x14ac:dyDescent="0.25">
      <c r="A55" s="69">
        <v>151000</v>
      </c>
      <c r="B55" s="207" t="e">
        <f>VLOOKUP(A55,pravidla_SDcast!$A$1:$D$458,4,FALSE)</f>
        <v>#N/A</v>
      </c>
      <c r="C55" s="69" t="s">
        <v>780</v>
      </c>
      <c r="D55" s="69"/>
      <c r="E55" s="69"/>
      <c r="F55" s="69"/>
      <c r="G55" s="69"/>
      <c r="H55" s="69"/>
      <c r="I55" s="69"/>
      <c r="J55" s="69"/>
      <c r="K55" s="208"/>
      <c r="L55" s="69"/>
      <c r="M55" s="69"/>
      <c r="N55" s="69"/>
      <c r="O55" s="69"/>
      <c r="P55" s="69"/>
    </row>
    <row r="56" spans="1:16" x14ac:dyDescent="0.25">
      <c r="A56" s="69">
        <v>151001</v>
      </c>
      <c r="B56" s="207" t="str">
        <f>VLOOKUP(A56,pravidla_SDcast!$A$1:$D$458,4,FALSE)</f>
        <v>data</v>
      </c>
      <c r="C56" s="69" t="s">
        <v>781</v>
      </c>
      <c r="D56" s="69"/>
      <c r="E56" s="69"/>
      <c r="F56" s="69"/>
      <c r="G56" s="69"/>
      <c r="H56" s="69"/>
      <c r="I56" s="69"/>
      <c r="J56" s="69"/>
      <c r="K56" s="208"/>
      <c r="L56" s="69"/>
      <c r="M56" s="69"/>
      <c r="N56" s="69"/>
      <c r="O56" s="69"/>
      <c r="P56" s="69"/>
    </row>
    <row r="57" spans="1:16" x14ac:dyDescent="0.25">
      <c r="A57" s="69">
        <v>151002</v>
      </c>
      <c r="B57" s="207" t="str">
        <f>VLOOKUP(A57,pravidla_SDcast!$A$1:$D$458,4,FALSE)</f>
        <v>data</v>
      </c>
      <c r="C57" s="69" t="s">
        <v>782</v>
      </c>
      <c r="D57" s="69"/>
      <c r="E57" s="69"/>
      <c r="F57" s="69"/>
      <c r="G57" s="69"/>
      <c r="H57" s="69"/>
      <c r="I57" s="69"/>
      <c r="J57" s="69"/>
      <c r="K57" s="208"/>
      <c r="L57" s="69"/>
      <c r="M57" s="69"/>
      <c r="N57" s="69"/>
      <c r="O57" s="69"/>
      <c r="P57" s="69"/>
    </row>
    <row r="58" spans="1:16" x14ac:dyDescent="0.25">
      <c r="A58" s="69">
        <v>151004</v>
      </c>
      <c r="B58" s="207">
        <f>VLOOKUP(A58,pravidla_SDcast!$A$1:$D$458,4,FALSE)</f>
        <v>2</v>
      </c>
      <c r="C58" s="69" t="s">
        <v>783</v>
      </c>
      <c r="D58" s="69"/>
      <c r="E58" s="69"/>
      <c r="F58" s="69"/>
      <c r="G58" s="69"/>
      <c r="H58" s="69"/>
      <c r="I58" s="69"/>
      <c r="J58" s="69"/>
      <c r="K58" s="208"/>
      <c r="L58" s="69"/>
      <c r="M58" s="69"/>
      <c r="N58" s="69"/>
      <c r="O58" s="69"/>
      <c r="P58" s="69"/>
    </row>
    <row r="59" spans="1:16" x14ac:dyDescent="0.25">
      <c r="A59" s="69">
        <v>151007</v>
      </c>
      <c r="B59" s="207" t="str">
        <f>VLOOKUP(A59,pravidla_SDcast!$A$1:$D$458,4,FALSE)</f>
        <v>data</v>
      </c>
      <c r="C59" s="69" t="s">
        <v>784</v>
      </c>
      <c r="D59" s="69"/>
      <c r="E59" s="69"/>
      <c r="F59" s="69"/>
      <c r="G59" s="69"/>
      <c r="H59" s="69"/>
      <c r="I59" s="69"/>
      <c r="J59" s="69"/>
      <c r="K59" s="208"/>
      <c r="L59" s="69"/>
      <c r="M59" s="69"/>
      <c r="N59" s="69"/>
      <c r="O59" s="69"/>
      <c r="P59" s="69"/>
    </row>
    <row r="60" spans="1:16" x14ac:dyDescent="0.25">
      <c r="A60" s="69">
        <v>151008</v>
      </c>
      <c r="B60" s="207">
        <f>VLOOKUP(A60,pravidla_SDcast!$A$1:$D$458,4,FALSE)</f>
        <v>2</v>
      </c>
      <c r="C60" s="69" t="s">
        <v>785</v>
      </c>
      <c r="D60" s="69"/>
      <c r="E60" s="69"/>
      <c r="F60" s="69"/>
      <c r="G60" s="69"/>
      <c r="H60" s="69"/>
      <c r="I60" s="69"/>
      <c r="J60" s="69"/>
      <c r="K60" s="208"/>
      <c r="L60" s="69"/>
      <c r="M60" s="69"/>
      <c r="N60" s="69"/>
      <c r="O60" s="69"/>
      <c r="P60" s="69"/>
    </row>
    <row r="61" spans="1:16" x14ac:dyDescent="0.25">
      <c r="A61" s="69">
        <v>152000</v>
      </c>
      <c r="B61" s="207" t="e">
        <f>VLOOKUP(A61,pravidla_SDcast!$A$1:$D$458,4,FALSE)</f>
        <v>#N/A</v>
      </c>
      <c r="C61" s="69" t="s">
        <v>786</v>
      </c>
      <c r="D61" s="69"/>
      <c r="E61" s="69"/>
      <c r="F61" s="69"/>
      <c r="G61" s="69"/>
      <c r="H61" s="69"/>
      <c r="I61" s="69"/>
      <c r="J61" s="69"/>
      <c r="K61" s="208"/>
      <c r="L61" s="69"/>
      <c r="M61" s="69"/>
      <c r="N61" s="69"/>
      <c r="O61" s="69"/>
      <c r="P61" s="69"/>
    </row>
    <row r="62" spans="1:16" x14ac:dyDescent="0.25">
      <c r="A62" s="69">
        <v>152001</v>
      </c>
      <c r="B62" s="207">
        <f>VLOOKUP(A62,pravidla_SDcast!$A$1:$D$458,4,FALSE)</f>
        <v>2</v>
      </c>
      <c r="C62" s="69" t="s">
        <v>781</v>
      </c>
      <c r="D62" s="69"/>
      <c r="E62" s="69"/>
      <c r="F62" s="69"/>
      <c r="G62" s="69"/>
      <c r="H62" s="69"/>
      <c r="I62" s="69"/>
      <c r="J62" s="69"/>
      <c r="K62" s="208"/>
      <c r="L62" s="69"/>
      <c r="M62" s="69"/>
      <c r="N62" s="69"/>
      <c r="O62" s="69"/>
      <c r="P62" s="69"/>
    </row>
    <row r="63" spans="1:16" x14ac:dyDescent="0.25">
      <c r="A63" s="69">
        <v>152002</v>
      </c>
      <c r="B63" s="207">
        <f>VLOOKUP(A63,pravidla_SDcast!$A$1:$D$458,4,FALSE)</f>
        <v>2</v>
      </c>
      <c r="C63" s="69" t="s">
        <v>782</v>
      </c>
      <c r="D63" s="69"/>
      <c r="E63" s="69"/>
      <c r="F63" s="69"/>
      <c r="G63" s="69"/>
      <c r="H63" s="69"/>
      <c r="I63" s="69"/>
      <c r="J63" s="69"/>
      <c r="K63" s="208"/>
      <c r="L63" s="69"/>
      <c r="M63" s="69"/>
      <c r="N63" s="69"/>
      <c r="O63" s="69"/>
      <c r="P63" s="69"/>
    </row>
    <row r="64" spans="1:16" x14ac:dyDescent="0.25">
      <c r="A64" s="69">
        <v>152004</v>
      </c>
      <c r="B64" s="207">
        <f>VLOOKUP(A64,pravidla_SDcast!$A$1:$D$458,4,FALSE)</f>
        <v>2</v>
      </c>
      <c r="C64" s="69" t="s">
        <v>783</v>
      </c>
      <c r="D64" s="69"/>
      <c r="E64" s="69"/>
      <c r="F64" s="69"/>
      <c r="G64" s="69"/>
      <c r="H64" s="69"/>
      <c r="I64" s="69"/>
      <c r="J64" s="69"/>
      <c r="K64" s="208"/>
      <c r="L64" s="69"/>
      <c r="M64" s="69"/>
      <c r="N64" s="69"/>
      <c r="O64" s="69"/>
      <c r="P64" s="69"/>
    </row>
    <row r="65" spans="1:16" x14ac:dyDescent="0.25">
      <c r="A65" s="69">
        <v>152005</v>
      </c>
      <c r="B65" s="207">
        <f>VLOOKUP(A65,pravidla_SDcast!$A$1:$D$458,4,FALSE)</f>
        <v>7</v>
      </c>
      <c r="C65" s="69" t="s">
        <v>787</v>
      </c>
      <c r="D65" s="69"/>
      <c r="E65" s="69"/>
      <c r="F65" s="69"/>
      <c r="G65" s="69"/>
      <c r="H65" s="69"/>
      <c r="I65" s="69"/>
      <c r="J65" s="69"/>
      <c r="K65" s="208"/>
      <c r="L65" s="69"/>
      <c r="M65" s="69"/>
      <c r="N65" s="69"/>
      <c r="O65" s="69"/>
      <c r="P65" s="69"/>
    </row>
    <row r="66" spans="1:16" x14ac:dyDescent="0.25">
      <c r="A66" s="69">
        <v>152006</v>
      </c>
      <c r="B66" s="207">
        <f>VLOOKUP(A66,pravidla_SDcast!$A$1:$D$458,4,FALSE)</f>
        <v>6</v>
      </c>
      <c r="C66" s="69" t="s">
        <v>265</v>
      </c>
      <c r="D66" s="69"/>
      <c r="E66" s="69"/>
      <c r="F66" s="69"/>
      <c r="G66" s="69"/>
      <c r="H66" s="69"/>
      <c r="I66" s="69"/>
      <c r="J66" s="69"/>
      <c r="K66" s="208"/>
      <c r="L66" s="69"/>
      <c r="M66" s="69"/>
      <c r="N66" s="69"/>
      <c r="O66" s="69"/>
      <c r="P66" s="69"/>
    </row>
    <row r="67" spans="1:16" x14ac:dyDescent="0.25">
      <c r="A67" s="69">
        <v>152008</v>
      </c>
      <c r="B67" s="207">
        <f>VLOOKUP(A67,pravidla_SDcast!$A$1:$D$458,4,FALSE)</f>
        <v>2</v>
      </c>
      <c r="C67" s="69" t="s">
        <v>784</v>
      </c>
      <c r="D67" s="69"/>
      <c r="E67" s="69"/>
      <c r="F67" s="69"/>
      <c r="G67" s="69"/>
      <c r="H67" s="69"/>
      <c r="I67" s="69"/>
      <c r="J67" s="69"/>
      <c r="K67" s="208"/>
      <c r="L67" s="69"/>
      <c r="M67" s="69"/>
      <c r="N67" s="69"/>
      <c r="O67" s="69"/>
      <c r="P67" s="69"/>
    </row>
    <row r="68" spans="1:16" x14ac:dyDescent="0.25">
      <c r="A68" s="69">
        <v>152009</v>
      </c>
      <c r="B68" s="207">
        <f>VLOOKUP(A68,pravidla_SDcast!$A$1:$D$458,4,FALSE)</f>
        <v>2</v>
      </c>
      <c r="C68" s="69" t="s">
        <v>785</v>
      </c>
      <c r="D68" s="69"/>
      <c r="E68" s="69"/>
      <c r="F68" s="69"/>
      <c r="G68" s="69"/>
      <c r="H68" s="69"/>
      <c r="I68" s="69"/>
      <c r="J68" s="69"/>
      <c r="K68" s="208"/>
      <c r="L68" s="69"/>
      <c r="M68" s="69"/>
      <c r="N68" s="69"/>
      <c r="O68" s="69"/>
      <c r="P68" s="69"/>
    </row>
    <row r="69" spans="1:16" x14ac:dyDescent="0.25">
      <c r="A69" s="69">
        <v>153000</v>
      </c>
      <c r="B69" s="207" t="e">
        <f>VLOOKUP(A69,pravidla_SDcast!$A$1:$D$458,4,FALSE)</f>
        <v>#N/A</v>
      </c>
      <c r="C69" s="69" t="s">
        <v>788</v>
      </c>
      <c r="D69" s="69"/>
      <c r="E69" s="69"/>
      <c r="F69" s="69"/>
      <c r="G69" s="69"/>
      <c r="H69" s="69"/>
      <c r="I69" s="69"/>
      <c r="J69" s="69"/>
      <c r="K69" s="208"/>
      <c r="L69" s="69"/>
      <c r="M69" s="69"/>
      <c r="N69" s="69"/>
      <c r="O69" s="69"/>
      <c r="P69" s="69"/>
    </row>
    <row r="70" spans="1:16" x14ac:dyDescent="0.25">
      <c r="A70" s="69">
        <v>153001</v>
      </c>
      <c r="B70" s="207">
        <f>VLOOKUP(A70,pravidla_SDcast!$A$1:$D$458,4,FALSE)</f>
        <v>2</v>
      </c>
      <c r="C70" s="69" t="s">
        <v>783</v>
      </c>
      <c r="D70" s="69"/>
      <c r="E70" s="69"/>
      <c r="F70" s="69"/>
      <c r="G70" s="69"/>
      <c r="H70" s="69"/>
      <c r="I70" s="69"/>
      <c r="J70" s="69"/>
      <c r="K70" s="208"/>
      <c r="L70" s="69"/>
      <c r="M70" s="69"/>
      <c r="N70" s="69"/>
      <c r="O70" s="69"/>
      <c r="P70" s="69"/>
    </row>
    <row r="71" spans="1:16" x14ac:dyDescent="0.25">
      <c r="A71" s="69">
        <v>153002</v>
      </c>
      <c r="B71" s="207">
        <f>VLOOKUP(A71,pravidla_SDcast!$A$1:$D$458,4,FALSE)</f>
        <v>2</v>
      </c>
      <c r="C71" s="69" t="s">
        <v>784</v>
      </c>
      <c r="D71" s="69"/>
      <c r="E71" s="69"/>
      <c r="F71" s="69"/>
      <c r="G71" s="69"/>
      <c r="H71" s="69"/>
      <c r="I71" s="69"/>
      <c r="J71" s="69"/>
      <c r="K71" s="208"/>
      <c r="L71" s="69"/>
      <c r="M71" s="69"/>
      <c r="N71" s="69"/>
      <c r="O71" s="69"/>
      <c r="P71" s="69"/>
    </row>
    <row r="72" spans="1:16" x14ac:dyDescent="0.25">
      <c r="A72" s="69">
        <v>154000</v>
      </c>
      <c r="B72" s="207">
        <f>VLOOKUP(A72,pravidla_SDcast!$A$1:$D$458,4,FALSE)</f>
        <v>2</v>
      </c>
      <c r="C72" s="69" t="s">
        <v>629</v>
      </c>
      <c r="D72" s="69"/>
      <c r="E72" s="69"/>
      <c r="F72" s="69"/>
      <c r="G72" s="69"/>
      <c r="H72" s="69"/>
      <c r="I72" s="69"/>
      <c r="J72" s="69"/>
      <c r="K72" s="208"/>
      <c r="L72" s="69"/>
      <c r="M72" s="69"/>
      <c r="N72" s="69"/>
      <c r="O72" s="69"/>
      <c r="P72" s="69"/>
    </row>
    <row r="73" spans="1:16" x14ac:dyDescent="0.25">
      <c r="A73" s="69">
        <v>154001</v>
      </c>
      <c r="B73" s="207" t="str">
        <f>VLOOKUP(A73,pravidla_SDcast!$A$1:$D$458,4,FALSE)</f>
        <v>data</v>
      </c>
      <c r="C73" s="69" t="s">
        <v>781</v>
      </c>
      <c r="D73" s="69"/>
      <c r="E73" s="69"/>
      <c r="F73" s="69"/>
      <c r="G73" s="69"/>
      <c r="H73" s="69"/>
      <c r="I73" s="69"/>
      <c r="J73" s="69"/>
      <c r="K73" s="208"/>
      <c r="L73" s="69"/>
      <c r="M73" s="69"/>
      <c r="N73" s="69"/>
      <c r="O73" s="69"/>
      <c r="P73" s="69"/>
    </row>
    <row r="74" spans="1:16" x14ac:dyDescent="0.25">
      <c r="A74" s="69">
        <v>154002</v>
      </c>
      <c r="B74" s="207">
        <f>VLOOKUP(A74,pravidla_SDcast!$A$1:$D$458,4,FALSE)</f>
        <v>2</v>
      </c>
      <c r="C74" s="69" t="s">
        <v>782</v>
      </c>
      <c r="D74" s="69"/>
      <c r="E74" s="69"/>
      <c r="F74" s="69"/>
      <c r="G74" s="69"/>
      <c r="H74" s="69"/>
      <c r="I74" s="69"/>
      <c r="J74" s="69"/>
      <c r="K74" s="208"/>
      <c r="L74" s="69"/>
      <c r="M74" s="69"/>
      <c r="N74" s="69"/>
      <c r="O74" s="69"/>
      <c r="P74" s="69"/>
    </row>
    <row r="75" spans="1:16" x14ac:dyDescent="0.25">
      <c r="A75" s="69">
        <v>154004</v>
      </c>
      <c r="B75" s="207">
        <f>VLOOKUP(A75,pravidla_SDcast!$A$1:$D$458,4,FALSE)</f>
        <v>2</v>
      </c>
      <c r="C75" s="69" t="s">
        <v>783</v>
      </c>
      <c r="D75" s="69"/>
      <c r="E75" s="69"/>
      <c r="F75" s="69"/>
      <c r="G75" s="69"/>
      <c r="H75" s="69"/>
      <c r="I75" s="69"/>
      <c r="J75" s="69"/>
      <c r="K75" s="208"/>
      <c r="L75" s="69"/>
      <c r="M75" s="69"/>
      <c r="N75" s="69"/>
      <c r="O75" s="69"/>
      <c r="P75" s="69"/>
    </row>
    <row r="76" spans="1:16" x14ac:dyDescent="0.25">
      <c r="A76" s="69">
        <v>154005</v>
      </c>
      <c r="B76" s="207">
        <f>VLOOKUP(A76,pravidla_SDcast!$A$1:$D$458,4,FALSE)</f>
        <v>8</v>
      </c>
      <c r="C76" s="69" t="s">
        <v>787</v>
      </c>
      <c r="D76" s="69"/>
      <c r="E76" s="69"/>
      <c r="F76" s="69"/>
      <c r="G76" s="69"/>
      <c r="H76" s="69"/>
      <c r="I76" s="69"/>
      <c r="J76" s="69"/>
      <c r="K76" s="208"/>
      <c r="L76" s="69"/>
      <c r="M76" s="69"/>
      <c r="N76" s="69"/>
      <c r="O76" s="69"/>
      <c r="P76" s="69"/>
    </row>
    <row r="77" spans="1:16" x14ac:dyDescent="0.25">
      <c r="A77" s="69">
        <v>154009</v>
      </c>
      <c r="B77" s="207">
        <f>VLOOKUP(A77,pravidla_SDcast!$A$1:$D$458,4,FALSE)</f>
        <v>2</v>
      </c>
      <c r="C77" s="69" t="s">
        <v>789</v>
      </c>
      <c r="D77" s="69"/>
      <c r="E77" s="69"/>
      <c r="F77" s="69"/>
      <c r="G77" s="69"/>
      <c r="H77" s="69"/>
      <c r="I77" s="69"/>
      <c r="J77" s="69"/>
      <c r="K77" s="208"/>
      <c r="L77" s="69"/>
      <c r="M77" s="69"/>
      <c r="N77" s="69"/>
      <c r="O77" s="69"/>
      <c r="P77" s="69"/>
    </row>
    <row r="78" spans="1:16" x14ac:dyDescent="0.25">
      <c r="A78" s="69">
        <v>154010</v>
      </c>
      <c r="B78" s="207">
        <f>VLOOKUP(A78,pravidla_SDcast!$A$1:$D$458,4,FALSE)</f>
        <v>2</v>
      </c>
      <c r="C78" s="69" t="s">
        <v>790</v>
      </c>
      <c r="D78" s="69"/>
      <c r="E78" s="69"/>
      <c r="F78" s="69"/>
      <c r="G78" s="69"/>
      <c r="H78" s="69"/>
      <c r="I78" s="69"/>
      <c r="J78" s="69"/>
      <c r="K78" s="208"/>
      <c r="L78" s="69"/>
      <c r="M78" s="69"/>
      <c r="N78" s="69"/>
      <c r="O78" s="69"/>
      <c r="P78" s="69"/>
    </row>
    <row r="79" spans="1:16" x14ac:dyDescent="0.25">
      <c r="A79" s="69">
        <v>154011</v>
      </c>
      <c r="B79" s="207" t="str">
        <f>VLOOKUP(A79,pravidla_SDcast!$A$1:$D$458,4,FALSE)</f>
        <v>data</v>
      </c>
      <c r="C79" s="69" t="s">
        <v>784</v>
      </c>
      <c r="D79" s="69"/>
      <c r="E79" s="69"/>
      <c r="F79" s="69"/>
      <c r="G79" s="69"/>
      <c r="H79" s="69"/>
      <c r="I79" s="69"/>
      <c r="J79" s="69"/>
      <c r="K79" s="208"/>
      <c r="L79" s="69"/>
      <c r="M79" s="69"/>
      <c r="N79" s="69"/>
      <c r="O79" s="69"/>
      <c r="P79" s="69"/>
    </row>
    <row r="80" spans="1:16" x14ac:dyDescent="0.25">
      <c r="A80" s="69">
        <v>155000</v>
      </c>
      <c r="B80" s="207" t="e">
        <f>VLOOKUP(A80,pravidla_SDcast!$A$1:$D$458,4,FALSE)</f>
        <v>#N/A</v>
      </c>
      <c r="C80" s="69" t="s">
        <v>791</v>
      </c>
      <c r="D80" s="69"/>
      <c r="E80" s="69"/>
      <c r="F80" s="69"/>
      <c r="G80" s="69"/>
      <c r="H80" s="69"/>
      <c r="I80" s="69"/>
      <c r="J80" s="69"/>
      <c r="K80" s="208"/>
      <c r="L80" s="69"/>
      <c r="M80" s="69"/>
      <c r="N80" s="69"/>
      <c r="O80" s="69"/>
      <c r="P80" s="69"/>
    </row>
    <row r="81" spans="1:16" x14ac:dyDescent="0.25">
      <c r="A81" s="69">
        <v>155001</v>
      </c>
      <c r="B81" s="207">
        <f>VLOOKUP(A81,pravidla_SDcast!$A$1:$D$458,4,FALSE)</f>
        <v>2</v>
      </c>
      <c r="C81" s="69" t="s">
        <v>781</v>
      </c>
      <c r="D81" s="69"/>
      <c r="E81" s="69"/>
      <c r="F81" s="69"/>
      <c r="G81" s="69"/>
      <c r="H81" s="69"/>
      <c r="I81" s="69"/>
      <c r="J81" s="69"/>
      <c r="K81" s="208"/>
      <c r="L81" s="69"/>
      <c r="M81" s="69"/>
      <c r="N81" s="69"/>
      <c r="O81" s="69"/>
      <c r="P81" s="69"/>
    </row>
    <row r="82" spans="1:16" x14ac:dyDescent="0.25">
      <c r="A82" s="69">
        <v>155003</v>
      </c>
      <c r="B82" s="207">
        <f>VLOOKUP(A82,pravidla_SDcast!$A$1:$D$458,4,FALSE)</f>
        <v>2</v>
      </c>
      <c r="C82" s="69" t="s">
        <v>783</v>
      </c>
      <c r="D82" s="69"/>
      <c r="E82" s="69"/>
      <c r="F82" s="69"/>
      <c r="G82" s="69"/>
      <c r="H82" s="69"/>
      <c r="I82" s="69"/>
      <c r="J82" s="69"/>
      <c r="K82" s="208"/>
      <c r="L82" s="69"/>
      <c r="M82" s="69"/>
      <c r="N82" s="69"/>
      <c r="O82" s="69"/>
      <c r="P82" s="69"/>
    </row>
    <row r="83" spans="1:16" x14ac:dyDescent="0.25">
      <c r="A83" s="69">
        <v>155004</v>
      </c>
      <c r="B83" s="207">
        <f>VLOOKUP(A83,pravidla_SDcast!$A$1:$D$458,4,FALSE)</f>
        <v>2</v>
      </c>
      <c r="C83" s="69" t="s">
        <v>785</v>
      </c>
      <c r="D83" s="69"/>
      <c r="E83" s="69"/>
      <c r="F83" s="69"/>
      <c r="G83" s="69"/>
      <c r="H83" s="69"/>
      <c r="I83" s="69"/>
      <c r="J83" s="69"/>
      <c r="K83" s="208"/>
      <c r="L83" s="69"/>
      <c r="M83" s="69"/>
      <c r="N83" s="69"/>
      <c r="O83" s="69"/>
      <c r="P83" s="69"/>
    </row>
    <row r="84" spans="1:16" x14ac:dyDescent="0.25">
      <c r="A84" s="69">
        <v>155005</v>
      </c>
      <c r="B84" s="207">
        <f>VLOOKUP(A84,pravidla_SDcast!$A$1:$D$458,4,FALSE)</f>
        <v>2</v>
      </c>
      <c r="C84" s="69" t="s">
        <v>784</v>
      </c>
      <c r="D84" s="69"/>
      <c r="E84" s="69"/>
      <c r="F84" s="69"/>
      <c r="G84" s="69"/>
      <c r="H84" s="69"/>
      <c r="I84" s="69"/>
      <c r="J84" s="69"/>
      <c r="K84" s="208"/>
      <c r="L84" s="69"/>
      <c r="M84" s="69"/>
      <c r="N84" s="69"/>
      <c r="O84" s="69"/>
      <c r="P84" s="69"/>
    </row>
    <row r="85" spans="1:16" x14ac:dyDescent="0.25">
      <c r="A85" s="69">
        <v>156000</v>
      </c>
      <c r="B85" s="207" t="e">
        <f>VLOOKUP(A85,pravidla_SDcast!$A$1:$D$458,4,FALSE)</f>
        <v>#N/A</v>
      </c>
      <c r="C85" s="69" t="s">
        <v>792</v>
      </c>
      <c r="D85" s="69"/>
      <c r="E85" s="69"/>
      <c r="F85" s="69"/>
      <c r="G85" s="69"/>
      <c r="H85" s="69"/>
      <c r="I85" s="69"/>
      <c r="J85" s="69"/>
      <c r="K85" s="208"/>
      <c r="L85" s="69"/>
      <c r="M85" s="69"/>
      <c r="N85" s="69"/>
      <c r="O85" s="69"/>
      <c r="P85" s="69"/>
    </row>
    <row r="86" spans="1:16" x14ac:dyDescent="0.25">
      <c r="A86" s="69">
        <v>156001</v>
      </c>
      <c r="B86" s="207">
        <f>VLOOKUP(A86,pravidla_SDcast!$A$1:$D$458,4,FALSE)</f>
        <v>2</v>
      </c>
      <c r="C86" s="69" t="s">
        <v>783</v>
      </c>
      <c r="D86" s="69"/>
      <c r="E86" s="69"/>
      <c r="F86" s="69"/>
      <c r="G86" s="69"/>
      <c r="H86" s="69"/>
      <c r="I86" s="69"/>
      <c r="J86" s="69"/>
      <c r="K86" s="208"/>
      <c r="L86" s="69"/>
      <c r="M86" s="69"/>
      <c r="N86" s="69"/>
      <c r="O86" s="69"/>
      <c r="P86" s="69"/>
    </row>
    <row r="87" spans="1:16" x14ac:dyDescent="0.25">
      <c r="A87" s="69">
        <v>156003</v>
      </c>
      <c r="B87" s="207">
        <f>VLOOKUP(A87,pravidla_SDcast!$A$1:$D$458,4,FALSE)</f>
        <v>2</v>
      </c>
      <c r="C87" s="69" t="s">
        <v>784</v>
      </c>
      <c r="D87" s="69"/>
      <c r="E87" s="69"/>
      <c r="F87" s="69"/>
      <c r="G87" s="69"/>
      <c r="H87" s="69"/>
      <c r="I87" s="69"/>
      <c r="J87" s="69"/>
      <c r="K87" s="208"/>
      <c r="L87" s="69"/>
      <c r="M87" s="69"/>
      <c r="N87" s="69"/>
      <c r="O87" s="69"/>
      <c r="P87" s="69"/>
    </row>
    <row r="88" spans="1:16" x14ac:dyDescent="0.25">
      <c r="A88" s="69">
        <v>157000</v>
      </c>
      <c r="B88" s="207" t="e">
        <f>VLOOKUP(A88,pravidla_SDcast!$A$1:$D$458,4,FALSE)</f>
        <v>#N/A</v>
      </c>
      <c r="C88" s="69" t="s">
        <v>793</v>
      </c>
      <c r="D88" s="69"/>
      <c r="E88" s="69"/>
      <c r="F88" s="69"/>
      <c r="G88" s="69"/>
      <c r="H88" s="69"/>
      <c r="I88" s="69"/>
      <c r="J88" s="69"/>
      <c r="K88" s="208"/>
      <c r="L88" s="69"/>
      <c r="M88" s="69"/>
      <c r="N88" s="69"/>
      <c r="O88" s="69"/>
      <c r="P88" s="69"/>
    </row>
    <row r="89" spans="1:16" x14ac:dyDescent="0.25">
      <c r="A89" s="69">
        <v>157001</v>
      </c>
      <c r="B89" s="207">
        <f>VLOOKUP(A89,pravidla_SDcast!$A$1:$D$458,4,FALSE)</f>
        <v>2</v>
      </c>
      <c r="C89" s="69" t="s">
        <v>783</v>
      </c>
      <c r="D89" s="69"/>
      <c r="E89" s="69"/>
      <c r="F89" s="69"/>
      <c r="G89" s="69"/>
      <c r="H89" s="69"/>
      <c r="I89" s="69"/>
      <c r="J89" s="69"/>
      <c r="K89" s="208"/>
      <c r="L89" s="69"/>
      <c r="M89" s="69"/>
      <c r="N89" s="69"/>
      <c r="O89" s="69"/>
      <c r="P89" s="69"/>
    </row>
    <row r="90" spans="1:16" x14ac:dyDescent="0.25">
      <c r="A90" s="69">
        <v>157002</v>
      </c>
      <c r="B90" s="207">
        <f>VLOOKUP(A90,pravidla_SDcast!$A$1:$D$458,4,FALSE)</f>
        <v>2</v>
      </c>
      <c r="C90" s="69" t="s">
        <v>782</v>
      </c>
      <c r="D90" s="69"/>
      <c r="E90" s="69"/>
      <c r="F90" s="69"/>
      <c r="G90" s="69"/>
      <c r="H90" s="69"/>
      <c r="I90" s="69"/>
      <c r="J90" s="69"/>
      <c r="K90" s="208"/>
      <c r="L90" s="69"/>
      <c r="M90" s="69"/>
      <c r="N90" s="69"/>
      <c r="O90" s="69"/>
      <c r="P90" s="69"/>
    </row>
    <row r="91" spans="1:16" x14ac:dyDescent="0.25">
      <c r="A91" s="69">
        <v>157003</v>
      </c>
      <c r="B91" s="207">
        <f>VLOOKUP(A91,pravidla_SDcast!$A$1:$D$458,4,FALSE)</f>
        <v>2</v>
      </c>
      <c r="C91" s="69" t="s">
        <v>785</v>
      </c>
      <c r="D91" s="69"/>
      <c r="E91" s="69"/>
      <c r="F91" s="69"/>
      <c r="G91" s="69"/>
      <c r="H91" s="69"/>
      <c r="I91" s="69"/>
      <c r="J91" s="69"/>
      <c r="K91" s="208"/>
      <c r="L91" s="69"/>
      <c r="M91" s="69"/>
      <c r="N91" s="69"/>
      <c r="O91" s="69"/>
      <c r="P91" s="69"/>
    </row>
    <row r="92" spans="1:16" x14ac:dyDescent="0.25">
      <c r="A92" s="69">
        <v>157004</v>
      </c>
      <c r="B92" s="207">
        <f>VLOOKUP(A92,pravidla_SDcast!$A$1:$D$458,4,FALSE)</f>
        <v>2</v>
      </c>
      <c r="C92" s="69" t="s">
        <v>784</v>
      </c>
      <c r="D92" s="69"/>
      <c r="E92" s="69"/>
      <c r="F92" s="69"/>
      <c r="G92" s="69"/>
      <c r="H92" s="69"/>
      <c r="I92" s="69"/>
      <c r="J92" s="69"/>
      <c r="K92" s="208"/>
      <c r="L92" s="69"/>
      <c r="M92" s="69"/>
      <c r="N92" s="69"/>
      <c r="O92" s="69"/>
      <c r="P92" s="69"/>
    </row>
    <row r="93" spans="1:16" x14ac:dyDescent="0.25">
      <c r="A93" s="69">
        <v>157005</v>
      </c>
      <c r="B93" s="207">
        <f>VLOOKUP(A93,pravidla_SDcast!$A$1:$D$458,4,FALSE)</f>
        <v>7</v>
      </c>
      <c r="C93" s="69" t="s">
        <v>787</v>
      </c>
      <c r="D93" s="69"/>
      <c r="E93" s="69"/>
      <c r="F93" s="69"/>
      <c r="G93" s="69"/>
      <c r="H93" s="69"/>
      <c r="I93" s="69"/>
      <c r="J93" s="69"/>
      <c r="K93" s="208"/>
      <c r="L93" s="69"/>
      <c r="M93" s="69"/>
      <c r="N93" s="69"/>
      <c r="O93" s="69"/>
      <c r="P93" s="69"/>
    </row>
    <row r="94" spans="1:16" x14ac:dyDescent="0.25">
      <c r="A94" s="69">
        <v>158000</v>
      </c>
      <c r="B94" s="207" t="e">
        <f>VLOOKUP(A94,pravidla_SDcast!$A$1:$D$458,4,FALSE)</f>
        <v>#N/A</v>
      </c>
      <c r="C94" s="69" t="s">
        <v>794</v>
      </c>
      <c r="D94" s="69"/>
      <c r="E94" s="69"/>
      <c r="F94" s="69"/>
      <c r="G94" s="69"/>
      <c r="H94" s="69"/>
      <c r="I94" s="69"/>
      <c r="J94" s="69"/>
      <c r="K94" s="208"/>
      <c r="L94" s="69"/>
      <c r="M94" s="69"/>
      <c r="N94" s="69"/>
      <c r="O94" s="69"/>
      <c r="P94" s="69"/>
    </row>
    <row r="95" spans="1:16" x14ac:dyDescent="0.25">
      <c r="A95" s="69">
        <v>158001</v>
      </c>
      <c r="B95" s="207">
        <f>VLOOKUP(A95,pravidla_SDcast!$A$1:$D$458,4,FALSE)</f>
        <v>2</v>
      </c>
      <c r="C95" s="69" t="s">
        <v>781</v>
      </c>
      <c r="D95" s="69"/>
      <c r="E95" s="69"/>
      <c r="F95" s="69"/>
      <c r="G95" s="69"/>
      <c r="H95" s="69"/>
      <c r="I95" s="69"/>
      <c r="J95" s="69"/>
      <c r="K95" s="208"/>
      <c r="L95" s="69"/>
      <c r="M95" s="69"/>
      <c r="N95" s="69"/>
      <c r="O95" s="69"/>
      <c r="P95" s="69"/>
    </row>
    <row r="96" spans="1:16" x14ac:dyDescent="0.25">
      <c r="A96" s="69">
        <v>158002</v>
      </c>
      <c r="B96" s="207">
        <f>VLOOKUP(A96,pravidla_SDcast!$A$1:$D$458,4,FALSE)</f>
        <v>2</v>
      </c>
      <c r="C96" s="69" t="s">
        <v>783</v>
      </c>
      <c r="D96" s="69"/>
      <c r="E96" s="69"/>
      <c r="F96" s="69"/>
      <c r="G96" s="69"/>
      <c r="H96" s="69"/>
      <c r="I96" s="69"/>
      <c r="J96" s="69"/>
      <c r="K96" s="208"/>
      <c r="L96" s="69"/>
      <c r="M96" s="69"/>
      <c r="N96" s="69"/>
      <c r="O96" s="69"/>
      <c r="P96" s="69"/>
    </row>
    <row r="97" spans="1:16" x14ac:dyDescent="0.25">
      <c r="A97" s="69">
        <v>158003</v>
      </c>
      <c r="B97" s="207">
        <f>VLOOKUP(A97,pravidla_SDcast!$A$1:$D$458,4,FALSE)</f>
        <v>2</v>
      </c>
      <c r="C97" s="69" t="s">
        <v>782</v>
      </c>
      <c r="D97" s="69"/>
      <c r="E97" s="69"/>
      <c r="F97" s="69"/>
      <c r="G97" s="69"/>
      <c r="H97" s="69"/>
      <c r="I97" s="69"/>
      <c r="J97" s="69"/>
      <c r="K97" s="208"/>
      <c r="L97" s="69"/>
      <c r="M97" s="69"/>
      <c r="N97" s="69"/>
      <c r="O97" s="69"/>
      <c r="P97" s="69"/>
    </row>
    <row r="98" spans="1:16" x14ac:dyDescent="0.25">
      <c r="A98" s="69">
        <v>158004</v>
      </c>
      <c r="B98" s="207">
        <f>VLOOKUP(A98,pravidla_SDcast!$A$1:$D$458,4,FALSE)</f>
        <v>2</v>
      </c>
      <c r="C98" s="69" t="s">
        <v>785</v>
      </c>
      <c r="D98" s="69"/>
      <c r="E98" s="69"/>
      <c r="F98" s="69"/>
      <c r="G98" s="69"/>
      <c r="H98" s="69"/>
      <c r="I98" s="69"/>
      <c r="J98" s="69"/>
      <c r="K98" s="208"/>
      <c r="L98" s="69"/>
      <c r="M98" s="69"/>
      <c r="N98" s="69"/>
      <c r="O98" s="69"/>
      <c r="P98" s="69"/>
    </row>
    <row r="99" spans="1:16" x14ac:dyDescent="0.25">
      <c r="A99" s="69">
        <v>158005</v>
      </c>
      <c r="B99" s="207">
        <f>VLOOKUP(A99,pravidla_SDcast!$A$1:$D$458,4,FALSE)</f>
        <v>7</v>
      </c>
      <c r="C99" s="69" t="s">
        <v>787</v>
      </c>
      <c r="D99" s="69"/>
      <c r="E99" s="69"/>
      <c r="F99" s="69"/>
      <c r="G99" s="69"/>
      <c r="H99" s="69"/>
      <c r="I99" s="69"/>
      <c r="J99" s="69"/>
      <c r="K99" s="208"/>
      <c r="L99" s="69"/>
      <c r="M99" s="69"/>
      <c r="N99" s="69"/>
      <c r="O99" s="69"/>
      <c r="P99" s="69"/>
    </row>
    <row r="100" spans="1:16" x14ac:dyDescent="0.25">
      <c r="A100" s="69">
        <v>158006</v>
      </c>
      <c r="B100" s="207">
        <f>VLOOKUP(A100,pravidla_SDcast!$A$1:$D$458,4,FALSE)</f>
        <v>2</v>
      </c>
      <c r="C100" s="69" t="s">
        <v>784</v>
      </c>
      <c r="D100" s="69"/>
      <c r="E100" s="69"/>
      <c r="F100" s="69"/>
      <c r="G100" s="69"/>
      <c r="H100" s="69"/>
      <c r="I100" s="69"/>
      <c r="J100" s="69"/>
      <c r="K100" s="208"/>
      <c r="L100" s="69"/>
      <c r="M100" s="69"/>
      <c r="N100" s="69"/>
      <c r="O100" s="69"/>
      <c r="P100" s="69"/>
    </row>
    <row r="101" spans="1:16" x14ac:dyDescent="0.25">
      <c r="A101" s="69">
        <v>160000</v>
      </c>
      <c r="B101" s="207">
        <f>VLOOKUP(A101,pravidla_SDcast!$A$1:$D$458,4,FALSE)</f>
        <v>22</v>
      </c>
      <c r="C101" s="69" t="s">
        <v>795</v>
      </c>
      <c r="D101" s="69"/>
      <c r="E101" s="69"/>
      <c r="F101" s="69"/>
      <c r="G101" s="69"/>
      <c r="H101" s="69"/>
      <c r="I101" s="69"/>
      <c r="J101" s="69"/>
      <c r="K101" s="208"/>
      <c r="L101" s="69"/>
      <c r="M101" s="69"/>
      <c r="N101" s="69"/>
      <c r="O101" s="69"/>
      <c r="P101" s="69"/>
    </row>
    <row r="102" spans="1:16" x14ac:dyDescent="0.25">
      <c r="A102" s="69">
        <v>170000</v>
      </c>
      <c r="B102" s="207">
        <f>VLOOKUP(A102,pravidla_SDcast!$A$1:$D$458,4,FALSE)</f>
        <v>22</v>
      </c>
      <c r="C102" s="69" t="s">
        <v>267</v>
      </c>
      <c r="D102" s="69"/>
      <c r="E102" s="69"/>
      <c r="F102" s="69"/>
      <c r="G102" s="69"/>
      <c r="H102" s="69"/>
      <c r="I102" s="69"/>
      <c r="J102" s="69"/>
      <c r="K102" s="208"/>
      <c r="L102" s="69"/>
      <c r="M102" s="69"/>
      <c r="N102" s="69"/>
      <c r="O102" s="69"/>
      <c r="P102" s="69"/>
    </row>
    <row r="103" spans="1:16" x14ac:dyDescent="0.25">
      <c r="A103" s="69">
        <v>190000</v>
      </c>
      <c r="B103" s="207">
        <f>VLOOKUP(A103,pravidla_SDcast!$A$1:$D$458,4,FALSE)</f>
        <v>2</v>
      </c>
      <c r="C103" s="69" t="s">
        <v>796</v>
      </c>
      <c r="D103" s="69"/>
      <c r="E103" s="69"/>
      <c r="F103" s="69"/>
      <c r="G103" s="69"/>
      <c r="H103" s="69"/>
      <c r="I103" s="69"/>
      <c r="J103" s="69"/>
      <c r="K103" s="208"/>
      <c r="L103" s="69"/>
      <c r="M103" s="69"/>
      <c r="N103" s="69"/>
      <c r="O103" s="69"/>
      <c r="P103" s="69"/>
    </row>
    <row r="104" spans="1:16" x14ac:dyDescent="0.25">
      <c r="A104" s="69">
        <v>191000</v>
      </c>
      <c r="B104" s="207">
        <f>VLOOKUP(A104,pravidla_SDcast!$A$1:$D$458,4,FALSE)</f>
        <v>2</v>
      </c>
      <c r="C104" s="69" t="s">
        <v>268</v>
      </c>
      <c r="D104" s="69"/>
      <c r="E104" s="69"/>
      <c r="F104" s="69"/>
      <c r="G104" s="69"/>
      <c r="H104" s="69"/>
      <c r="I104" s="69"/>
      <c r="J104" s="69"/>
      <c r="K104" s="208"/>
      <c r="L104" s="69"/>
      <c r="M104" s="69"/>
      <c r="N104" s="69"/>
      <c r="O104" s="69"/>
      <c r="P104" s="69"/>
    </row>
    <row r="105" spans="1:16" x14ac:dyDescent="0.25">
      <c r="A105" s="69">
        <v>192000</v>
      </c>
      <c r="B105" s="207">
        <f>VLOOKUP(A105,pravidla_SDcast!$A$1:$D$458,4,FALSE)</f>
        <v>37</v>
      </c>
      <c r="C105" s="69" t="s">
        <v>269</v>
      </c>
      <c r="D105" s="69"/>
      <c r="E105" s="69"/>
      <c r="F105" s="69"/>
      <c r="G105" s="69"/>
      <c r="H105" s="69"/>
      <c r="I105" s="69"/>
      <c r="J105" s="69"/>
      <c r="K105" s="208"/>
      <c r="L105" s="69"/>
      <c r="M105" s="69"/>
      <c r="N105" s="69"/>
      <c r="O105" s="69"/>
      <c r="P105" s="69"/>
    </row>
    <row r="106" spans="1:16" x14ac:dyDescent="0.25">
      <c r="A106" s="69">
        <v>193000</v>
      </c>
      <c r="B106" s="207">
        <f>VLOOKUP(A106,pravidla_SDcast!$A$1:$D$458,4,FALSE)</f>
        <v>9</v>
      </c>
      <c r="C106" s="69" t="s">
        <v>270</v>
      </c>
      <c r="D106" s="69"/>
      <c r="E106" s="69"/>
      <c r="F106" s="69"/>
      <c r="G106" s="69"/>
      <c r="H106" s="69"/>
      <c r="I106" s="69"/>
      <c r="J106" s="69"/>
      <c r="K106" s="208"/>
      <c r="L106" s="69"/>
      <c r="M106" s="69"/>
      <c r="N106" s="69"/>
      <c r="O106" s="69"/>
      <c r="P106" s="69"/>
    </row>
    <row r="107" spans="1:16" x14ac:dyDescent="0.25">
      <c r="A107" s="69">
        <v>194000</v>
      </c>
      <c r="B107" s="207">
        <f>VLOOKUP(A107,pravidla_SDcast!$A$1:$D$458,4,FALSE)</f>
        <v>38</v>
      </c>
      <c r="C107" s="69" t="s">
        <v>272</v>
      </c>
      <c r="D107" s="69"/>
      <c r="E107" s="69"/>
      <c r="F107" s="69"/>
      <c r="G107" s="69"/>
      <c r="H107" s="69"/>
      <c r="I107" s="69"/>
      <c r="J107" s="69"/>
      <c r="K107" s="208"/>
      <c r="L107" s="69"/>
      <c r="M107" s="69"/>
      <c r="N107" s="69"/>
      <c r="O107" s="69"/>
      <c r="P107" s="69"/>
    </row>
    <row r="108" spans="1:16" x14ac:dyDescent="0.25">
      <c r="A108" s="69">
        <v>200000</v>
      </c>
      <c r="B108" s="207" t="e">
        <f>VLOOKUP(A108,pravidla_SDcast!$A$1:$D$458,4,FALSE)</f>
        <v>#N/A</v>
      </c>
      <c r="C108" s="69" t="s">
        <v>797</v>
      </c>
      <c r="D108" s="69"/>
      <c r="E108" s="69"/>
      <c r="F108" s="69"/>
      <c r="G108" s="69"/>
      <c r="H108" s="69"/>
      <c r="I108" s="69"/>
      <c r="J108" s="69"/>
      <c r="K108" s="208"/>
      <c r="L108" s="69"/>
      <c r="M108" s="69"/>
      <c r="N108" s="69"/>
      <c r="O108" s="69"/>
      <c r="P108" s="69"/>
    </row>
    <row r="109" spans="1:16" x14ac:dyDescent="0.25">
      <c r="A109" s="69">
        <v>210000</v>
      </c>
      <c r="B109" s="207" t="e">
        <f>VLOOKUP(A109,pravidla_SDcast!$A$1:$D$458,4,FALSE)</f>
        <v>#N/A</v>
      </c>
      <c r="C109" s="69" t="s">
        <v>798</v>
      </c>
      <c r="D109" s="69"/>
      <c r="E109" s="69"/>
      <c r="F109" s="69"/>
      <c r="G109" s="69"/>
      <c r="H109" s="69"/>
      <c r="I109" s="69"/>
      <c r="J109" s="69"/>
      <c r="K109" s="208"/>
      <c r="L109" s="69"/>
      <c r="M109" s="69"/>
      <c r="N109" s="69"/>
      <c r="O109" s="69"/>
      <c r="P109" s="69"/>
    </row>
    <row r="110" spans="1:16" x14ac:dyDescent="0.25">
      <c r="A110" s="69">
        <v>211000</v>
      </c>
      <c r="B110" s="207" t="e">
        <f>VLOOKUP(A110,pravidla_SDcast!$A$1:$D$458,4,FALSE)</f>
        <v>#N/A</v>
      </c>
      <c r="C110" s="69" t="s">
        <v>799</v>
      </c>
      <c r="D110" s="69"/>
      <c r="E110" s="69"/>
      <c r="F110" s="69"/>
      <c r="G110" s="69"/>
      <c r="H110" s="69"/>
      <c r="I110" s="69"/>
      <c r="J110" s="69"/>
      <c r="K110" s="208"/>
      <c r="L110" s="69"/>
      <c r="M110" s="69"/>
      <c r="N110" s="69"/>
      <c r="O110" s="69"/>
      <c r="P110" s="69"/>
    </row>
    <row r="111" spans="1:16" x14ac:dyDescent="0.25">
      <c r="A111" s="69">
        <v>211003</v>
      </c>
      <c r="B111" s="207">
        <f>VLOOKUP(A111,pravidla_SDcast!$A$1:$D$458,4,FALSE)</f>
        <v>38</v>
      </c>
      <c r="C111" s="69" t="s">
        <v>273</v>
      </c>
      <c r="D111" s="69"/>
      <c r="E111" s="69"/>
      <c r="F111" s="69"/>
      <c r="G111" s="69"/>
      <c r="H111" s="69"/>
      <c r="I111" s="69"/>
      <c r="J111" s="69"/>
      <c r="K111" s="208"/>
      <c r="L111" s="69"/>
      <c r="M111" s="69"/>
      <c r="N111" s="69"/>
      <c r="O111" s="69"/>
      <c r="P111" s="69"/>
    </row>
    <row r="112" spans="1:16" x14ac:dyDescent="0.25">
      <c r="A112" s="69">
        <v>211004</v>
      </c>
      <c r="B112" s="207">
        <f>VLOOKUP(A112,pravidla_SDcast!$A$1:$D$458,4,FALSE)</f>
        <v>38</v>
      </c>
      <c r="C112" s="69" t="s">
        <v>274</v>
      </c>
      <c r="D112" s="69"/>
      <c r="E112" s="69"/>
      <c r="F112" s="69"/>
      <c r="G112" s="69"/>
      <c r="H112" s="69"/>
      <c r="I112" s="69"/>
      <c r="J112" s="69"/>
      <c r="K112" s="208"/>
      <c r="L112" s="69"/>
      <c r="M112" s="69"/>
      <c r="N112" s="69"/>
      <c r="O112" s="69"/>
      <c r="P112" s="69"/>
    </row>
    <row r="113" spans="1:16" x14ac:dyDescent="0.25">
      <c r="A113" s="69">
        <v>212000</v>
      </c>
      <c r="B113" s="207">
        <f>VLOOKUP(A113,pravidla_SDcast!$A$1:$D$458,4,FALSE)</f>
        <v>9</v>
      </c>
      <c r="C113" s="69" t="s">
        <v>800</v>
      </c>
      <c r="D113" s="69"/>
      <c r="E113" s="69"/>
      <c r="F113" s="69"/>
      <c r="G113" s="69"/>
      <c r="H113" s="69"/>
      <c r="I113" s="69"/>
      <c r="J113" s="69"/>
      <c r="K113" s="208"/>
      <c r="L113" s="69"/>
      <c r="M113" s="69"/>
      <c r="N113" s="69"/>
      <c r="O113" s="69"/>
      <c r="P113" s="69"/>
    </row>
    <row r="114" spans="1:16" x14ac:dyDescent="0.25">
      <c r="A114" s="69">
        <v>212001</v>
      </c>
      <c r="B114" s="207">
        <f>VLOOKUP(A114,pravidla_SDcast!$A$1:$D$458,4,FALSE)</f>
        <v>22</v>
      </c>
      <c r="C114" s="69" t="s">
        <v>275</v>
      </c>
      <c r="D114" s="69"/>
      <c r="E114" s="69"/>
      <c r="F114" s="69"/>
      <c r="G114" s="69"/>
      <c r="H114" s="69"/>
      <c r="I114" s="69"/>
      <c r="J114" s="69"/>
      <c r="K114" s="208"/>
      <c r="L114" s="69"/>
      <c r="M114" s="69"/>
      <c r="N114" s="69"/>
      <c r="O114" s="69"/>
      <c r="P114" s="69"/>
    </row>
    <row r="115" spans="1:16" x14ac:dyDescent="0.25">
      <c r="A115" s="69">
        <v>212002</v>
      </c>
      <c r="B115" s="207">
        <f>VLOOKUP(A115,pravidla_SDcast!$A$1:$D$458,4,FALSE)</f>
        <v>9</v>
      </c>
      <c r="C115" s="69" t="s">
        <v>276</v>
      </c>
      <c r="D115" s="69"/>
      <c r="E115" s="69"/>
      <c r="F115" s="69"/>
      <c r="G115" s="69"/>
      <c r="H115" s="69"/>
      <c r="I115" s="69"/>
      <c r="J115" s="69"/>
      <c r="K115" s="208"/>
      <c r="L115" s="69"/>
      <c r="M115" s="69"/>
      <c r="N115" s="69"/>
      <c r="O115" s="69"/>
      <c r="P115" s="69"/>
    </row>
    <row r="116" spans="1:16" x14ac:dyDescent="0.25">
      <c r="A116" s="69">
        <v>212003</v>
      </c>
      <c r="B116" s="207">
        <f>VLOOKUP(A116,pravidla_SDcast!$A$1:$D$458,4,FALSE)</f>
        <v>9</v>
      </c>
      <c r="C116" s="69" t="s">
        <v>277</v>
      </c>
      <c r="D116" s="69"/>
      <c r="E116" s="69"/>
      <c r="F116" s="69"/>
      <c r="G116" s="69"/>
      <c r="H116" s="69"/>
      <c r="I116" s="69"/>
      <c r="J116" s="69"/>
      <c r="K116" s="208"/>
      <c r="L116" s="69"/>
      <c r="M116" s="69"/>
      <c r="N116" s="69"/>
      <c r="O116" s="69"/>
      <c r="P116" s="69"/>
    </row>
    <row r="117" spans="1:16" x14ac:dyDescent="0.25">
      <c r="A117" s="69">
        <v>212004</v>
      </c>
      <c r="B117" s="207">
        <f>VLOOKUP(A117,pravidla_SDcast!$A$1:$D$458,4,FALSE)</f>
        <v>9</v>
      </c>
      <c r="C117" s="69" t="s">
        <v>278</v>
      </c>
      <c r="D117" s="69"/>
      <c r="E117" s="69"/>
      <c r="F117" s="69"/>
      <c r="G117" s="69"/>
      <c r="H117" s="69"/>
      <c r="I117" s="69"/>
      <c r="J117" s="69"/>
      <c r="K117" s="208"/>
      <c r="L117" s="69"/>
      <c r="M117" s="69"/>
      <c r="N117" s="69"/>
      <c r="O117" s="69"/>
      <c r="P117" s="69"/>
    </row>
    <row r="118" spans="1:16" x14ac:dyDescent="0.25">
      <c r="A118" s="69">
        <v>212008</v>
      </c>
      <c r="B118" s="207">
        <f>VLOOKUP(A118,pravidla_SDcast!$A$1:$D$458,4,FALSE)</f>
        <v>22</v>
      </c>
      <c r="C118" s="69" t="s">
        <v>279</v>
      </c>
      <c r="D118" s="69"/>
      <c r="E118" s="69"/>
      <c r="F118" s="69"/>
      <c r="G118" s="69"/>
      <c r="H118" s="69"/>
      <c r="I118" s="69"/>
      <c r="J118" s="69"/>
      <c r="K118" s="208"/>
      <c r="L118" s="69"/>
      <c r="M118" s="69"/>
      <c r="N118" s="69"/>
      <c r="O118" s="69"/>
      <c r="P118" s="69"/>
    </row>
    <row r="119" spans="1:16" x14ac:dyDescent="0.25">
      <c r="A119" s="69">
        <v>212009</v>
      </c>
      <c r="B119" s="207">
        <f>VLOOKUP(A119,pravidla_SDcast!$A$1:$D$458,4,FALSE)</f>
        <v>22</v>
      </c>
      <c r="C119" s="69" t="s">
        <v>280</v>
      </c>
      <c r="D119" s="69"/>
      <c r="E119" s="69"/>
      <c r="F119" s="69"/>
      <c r="G119" s="69"/>
      <c r="H119" s="69"/>
      <c r="I119" s="69"/>
      <c r="J119" s="69"/>
      <c r="K119" s="208"/>
      <c r="L119" s="69"/>
      <c r="M119" s="69"/>
      <c r="N119" s="69"/>
      <c r="O119" s="69"/>
      <c r="P119" s="69"/>
    </row>
    <row r="120" spans="1:16" x14ac:dyDescent="0.25">
      <c r="A120" s="69">
        <v>220000</v>
      </c>
      <c r="B120" s="207" t="e">
        <f>VLOOKUP(A120,pravidla_SDcast!$A$1:$D$458,4,FALSE)</f>
        <v>#N/A</v>
      </c>
      <c r="C120" s="69" t="s">
        <v>801</v>
      </c>
      <c r="D120" s="69"/>
      <c r="E120" s="69"/>
      <c r="F120" s="69"/>
      <c r="G120" s="69"/>
      <c r="H120" s="69"/>
      <c r="I120" s="69"/>
      <c r="J120" s="69"/>
      <c r="K120" s="208"/>
      <c r="L120" s="69"/>
      <c r="M120" s="69"/>
      <c r="N120" s="69"/>
      <c r="O120" s="69"/>
      <c r="P120" s="69"/>
    </row>
    <row r="121" spans="1:16" x14ac:dyDescent="0.25">
      <c r="A121" s="69">
        <v>221000</v>
      </c>
      <c r="B121" s="207" t="e">
        <f>VLOOKUP(A121,pravidla_SDcast!$A$1:$D$458,4,FALSE)</f>
        <v>#N/A</v>
      </c>
      <c r="C121" s="69" t="s">
        <v>802</v>
      </c>
      <c r="D121" s="69"/>
      <c r="E121" s="69"/>
      <c r="F121" s="69"/>
      <c r="G121" s="69"/>
      <c r="H121" s="69"/>
      <c r="I121" s="69"/>
      <c r="J121" s="69"/>
      <c r="K121" s="208"/>
      <c r="L121" s="69"/>
      <c r="M121" s="69"/>
      <c r="N121" s="69"/>
      <c r="O121" s="69"/>
      <c r="P121" s="69"/>
    </row>
    <row r="122" spans="1:16" x14ac:dyDescent="0.25">
      <c r="A122" s="69">
        <v>221001</v>
      </c>
      <c r="B122" s="207">
        <f>VLOOKUP(A122,pravidla_SDcast!$A$1:$D$458,4,FALSE)</f>
        <v>22</v>
      </c>
      <c r="C122" s="69" t="s">
        <v>281</v>
      </c>
      <c r="D122" s="69"/>
      <c r="E122" s="69"/>
      <c r="F122" s="69"/>
      <c r="G122" s="69"/>
      <c r="H122" s="69"/>
      <c r="I122" s="69"/>
      <c r="J122" s="69"/>
      <c r="K122" s="208"/>
      <c r="L122" s="69"/>
      <c r="M122" s="69"/>
      <c r="N122" s="69"/>
      <c r="O122" s="69"/>
      <c r="P122" s="69"/>
    </row>
    <row r="123" spans="1:16" x14ac:dyDescent="0.25">
      <c r="A123" s="69">
        <v>221002</v>
      </c>
      <c r="B123" s="207">
        <f>VLOOKUP(A123,pravidla_SDcast!$A$1:$D$458,4,FALSE)</f>
        <v>22</v>
      </c>
      <c r="C123" s="69" t="s">
        <v>282</v>
      </c>
      <c r="D123" s="69"/>
      <c r="E123" s="69"/>
      <c r="F123" s="69"/>
      <c r="G123" s="69"/>
      <c r="H123" s="69"/>
      <c r="I123" s="69"/>
      <c r="J123" s="69"/>
      <c r="K123" s="208"/>
      <c r="L123" s="69"/>
      <c r="M123" s="69"/>
      <c r="N123" s="69"/>
      <c r="O123" s="69"/>
      <c r="P123" s="69"/>
    </row>
    <row r="124" spans="1:16" x14ac:dyDescent="0.25">
      <c r="A124" s="69">
        <v>221003</v>
      </c>
      <c r="B124" s="207">
        <f>VLOOKUP(A124,pravidla_SDcast!$A$1:$D$458,4,FALSE)</f>
        <v>22</v>
      </c>
      <c r="C124" s="69" t="s">
        <v>283</v>
      </c>
      <c r="D124" s="69"/>
      <c r="E124" s="69"/>
      <c r="F124" s="69"/>
      <c r="G124" s="69"/>
      <c r="H124" s="69"/>
      <c r="I124" s="69"/>
      <c r="J124" s="69"/>
      <c r="K124" s="208"/>
      <c r="L124" s="69"/>
      <c r="M124" s="69"/>
      <c r="N124" s="69"/>
      <c r="O124" s="69"/>
      <c r="P124" s="69"/>
    </row>
    <row r="125" spans="1:16" x14ac:dyDescent="0.25">
      <c r="A125" s="69">
        <v>221004</v>
      </c>
      <c r="B125" s="207">
        <f>VLOOKUP(A125,pravidla_SDcast!$A$1:$D$458,4,FALSE)</f>
        <v>22</v>
      </c>
      <c r="C125" s="69" t="s">
        <v>284</v>
      </c>
      <c r="D125" s="69"/>
      <c r="E125" s="69"/>
      <c r="F125" s="69"/>
      <c r="G125" s="69"/>
      <c r="H125" s="69"/>
      <c r="I125" s="69"/>
      <c r="J125" s="69"/>
      <c r="K125" s="208"/>
      <c r="L125" s="69"/>
      <c r="M125" s="69"/>
      <c r="N125" s="69"/>
      <c r="O125" s="69"/>
      <c r="P125" s="69"/>
    </row>
    <row r="126" spans="1:16" x14ac:dyDescent="0.25">
      <c r="A126" s="69">
        <v>221005</v>
      </c>
      <c r="B126" s="207">
        <f>VLOOKUP(A126,pravidla_SDcast!$A$1:$D$458,4,FALSE)</f>
        <v>22</v>
      </c>
      <c r="C126" s="69" t="s">
        <v>285</v>
      </c>
      <c r="D126" s="69"/>
      <c r="E126" s="69"/>
      <c r="F126" s="69"/>
      <c r="G126" s="69"/>
      <c r="H126" s="69"/>
      <c r="I126" s="69"/>
      <c r="J126" s="69"/>
      <c r="K126" s="208"/>
      <c r="L126" s="69"/>
      <c r="M126" s="69"/>
      <c r="N126" s="69"/>
      <c r="O126" s="69"/>
      <c r="P126" s="69"/>
    </row>
    <row r="127" spans="1:16" x14ac:dyDescent="0.25">
      <c r="A127" s="69">
        <v>222000</v>
      </c>
      <c r="B127" s="207">
        <f>VLOOKUP(A127,pravidla_SDcast!$A$1:$D$458,4,FALSE)</f>
        <v>9</v>
      </c>
      <c r="C127" s="69" t="s">
        <v>286</v>
      </c>
      <c r="D127" s="69"/>
      <c r="E127" s="69"/>
      <c r="F127" s="69"/>
      <c r="G127" s="69"/>
      <c r="H127" s="69"/>
      <c r="I127" s="69"/>
      <c r="J127" s="69"/>
      <c r="K127" s="208"/>
      <c r="L127" s="69"/>
      <c r="M127" s="69"/>
      <c r="N127" s="69"/>
      <c r="O127" s="69"/>
      <c r="P127" s="69"/>
    </row>
    <row r="128" spans="1:16" x14ac:dyDescent="0.25">
      <c r="A128" s="69">
        <v>222001</v>
      </c>
      <c r="B128" s="207">
        <f>VLOOKUP(A128,pravidla_SDcast!$A$1:$D$458,4,FALSE)</f>
        <v>9</v>
      </c>
      <c r="C128" s="69" t="s">
        <v>287</v>
      </c>
      <c r="D128" s="69"/>
      <c r="E128" s="69"/>
      <c r="F128" s="69"/>
      <c r="G128" s="69"/>
      <c r="H128" s="69"/>
      <c r="I128" s="69"/>
      <c r="J128" s="69"/>
      <c r="K128" s="208"/>
      <c r="L128" s="69"/>
      <c r="M128" s="69"/>
      <c r="N128" s="69"/>
      <c r="O128" s="69"/>
      <c r="P128" s="69"/>
    </row>
    <row r="129" spans="1:16" x14ac:dyDescent="0.25">
      <c r="A129" s="69">
        <v>222002</v>
      </c>
      <c r="B129" s="207">
        <f>VLOOKUP(A129,pravidla_SDcast!$A$1:$D$458,4,FALSE)</f>
        <v>9</v>
      </c>
      <c r="C129" s="69" t="s">
        <v>288</v>
      </c>
      <c r="D129" s="69"/>
      <c r="E129" s="69"/>
      <c r="F129" s="69"/>
      <c r="G129" s="69"/>
      <c r="H129" s="69"/>
      <c r="I129" s="69"/>
      <c r="J129" s="69"/>
      <c r="K129" s="208"/>
      <c r="L129" s="69"/>
      <c r="M129" s="69"/>
      <c r="N129" s="69"/>
      <c r="O129" s="69"/>
      <c r="P129" s="69"/>
    </row>
    <row r="130" spans="1:16" x14ac:dyDescent="0.25">
      <c r="A130" s="69">
        <v>222003</v>
      </c>
      <c r="B130" s="207">
        <f>VLOOKUP(A130,pravidla_SDcast!$A$1:$D$458,4,FALSE)</f>
        <v>9</v>
      </c>
      <c r="C130" s="69" t="s">
        <v>289</v>
      </c>
      <c r="D130" s="69"/>
      <c r="E130" s="69"/>
      <c r="F130" s="69"/>
      <c r="G130" s="69"/>
      <c r="H130" s="69"/>
      <c r="I130" s="69"/>
      <c r="J130" s="69"/>
      <c r="K130" s="208"/>
      <c r="L130" s="69"/>
      <c r="M130" s="69"/>
      <c r="N130" s="69"/>
      <c r="O130" s="69"/>
      <c r="P130" s="69"/>
    </row>
    <row r="131" spans="1:16" x14ac:dyDescent="0.25">
      <c r="A131" s="69">
        <v>223000</v>
      </c>
      <c r="B131" s="207">
        <f>VLOOKUP(A131,pravidla_SDcast!$A$1:$D$458,4,FALSE)</f>
        <v>9</v>
      </c>
      <c r="C131" s="69" t="s">
        <v>290</v>
      </c>
      <c r="D131" s="69"/>
      <c r="E131" s="69"/>
      <c r="F131" s="69"/>
      <c r="G131" s="69"/>
      <c r="H131" s="69"/>
      <c r="I131" s="69"/>
      <c r="J131" s="69"/>
      <c r="K131" s="208"/>
      <c r="L131" s="69"/>
      <c r="M131" s="69"/>
      <c r="N131" s="69"/>
      <c r="O131" s="69"/>
      <c r="P131" s="69"/>
    </row>
    <row r="132" spans="1:16" x14ac:dyDescent="0.25">
      <c r="A132" s="69">
        <v>223001</v>
      </c>
      <c r="B132" s="207">
        <f>VLOOKUP(A132,pravidla_SDcast!$A$1:$D$458,4,FALSE)</f>
        <v>9</v>
      </c>
      <c r="C132" s="69" t="s">
        <v>291</v>
      </c>
      <c r="D132" s="69"/>
      <c r="E132" s="69"/>
      <c r="F132" s="69"/>
      <c r="G132" s="69"/>
      <c r="H132" s="69"/>
      <c r="I132" s="69"/>
      <c r="J132" s="69"/>
      <c r="K132" s="208"/>
      <c r="L132" s="69"/>
      <c r="M132" s="69"/>
      <c r="N132" s="69"/>
      <c r="O132" s="69"/>
      <c r="P132" s="69"/>
    </row>
    <row r="133" spans="1:16" x14ac:dyDescent="0.25">
      <c r="A133" s="69">
        <v>223002</v>
      </c>
      <c r="B133" s="207">
        <f>VLOOKUP(A133,pravidla_SDcast!$A$1:$D$458,4,FALSE)</f>
        <v>25</v>
      </c>
      <c r="C133" s="69" t="s">
        <v>803</v>
      </c>
      <c r="D133" s="69"/>
      <c r="E133" s="69"/>
      <c r="F133" s="69"/>
      <c r="G133" s="69"/>
      <c r="H133" s="69"/>
      <c r="I133" s="69"/>
      <c r="J133" s="69"/>
      <c r="K133" s="208"/>
      <c r="L133" s="69"/>
      <c r="M133" s="69"/>
      <c r="N133" s="69"/>
      <c r="O133" s="69"/>
      <c r="P133" s="69"/>
    </row>
    <row r="134" spans="1:16" x14ac:dyDescent="0.25">
      <c r="A134" s="69">
        <v>223003</v>
      </c>
      <c r="B134" s="207">
        <f>VLOOKUP(A134,pravidla_SDcast!$A$1:$D$458,4,FALSE)</f>
        <v>55</v>
      </c>
      <c r="C134" s="69" t="s">
        <v>293</v>
      </c>
      <c r="D134" s="69"/>
      <c r="E134" s="69"/>
      <c r="F134" s="69"/>
      <c r="G134" s="69"/>
      <c r="H134" s="69"/>
      <c r="I134" s="69"/>
      <c r="J134" s="69"/>
      <c r="K134" s="208"/>
      <c r="L134" s="69"/>
      <c r="M134" s="69"/>
      <c r="N134" s="69"/>
      <c r="O134" s="69"/>
      <c r="P134" s="69"/>
    </row>
    <row r="135" spans="1:16" x14ac:dyDescent="0.25">
      <c r="A135" s="69">
        <v>223004</v>
      </c>
      <c r="B135" s="207">
        <f>VLOOKUP(A135,pravidla_SDcast!$A$1:$D$458,4,FALSE)</f>
        <v>9</v>
      </c>
      <c r="C135" s="69" t="s">
        <v>804</v>
      </c>
      <c r="D135" s="69"/>
      <c r="E135" s="69"/>
      <c r="F135" s="69"/>
      <c r="G135" s="69"/>
      <c r="H135" s="69"/>
      <c r="I135" s="69"/>
      <c r="J135" s="69"/>
      <c r="K135" s="208"/>
      <c r="L135" s="69"/>
      <c r="M135" s="69"/>
      <c r="N135" s="69"/>
      <c r="O135" s="69"/>
      <c r="P135" s="69"/>
    </row>
    <row r="136" spans="1:16" x14ac:dyDescent="0.25">
      <c r="A136" s="69">
        <v>229000</v>
      </c>
      <c r="B136" s="207">
        <f>VLOOKUP(A136,pravidla_SDcast!$A$1:$D$458,4,FALSE)</f>
        <v>22</v>
      </c>
      <c r="C136" s="69" t="s">
        <v>805</v>
      </c>
      <c r="D136" s="69"/>
      <c r="E136" s="69"/>
      <c r="F136" s="69"/>
      <c r="G136" s="69"/>
      <c r="H136" s="69"/>
      <c r="I136" s="69"/>
      <c r="J136" s="69"/>
      <c r="K136" s="208"/>
      <c r="L136" s="69"/>
      <c r="M136" s="69"/>
      <c r="N136" s="69"/>
      <c r="O136" s="69"/>
      <c r="P136" s="69"/>
    </row>
    <row r="137" spans="1:16" x14ac:dyDescent="0.25">
      <c r="A137" s="69">
        <v>229001</v>
      </c>
      <c r="B137" s="207">
        <f>VLOOKUP(A137,pravidla_SDcast!$A$1:$D$458,4,FALSE)</f>
        <v>22</v>
      </c>
      <c r="C137" s="69" t="s">
        <v>295</v>
      </c>
      <c r="D137" s="69"/>
      <c r="E137" s="69"/>
      <c r="F137" s="69"/>
      <c r="G137" s="69"/>
      <c r="H137" s="69"/>
      <c r="I137" s="69"/>
      <c r="J137" s="69"/>
      <c r="K137" s="208"/>
      <c r="L137" s="69"/>
      <c r="M137" s="69"/>
      <c r="N137" s="69"/>
      <c r="O137" s="69"/>
      <c r="P137" s="69"/>
    </row>
    <row r="138" spans="1:16" x14ac:dyDescent="0.25">
      <c r="A138" s="69">
        <v>229002</v>
      </c>
      <c r="B138" s="207">
        <f>VLOOKUP(A138,pravidla_SDcast!$A$1:$D$458,4,FALSE)</f>
        <v>22</v>
      </c>
      <c r="C138" s="69" t="s">
        <v>296</v>
      </c>
      <c r="D138" s="69"/>
      <c r="E138" s="69"/>
      <c r="F138" s="69"/>
      <c r="G138" s="69"/>
      <c r="H138" s="69"/>
      <c r="I138" s="69"/>
      <c r="J138" s="69"/>
      <c r="K138" s="208"/>
      <c r="L138" s="69"/>
      <c r="M138" s="69"/>
      <c r="N138" s="69"/>
      <c r="O138" s="69"/>
      <c r="P138" s="69"/>
    </row>
    <row r="139" spans="1:16" x14ac:dyDescent="0.25">
      <c r="A139" s="69">
        <v>229005</v>
      </c>
      <c r="B139" s="207">
        <f>VLOOKUP(A139,pravidla_SDcast!$A$1:$D$458,4,FALSE)</f>
        <v>22</v>
      </c>
      <c r="C139" s="69" t="s">
        <v>297</v>
      </c>
      <c r="D139" s="69"/>
      <c r="E139" s="69"/>
      <c r="F139" s="69"/>
      <c r="G139" s="69"/>
      <c r="H139" s="69"/>
      <c r="I139" s="69"/>
      <c r="J139" s="69"/>
      <c r="K139" s="208"/>
      <c r="L139" s="69"/>
      <c r="M139" s="69"/>
      <c r="N139" s="69"/>
      <c r="O139" s="69"/>
      <c r="P139" s="69"/>
    </row>
    <row r="140" spans="1:16" x14ac:dyDescent="0.25">
      <c r="A140" s="69">
        <v>230000</v>
      </c>
      <c r="B140" s="207" t="e">
        <f>VLOOKUP(A140,pravidla_SDcast!$A$1:$D$458,4,FALSE)</f>
        <v>#N/A</v>
      </c>
      <c r="C140" s="69" t="s">
        <v>806</v>
      </c>
      <c r="D140" s="69"/>
      <c r="E140" s="69"/>
      <c r="F140" s="69"/>
      <c r="G140" s="69"/>
      <c r="H140" s="69"/>
      <c r="I140" s="69"/>
      <c r="J140" s="69"/>
      <c r="K140" s="208"/>
      <c r="L140" s="69"/>
      <c r="M140" s="69"/>
      <c r="N140" s="69"/>
      <c r="O140" s="69"/>
      <c r="P140" s="69"/>
    </row>
    <row r="141" spans="1:16" x14ac:dyDescent="0.25">
      <c r="A141" s="69">
        <v>231000</v>
      </c>
      <c r="B141" s="207">
        <f>VLOOKUP(A141,pravidla_SDcast!$A$1:$D$458,4,FALSE)</f>
        <v>9</v>
      </c>
      <c r="C141" s="69" t="s">
        <v>807</v>
      </c>
      <c r="D141" s="69"/>
      <c r="E141" s="69"/>
      <c r="F141" s="69"/>
      <c r="G141" s="69"/>
      <c r="H141" s="69"/>
      <c r="I141" s="69"/>
      <c r="J141" s="69"/>
      <c r="K141" s="208"/>
      <c r="L141" s="69"/>
      <c r="M141" s="69"/>
      <c r="N141" s="69"/>
      <c r="O141" s="69"/>
      <c r="P141" s="69"/>
    </row>
    <row r="142" spans="1:16" x14ac:dyDescent="0.25">
      <c r="A142" s="69">
        <v>232000</v>
      </c>
      <c r="B142" s="207">
        <f>VLOOKUP(A142,pravidla_SDcast!$A$1:$D$458,4,FALSE)</f>
        <v>9</v>
      </c>
      <c r="C142" s="69" t="s">
        <v>808</v>
      </c>
      <c r="D142" s="69"/>
      <c r="E142" s="69"/>
      <c r="F142" s="69"/>
      <c r="G142" s="69"/>
      <c r="H142" s="69"/>
      <c r="I142" s="69"/>
      <c r="J142" s="69"/>
      <c r="K142" s="208"/>
      <c r="L142" s="69"/>
      <c r="M142" s="69"/>
      <c r="N142" s="69"/>
      <c r="O142" s="69"/>
      <c r="P142" s="69"/>
    </row>
    <row r="143" spans="1:16" x14ac:dyDescent="0.25">
      <c r="A143" s="69">
        <v>233000</v>
      </c>
      <c r="B143" s="207">
        <f>VLOOKUP(A143,pravidla_SDcast!$A$1:$D$458,4,FALSE)</f>
        <v>9</v>
      </c>
      <c r="C143" s="69" t="s">
        <v>300</v>
      </c>
      <c r="D143" s="69"/>
      <c r="E143" s="69"/>
      <c r="F143" s="69"/>
      <c r="G143" s="69"/>
      <c r="H143" s="69"/>
      <c r="I143" s="69"/>
      <c r="J143" s="69"/>
      <c r="K143" s="208"/>
      <c r="L143" s="69"/>
      <c r="M143" s="69"/>
      <c r="N143" s="69"/>
      <c r="O143" s="69"/>
      <c r="P143" s="69"/>
    </row>
    <row r="144" spans="1:16" x14ac:dyDescent="0.25">
      <c r="A144" s="69">
        <v>233001</v>
      </c>
      <c r="B144" s="207">
        <f>VLOOKUP(A144,pravidla_SDcast!$A$1:$D$458,4,FALSE)</f>
        <v>9</v>
      </c>
      <c r="C144" s="69" t="s">
        <v>301</v>
      </c>
      <c r="D144" s="69"/>
      <c r="E144" s="69"/>
      <c r="F144" s="69"/>
      <c r="G144" s="69"/>
      <c r="H144" s="69"/>
      <c r="I144" s="69"/>
      <c r="J144" s="69"/>
      <c r="K144" s="208"/>
      <c r="L144" s="69"/>
      <c r="M144" s="69"/>
      <c r="N144" s="69"/>
      <c r="O144" s="69"/>
      <c r="P144" s="69"/>
    </row>
    <row r="145" spans="1:16" x14ac:dyDescent="0.25">
      <c r="A145" s="69">
        <v>233002</v>
      </c>
      <c r="B145" s="207">
        <f>VLOOKUP(A145,pravidla_SDcast!$A$1:$D$458,4,FALSE)</f>
        <v>9</v>
      </c>
      <c r="C145" s="69" t="s">
        <v>302</v>
      </c>
      <c r="D145" s="69"/>
      <c r="E145" s="69"/>
      <c r="F145" s="69"/>
      <c r="G145" s="69"/>
      <c r="H145" s="69"/>
      <c r="I145" s="69"/>
      <c r="J145" s="69"/>
      <c r="K145" s="208"/>
      <c r="L145" s="69"/>
      <c r="M145" s="69"/>
      <c r="N145" s="69"/>
      <c r="O145" s="69"/>
      <c r="P145" s="69"/>
    </row>
    <row r="146" spans="1:16" x14ac:dyDescent="0.25">
      <c r="A146" s="69">
        <v>239000</v>
      </c>
      <c r="B146" s="207">
        <f>VLOOKUP(A146,pravidla_SDcast!$A$1:$D$458,4,FALSE)</f>
        <v>9</v>
      </c>
      <c r="C146" s="69" t="s">
        <v>303</v>
      </c>
      <c r="D146" s="69"/>
      <c r="E146" s="69"/>
      <c r="F146" s="69"/>
      <c r="G146" s="69"/>
      <c r="H146" s="69"/>
      <c r="I146" s="69"/>
      <c r="J146" s="69"/>
      <c r="K146" s="208"/>
      <c r="L146" s="69"/>
      <c r="M146" s="69"/>
      <c r="N146" s="69"/>
      <c r="O146" s="69"/>
      <c r="P146" s="69"/>
    </row>
    <row r="147" spans="1:16" x14ac:dyDescent="0.25">
      <c r="A147" s="69">
        <v>239001</v>
      </c>
      <c r="B147" s="207">
        <f>VLOOKUP(A147,pravidla_SDcast!$A$1:$D$458,4,FALSE)</f>
        <v>9</v>
      </c>
      <c r="C147" s="69" t="s">
        <v>304</v>
      </c>
      <c r="D147" s="69"/>
      <c r="E147" s="69"/>
      <c r="F147" s="69"/>
      <c r="G147" s="69"/>
      <c r="H147" s="69"/>
      <c r="I147" s="69"/>
      <c r="J147" s="69"/>
      <c r="K147" s="208"/>
      <c r="L147" s="69"/>
      <c r="M147" s="69"/>
      <c r="N147" s="69"/>
      <c r="O147" s="69"/>
      <c r="P147" s="69"/>
    </row>
    <row r="148" spans="1:16" x14ac:dyDescent="0.25">
      <c r="A148" s="69">
        <v>239002</v>
      </c>
      <c r="B148" s="207">
        <f>VLOOKUP(A148,pravidla_SDcast!$A$1:$D$458,4,FALSE)</f>
        <v>9</v>
      </c>
      <c r="C148" s="69" t="s">
        <v>305</v>
      </c>
      <c r="D148" s="69"/>
      <c r="E148" s="69"/>
      <c r="F148" s="69"/>
      <c r="G148" s="69"/>
      <c r="H148" s="69"/>
      <c r="I148" s="69"/>
      <c r="J148" s="69"/>
      <c r="K148" s="208"/>
      <c r="L148" s="69"/>
      <c r="M148" s="69"/>
      <c r="N148" s="69"/>
      <c r="O148" s="69"/>
      <c r="P148" s="69"/>
    </row>
    <row r="149" spans="1:16" x14ac:dyDescent="0.25">
      <c r="A149" s="69">
        <v>239200</v>
      </c>
      <c r="B149" s="207">
        <f>VLOOKUP(A149,pravidla_SDcast!$A$1:$D$458,4,FALSE)</f>
        <v>9</v>
      </c>
      <c r="C149" s="69" t="s">
        <v>146</v>
      </c>
      <c r="D149" s="69"/>
      <c r="E149" s="69"/>
      <c r="F149" s="69"/>
      <c r="G149" s="69"/>
      <c r="H149" s="69"/>
      <c r="I149" s="69"/>
      <c r="J149" s="69"/>
      <c r="K149" s="208"/>
      <c r="L149" s="69"/>
      <c r="M149" s="69"/>
      <c r="N149" s="69"/>
      <c r="O149" s="69"/>
      <c r="P149" s="69"/>
    </row>
    <row r="150" spans="1:16" x14ac:dyDescent="0.25">
      <c r="A150" s="69">
        <v>240000</v>
      </c>
      <c r="B150" s="207" t="e">
        <f>VLOOKUP(A150,pravidla_SDcast!$A$1:$D$458,4,FALSE)</f>
        <v>#N/A</v>
      </c>
      <c r="C150" s="69" t="s">
        <v>809</v>
      </c>
      <c r="D150" s="69"/>
      <c r="E150" s="69"/>
      <c r="F150" s="69"/>
      <c r="G150" s="69"/>
      <c r="H150" s="69"/>
      <c r="I150" s="69"/>
      <c r="J150" s="69"/>
      <c r="K150" s="208"/>
      <c r="L150" s="69"/>
      <c r="M150" s="69"/>
      <c r="N150" s="69"/>
      <c r="O150" s="69"/>
      <c r="P150" s="69"/>
    </row>
    <row r="151" spans="1:16" x14ac:dyDescent="0.25">
      <c r="A151" s="69">
        <v>241000</v>
      </c>
      <c r="B151" s="207">
        <f>VLOOKUP(A151,pravidla_SDcast!$A$1:$D$458,4,FALSE)</f>
        <v>22</v>
      </c>
      <c r="C151" s="69" t="s">
        <v>306</v>
      </c>
      <c r="D151" s="69"/>
      <c r="E151" s="69"/>
      <c r="F151" s="69"/>
      <c r="G151" s="69"/>
      <c r="H151" s="69"/>
      <c r="I151" s="69"/>
      <c r="J151" s="69"/>
      <c r="K151" s="208"/>
      <c r="L151" s="69"/>
      <c r="M151" s="69"/>
      <c r="N151" s="69"/>
      <c r="O151" s="69"/>
      <c r="P151" s="69"/>
    </row>
    <row r="152" spans="1:16" x14ac:dyDescent="0.25">
      <c r="A152" s="69">
        <v>242000</v>
      </c>
      <c r="B152" s="207">
        <f>VLOOKUP(A152,pravidla_SDcast!$A$1:$D$458,4,FALSE)</f>
        <v>46</v>
      </c>
      <c r="C152" s="69" t="s">
        <v>307</v>
      </c>
      <c r="D152" s="69"/>
      <c r="E152" s="69"/>
      <c r="F152" s="69"/>
      <c r="G152" s="69"/>
      <c r="H152" s="69"/>
      <c r="I152" s="69"/>
      <c r="J152" s="69"/>
      <c r="K152" s="208"/>
      <c r="L152" s="69"/>
      <c r="M152" s="69"/>
      <c r="N152" s="69"/>
      <c r="O152" s="69"/>
      <c r="P152" s="69"/>
    </row>
    <row r="153" spans="1:16" x14ac:dyDescent="0.25">
      <c r="A153" s="69">
        <v>243000</v>
      </c>
      <c r="B153" s="207">
        <f>VLOOKUP(A153,pravidla_SDcast!$A$1:$D$458,4,FALSE)</f>
        <v>46</v>
      </c>
      <c r="C153" s="69" t="s">
        <v>308</v>
      </c>
      <c r="D153" s="69"/>
      <c r="E153" s="69"/>
      <c r="F153" s="69"/>
      <c r="G153" s="69"/>
      <c r="H153" s="69"/>
      <c r="I153" s="69"/>
      <c r="J153" s="69"/>
      <c r="K153" s="208"/>
      <c r="L153" s="69"/>
      <c r="M153" s="69"/>
      <c r="N153" s="69"/>
      <c r="O153" s="69"/>
      <c r="P153" s="69"/>
    </row>
    <row r="154" spans="1:16" x14ac:dyDescent="0.25">
      <c r="A154" s="69">
        <v>244000</v>
      </c>
      <c r="B154" s="207">
        <f>VLOOKUP(A154,pravidla_SDcast!$A$1:$D$458,4,FALSE)</f>
        <v>46</v>
      </c>
      <c r="C154" s="69" t="s">
        <v>309</v>
      </c>
      <c r="D154" s="69"/>
      <c r="E154" s="69"/>
      <c r="F154" s="69"/>
      <c r="G154" s="69"/>
      <c r="H154" s="69"/>
      <c r="I154" s="69"/>
      <c r="J154" s="69"/>
      <c r="K154" s="208"/>
      <c r="L154" s="69"/>
      <c r="M154" s="69"/>
      <c r="N154" s="69"/>
      <c r="O154" s="69"/>
      <c r="P154" s="69"/>
    </row>
    <row r="155" spans="1:16" x14ac:dyDescent="0.25">
      <c r="A155" s="69">
        <v>245000</v>
      </c>
      <c r="B155" s="207">
        <f>VLOOKUP(A155,pravidla_SDcast!$A$1:$D$458,4,FALSE)</f>
        <v>22</v>
      </c>
      <c r="C155" s="69" t="s">
        <v>310</v>
      </c>
      <c r="D155" s="69"/>
      <c r="E155" s="69"/>
      <c r="F155" s="69"/>
      <c r="G155" s="69"/>
      <c r="H155" s="69"/>
      <c r="I155" s="69"/>
      <c r="J155" s="69"/>
      <c r="K155" s="208"/>
      <c r="L155" s="69"/>
      <c r="M155" s="69"/>
      <c r="N155" s="69"/>
      <c r="O155" s="69"/>
      <c r="P155" s="69"/>
    </row>
    <row r="156" spans="1:16" x14ac:dyDescent="0.25">
      <c r="A156" s="69">
        <v>246000</v>
      </c>
      <c r="B156" s="207">
        <f>VLOOKUP(A156,pravidla_SDcast!$A$1:$D$458,4,FALSE)</f>
        <v>22</v>
      </c>
      <c r="C156" s="69" t="s">
        <v>311</v>
      </c>
      <c r="D156" s="69"/>
      <c r="E156" s="69"/>
      <c r="F156" s="69"/>
      <c r="G156" s="69"/>
      <c r="H156" s="69"/>
      <c r="I156" s="69"/>
      <c r="J156" s="69"/>
      <c r="K156" s="208"/>
      <c r="L156" s="69"/>
      <c r="M156" s="69"/>
      <c r="N156" s="69"/>
      <c r="O156" s="69"/>
      <c r="P156" s="69"/>
    </row>
    <row r="157" spans="1:16" x14ac:dyDescent="0.25">
      <c r="A157" s="69">
        <v>250000</v>
      </c>
      <c r="B157" s="207" t="e">
        <f>VLOOKUP(A157,pravidla_SDcast!$A$1:$D$458,4,FALSE)</f>
        <v>#N/A</v>
      </c>
      <c r="C157" s="69" t="s">
        <v>810</v>
      </c>
      <c r="D157" s="69"/>
      <c r="E157" s="69"/>
      <c r="F157" s="69"/>
      <c r="G157" s="69"/>
      <c r="H157" s="69"/>
      <c r="I157" s="69"/>
      <c r="J157" s="69"/>
      <c r="K157" s="208"/>
      <c r="L157" s="69"/>
      <c r="M157" s="69"/>
      <c r="N157" s="69"/>
      <c r="O157" s="69"/>
      <c r="P157" s="69"/>
    </row>
    <row r="158" spans="1:16" x14ac:dyDescent="0.25">
      <c r="A158" s="69">
        <v>251000</v>
      </c>
      <c r="B158" s="207">
        <f>VLOOKUP(A158,pravidla_SDcast!$A$1:$D$458,4,FALSE)</f>
        <v>22</v>
      </c>
      <c r="C158" s="69" t="s">
        <v>306</v>
      </c>
      <c r="D158" s="69"/>
      <c r="E158" s="69"/>
      <c r="F158" s="69"/>
      <c r="G158" s="69"/>
      <c r="H158" s="69"/>
      <c r="I158" s="69"/>
      <c r="J158" s="69"/>
      <c r="K158" s="208"/>
      <c r="L158" s="69"/>
      <c r="M158" s="69"/>
      <c r="N158" s="69"/>
      <c r="O158" s="69"/>
      <c r="P158" s="69"/>
    </row>
    <row r="159" spans="1:16" x14ac:dyDescent="0.25">
      <c r="A159" s="69">
        <v>252000</v>
      </c>
      <c r="B159" s="207">
        <f>VLOOKUP(A159,pravidla_SDcast!$A$1:$D$458,4,FALSE)</f>
        <v>46</v>
      </c>
      <c r="C159" s="69" t="s">
        <v>307</v>
      </c>
      <c r="D159" s="69"/>
      <c r="E159" s="69"/>
      <c r="F159" s="69"/>
      <c r="G159" s="69"/>
      <c r="H159" s="69"/>
      <c r="I159" s="69"/>
      <c r="J159" s="69"/>
      <c r="K159" s="208"/>
      <c r="L159" s="69"/>
      <c r="M159" s="69"/>
      <c r="N159" s="69"/>
      <c r="O159" s="69"/>
      <c r="P159" s="69"/>
    </row>
    <row r="160" spans="1:16" x14ac:dyDescent="0.25">
      <c r="A160" s="69">
        <v>290000</v>
      </c>
      <c r="B160" s="207">
        <f>VLOOKUP(A160,pravidla_SDcast!$A$1:$D$458,4,FALSE)</f>
        <v>9</v>
      </c>
      <c r="C160" s="69" t="s">
        <v>811</v>
      </c>
      <c r="D160" s="69"/>
      <c r="E160" s="69"/>
      <c r="F160" s="69"/>
      <c r="G160" s="69"/>
      <c r="H160" s="69"/>
      <c r="I160" s="69"/>
      <c r="J160" s="69"/>
      <c r="K160" s="208"/>
      <c r="L160" s="69"/>
      <c r="M160" s="69"/>
      <c r="N160" s="69"/>
      <c r="O160" s="69"/>
      <c r="P160" s="69"/>
    </row>
    <row r="161" spans="1:16" x14ac:dyDescent="0.25">
      <c r="A161" s="69">
        <v>291000</v>
      </c>
      <c r="B161" s="207" t="e">
        <f>VLOOKUP(A161,pravidla_SDcast!$A$1:$D$458,4,FALSE)</f>
        <v>#N/A</v>
      </c>
      <c r="C161" s="69" t="s">
        <v>812</v>
      </c>
      <c r="D161" s="69"/>
      <c r="E161" s="69"/>
      <c r="F161" s="69"/>
      <c r="G161" s="69"/>
      <c r="H161" s="69"/>
      <c r="I161" s="69"/>
      <c r="J161" s="69"/>
      <c r="K161" s="208"/>
      <c r="L161" s="69"/>
      <c r="M161" s="69"/>
      <c r="N161" s="69"/>
      <c r="O161" s="69"/>
      <c r="P161" s="69"/>
    </row>
    <row r="162" spans="1:16" x14ac:dyDescent="0.25">
      <c r="A162" s="69">
        <v>291001</v>
      </c>
      <c r="B162" s="207">
        <f>VLOOKUP(A162,pravidla_SDcast!$A$1:$D$458,4,FALSE)</f>
        <v>9</v>
      </c>
      <c r="C162" s="69" t="s">
        <v>312</v>
      </c>
      <c r="D162" s="69"/>
      <c r="E162" s="69"/>
      <c r="F162" s="69"/>
      <c r="G162" s="69"/>
      <c r="H162" s="69"/>
      <c r="I162" s="69"/>
      <c r="J162" s="69"/>
      <c r="K162" s="208"/>
      <c r="L162" s="69"/>
      <c r="M162" s="69"/>
      <c r="N162" s="69"/>
      <c r="O162" s="69"/>
      <c r="P162" s="69"/>
    </row>
    <row r="163" spans="1:16" x14ac:dyDescent="0.25">
      <c r="A163" s="69">
        <v>291002</v>
      </c>
      <c r="B163" s="207">
        <f>VLOOKUP(A163,pravidla_SDcast!$A$1:$D$458,4,FALSE)</f>
        <v>9</v>
      </c>
      <c r="C163" s="69" t="s">
        <v>313</v>
      </c>
      <c r="D163" s="69"/>
      <c r="E163" s="69"/>
      <c r="F163" s="69"/>
      <c r="G163" s="69"/>
      <c r="H163" s="69"/>
      <c r="I163" s="69"/>
      <c r="J163" s="69"/>
      <c r="K163" s="208"/>
      <c r="L163" s="69"/>
      <c r="M163" s="69"/>
      <c r="N163" s="69"/>
      <c r="O163" s="69"/>
      <c r="P163" s="69"/>
    </row>
    <row r="164" spans="1:16" x14ac:dyDescent="0.25">
      <c r="A164" s="69">
        <v>291003</v>
      </c>
      <c r="B164" s="207">
        <f>VLOOKUP(A164,pravidla_SDcast!$A$1:$D$458,4,FALSE)</f>
        <v>9</v>
      </c>
      <c r="C164" s="69" t="s">
        <v>314</v>
      </c>
      <c r="D164" s="69"/>
      <c r="E164" s="69"/>
      <c r="F164" s="69"/>
      <c r="G164" s="69"/>
      <c r="H164" s="69"/>
      <c r="I164" s="69"/>
      <c r="J164" s="69"/>
      <c r="K164" s="208"/>
      <c r="L164" s="69"/>
      <c r="M164" s="69"/>
      <c r="N164" s="69"/>
      <c r="O164" s="69"/>
      <c r="P164" s="69"/>
    </row>
    <row r="165" spans="1:16" x14ac:dyDescent="0.25">
      <c r="A165" s="69">
        <v>291004</v>
      </c>
      <c r="B165" s="207">
        <f>VLOOKUP(A165,pravidla_SDcast!$A$1:$D$458,4,FALSE)</f>
        <v>9</v>
      </c>
      <c r="C165" s="69" t="s">
        <v>315</v>
      </c>
      <c r="D165" s="69"/>
      <c r="E165" s="69"/>
      <c r="F165" s="69"/>
      <c r="G165" s="69"/>
      <c r="H165" s="69"/>
      <c r="I165" s="69"/>
      <c r="J165" s="69"/>
      <c r="K165" s="208"/>
      <c r="L165" s="69"/>
      <c r="M165" s="69"/>
      <c r="N165" s="69"/>
      <c r="O165" s="69"/>
      <c r="P165" s="69"/>
    </row>
    <row r="166" spans="1:16" x14ac:dyDescent="0.25">
      <c r="A166" s="69">
        <v>291005</v>
      </c>
      <c r="B166" s="207">
        <f>VLOOKUP(A166,pravidla_SDcast!$A$1:$D$458,4,FALSE)</f>
        <v>9</v>
      </c>
      <c r="C166" s="69" t="s">
        <v>316</v>
      </c>
      <c r="D166" s="69"/>
      <c r="E166" s="69"/>
      <c r="F166" s="69"/>
      <c r="G166" s="69"/>
      <c r="H166" s="69"/>
      <c r="I166" s="69"/>
      <c r="J166" s="69"/>
      <c r="K166" s="208"/>
      <c r="L166" s="69"/>
      <c r="M166" s="69"/>
      <c r="N166" s="69"/>
      <c r="O166" s="69"/>
      <c r="P166" s="69"/>
    </row>
    <row r="167" spans="1:16" x14ac:dyDescent="0.25">
      <c r="A167" s="69">
        <v>291006</v>
      </c>
      <c r="B167" s="207">
        <f>VLOOKUP(A167,pravidla_SDcast!$A$1:$D$458,4,FALSE)</f>
        <v>9</v>
      </c>
      <c r="C167" s="69" t="s">
        <v>317</v>
      </c>
      <c r="D167" s="69"/>
      <c r="E167" s="69"/>
      <c r="F167" s="69"/>
      <c r="G167" s="69"/>
      <c r="H167" s="69"/>
      <c r="I167" s="69"/>
      <c r="J167" s="69"/>
      <c r="K167" s="208"/>
      <c r="L167" s="69"/>
      <c r="M167" s="69"/>
      <c r="N167" s="69"/>
      <c r="O167" s="69"/>
      <c r="P167" s="69"/>
    </row>
    <row r="168" spans="1:16" x14ac:dyDescent="0.25">
      <c r="A168" s="69">
        <v>291007</v>
      </c>
      <c r="B168" s="207">
        <f>VLOOKUP(A168,pravidla_SDcast!$A$1:$D$458,4,FALSE)</f>
        <v>9</v>
      </c>
      <c r="C168" s="69" t="s">
        <v>318</v>
      </c>
      <c r="D168" s="69"/>
      <c r="E168" s="69"/>
      <c r="F168" s="69"/>
      <c r="G168" s="69"/>
      <c r="H168" s="69"/>
      <c r="I168" s="69"/>
      <c r="J168" s="69"/>
      <c r="K168" s="208"/>
      <c r="L168" s="69"/>
      <c r="M168" s="69"/>
      <c r="N168" s="69"/>
      <c r="O168" s="69"/>
      <c r="P168" s="69"/>
    </row>
    <row r="169" spans="1:16" x14ac:dyDescent="0.25">
      <c r="A169" s="69">
        <v>291008</v>
      </c>
      <c r="B169" s="207">
        <f>VLOOKUP(A169,pravidla_SDcast!$A$1:$D$458,4,FALSE)</f>
        <v>9</v>
      </c>
      <c r="C169" s="69" t="s">
        <v>319</v>
      </c>
      <c r="D169" s="69"/>
      <c r="E169" s="69"/>
      <c r="F169" s="69"/>
      <c r="G169" s="69"/>
      <c r="H169" s="69"/>
      <c r="I169" s="69"/>
      <c r="J169" s="69"/>
      <c r="K169" s="208"/>
      <c r="L169" s="69"/>
      <c r="M169" s="69"/>
      <c r="N169" s="69"/>
      <c r="O169" s="69"/>
      <c r="P169" s="69"/>
    </row>
    <row r="170" spans="1:16" x14ac:dyDescent="0.25">
      <c r="A170" s="69">
        <v>292000</v>
      </c>
      <c r="B170" s="207">
        <f>VLOOKUP(A170,pravidla_SDcast!$A$1:$D$458,4,FALSE)</f>
        <v>22</v>
      </c>
      <c r="C170" s="69" t="s">
        <v>320</v>
      </c>
      <c r="D170" s="69"/>
      <c r="E170" s="69"/>
      <c r="F170" s="69"/>
      <c r="G170" s="69"/>
      <c r="H170" s="69"/>
      <c r="I170" s="69"/>
      <c r="J170" s="69"/>
      <c r="K170" s="208"/>
      <c r="L170" s="69"/>
      <c r="M170" s="69"/>
      <c r="N170" s="69"/>
      <c r="O170" s="69"/>
      <c r="P170" s="69"/>
    </row>
    <row r="171" spans="1:16" x14ac:dyDescent="0.25">
      <c r="A171" s="69">
        <v>292006</v>
      </c>
      <c r="B171" s="207">
        <f>VLOOKUP(A171,pravidla_SDcast!$A$1:$D$458,4,FALSE)</f>
        <v>9</v>
      </c>
      <c r="C171" s="69" t="s">
        <v>813</v>
      </c>
      <c r="D171" s="69"/>
      <c r="E171" s="69"/>
      <c r="F171" s="69"/>
      <c r="G171" s="69"/>
      <c r="H171" s="69"/>
      <c r="I171" s="69"/>
      <c r="J171" s="69"/>
      <c r="K171" s="208"/>
      <c r="L171" s="69"/>
      <c r="M171" s="69"/>
      <c r="N171" s="69"/>
      <c r="O171" s="69"/>
      <c r="P171" s="69"/>
    </row>
    <row r="172" spans="1:16" x14ac:dyDescent="0.25">
      <c r="A172" s="69">
        <v>292008</v>
      </c>
      <c r="B172" s="207">
        <f>VLOOKUP(A172,pravidla_SDcast!$A$1:$D$458,4,FALSE)</f>
        <v>22</v>
      </c>
      <c r="C172" s="69" t="s">
        <v>322</v>
      </c>
      <c r="D172" s="69"/>
      <c r="E172" s="69"/>
      <c r="F172" s="69"/>
      <c r="G172" s="69"/>
      <c r="H172" s="69"/>
      <c r="I172" s="69"/>
      <c r="J172" s="69"/>
      <c r="K172" s="208"/>
      <c r="L172" s="69"/>
      <c r="M172" s="69"/>
      <c r="N172" s="69"/>
      <c r="O172" s="69"/>
      <c r="P172" s="69"/>
    </row>
    <row r="173" spans="1:16" x14ac:dyDescent="0.25">
      <c r="A173" s="69">
        <v>292009</v>
      </c>
      <c r="B173" s="207" t="str">
        <f>VLOOKUP(A173,pravidla_SDcast!$A$1:$D$458,4,FALSE)</f>
        <v>data</v>
      </c>
      <c r="C173" s="69" t="s">
        <v>156</v>
      </c>
      <c r="D173" s="69"/>
      <c r="E173" s="69"/>
      <c r="F173" s="69"/>
      <c r="G173" s="69"/>
      <c r="H173" s="69"/>
      <c r="I173" s="69"/>
      <c r="J173" s="69"/>
      <c r="K173" s="208"/>
      <c r="L173" s="69"/>
      <c r="M173" s="69"/>
      <c r="N173" s="69"/>
      <c r="O173" s="69"/>
      <c r="P173" s="69"/>
    </row>
    <row r="174" spans="1:16" x14ac:dyDescent="0.25">
      <c r="A174" s="69">
        <v>292012</v>
      </c>
      <c r="B174" s="207">
        <f>VLOOKUP(A174,pravidla_SDcast!$A$1:$D$458,4,FALSE)</f>
        <v>25</v>
      </c>
      <c r="C174" s="69" t="s">
        <v>323</v>
      </c>
      <c r="D174" s="69"/>
      <c r="E174" s="69"/>
      <c r="F174" s="69"/>
      <c r="G174" s="69"/>
      <c r="H174" s="69"/>
      <c r="I174" s="69"/>
      <c r="J174" s="69"/>
      <c r="K174" s="208"/>
      <c r="L174" s="69"/>
      <c r="M174" s="69"/>
      <c r="N174" s="69"/>
      <c r="O174" s="69"/>
      <c r="P174" s="69"/>
    </row>
    <row r="175" spans="1:16" x14ac:dyDescent="0.25">
      <c r="A175" s="69">
        <v>292017</v>
      </c>
      <c r="B175" s="207">
        <f>VLOOKUP(A175,pravidla_SDcast!$A$1:$D$458,4,FALSE)</f>
        <v>9</v>
      </c>
      <c r="C175" s="69" t="s">
        <v>305</v>
      </c>
      <c r="D175" s="69"/>
      <c r="E175" s="69"/>
      <c r="F175" s="69"/>
      <c r="G175" s="69"/>
      <c r="H175" s="69"/>
      <c r="I175" s="69"/>
      <c r="J175" s="69"/>
      <c r="K175" s="208"/>
      <c r="L175" s="69"/>
      <c r="M175" s="69"/>
      <c r="N175" s="69"/>
      <c r="O175" s="69"/>
      <c r="P175" s="69"/>
    </row>
    <row r="176" spans="1:16" x14ac:dyDescent="0.25">
      <c r="A176" s="69">
        <v>292019</v>
      </c>
      <c r="B176" s="207">
        <f>VLOOKUP(A176,pravidla_SDcast!$A$1:$D$458,4,FALSE)</f>
        <v>25</v>
      </c>
      <c r="C176" s="69" t="s">
        <v>324</v>
      </c>
      <c r="D176" s="69"/>
      <c r="E176" s="69"/>
      <c r="F176" s="69"/>
      <c r="G176" s="69"/>
      <c r="H176" s="69"/>
      <c r="I176" s="69"/>
      <c r="J176" s="69"/>
      <c r="K176" s="208"/>
      <c r="L176" s="69"/>
      <c r="M176" s="69"/>
      <c r="N176" s="69"/>
      <c r="O176" s="69"/>
      <c r="P176" s="69"/>
    </row>
    <row r="177" spans="1:16" x14ac:dyDescent="0.25">
      <c r="A177" s="69">
        <v>292021</v>
      </c>
      <c r="B177" s="207">
        <f>VLOOKUP(A177,pravidla_SDcast!$A$1:$D$458,4,FALSE)</f>
        <v>2</v>
      </c>
      <c r="C177" s="69" t="s">
        <v>325</v>
      </c>
      <c r="D177" s="69"/>
      <c r="E177" s="69"/>
      <c r="F177" s="69"/>
      <c r="G177" s="69"/>
      <c r="H177" s="69"/>
      <c r="I177" s="69"/>
      <c r="J177" s="69"/>
      <c r="K177" s="208"/>
      <c r="L177" s="69"/>
      <c r="M177" s="69"/>
      <c r="N177" s="69"/>
      <c r="O177" s="69"/>
      <c r="P177" s="69"/>
    </row>
    <row r="178" spans="1:16" x14ac:dyDescent="0.25">
      <c r="A178" s="69">
        <v>292027</v>
      </c>
      <c r="B178" s="207" t="str">
        <f>VLOOKUP(A178,pravidla_SDcast!$A$1:$D$458,4,FALSE)</f>
        <v>data</v>
      </c>
      <c r="C178" s="69" t="s">
        <v>159</v>
      </c>
      <c r="D178" s="69"/>
      <c r="E178" s="69"/>
      <c r="F178" s="69"/>
      <c r="G178" s="69"/>
      <c r="H178" s="69"/>
      <c r="I178" s="69"/>
      <c r="J178" s="69"/>
      <c r="K178" s="208"/>
      <c r="L178" s="69"/>
      <c r="M178" s="69"/>
      <c r="N178" s="69"/>
      <c r="O178" s="69"/>
      <c r="P178" s="69"/>
    </row>
    <row r="179" spans="1:16" x14ac:dyDescent="0.25">
      <c r="A179" s="69">
        <v>300000</v>
      </c>
      <c r="B179" s="207" t="e">
        <f>VLOOKUP(A179,pravidla_SDcast!$A$1:$D$458,4,FALSE)</f>
        <v>#N/A</v>
      </c>
      <c r="C179" s="69" t="s">
        <v>814</v>
      </c>
      <c r="D179" s="69"/>
      <c r="E179" s="69"/>
      <c r="F179" s="69"/>
      <c r="G179" s="69"/>
      <c r="H179" s="69"/>
      <c r="I179" s="69"/>
      <c r="J179" s="69"/>
      <c r="K179" s="208"/>
      <c r="L179" s="69"/>
      <c r="M179" s="69"/>
      <c r="N179" s="69"/>
      <c r="O179" s="69"/>
      <c r="P179" s="69"/>
    </row>
    <row r="180" spans="1:16" x14ac:dyDescent="0.25">
      <c r="A180" s="69">
        <v>310000</v>
      </c>
      <c r="B180" s="207" t="e">
        <f>VLOOKUP(A180,pravidla_SDcast!$A$1:$D$458,4,FALSE)</f>
        <v>#N/A</v>
      </c>
      <c r="C180" s="69" t="s">
        <v>815</v>
      </c>
      <c r="D180" s="69"/>
      <c r="E180" s="69"/>
      <c r="F180" s="69"/>
      <c r="G180" s="69"/>
      <c r="H180" s="69"/>
      <c r="I180" s="69"/>
      <c r="J180" s="69"/>
      <c r="K180" s="208"/>
      <c r="L180" s="69"/>
      <c r="M180" s="69"/>
      <c r="N180" s="69"/>
      <c r="O180" s="69"/>
      <c r="P180" s="69"/>
    </row>
    <row r="181" spans="1:16" x14ac:dyDescent="0.25">
      <c r="A181" s="69">
        <v>311000</v>
      </c>
      <c r="B181" s="207">
        <f>VLOOKUP(A181,pravidla_SDcast!$A$1:$D$458,4,FALSE)</f>
        <v>6</v>
      </c>
      <c r="C181" s="69" t="s">
        <v>327</v>
      </c>
      <c r="D181" s="69"/>
      <c r="E181" s="69"/>
      <c r="F181" s="69"/>
      <c r="G181" s="69"/>
      <c r="H181" s="69"/>
      <c r="I181" s="69"/>
      <c r="J181" s="69"/>
      <c r="K181" s="208"/>
      <c r="L181" s="69"/>
      <c r="M181" s="69"/>
      <c r="N181" s="69"/>
      <c r="O181" s="69"/>
      <c r="P181" s="69"/>
    </row>
    <row r="182" spans="1:16" x14ac:dyDescent="0.25">
      <c r="A182" s="69">
        <v>312000</v>
      </c>
      <c r="B182" s="207">
        <f>VLOOKUP(A182,pravidla_SDcast!$A$1:$D$458,4,FALSE)</f>
        <v>2</v>
      </c>
      <c r="C182" s="69" t="s">
        <v>328</v>
      </c>
      <c r="D182" s="69"/>
      <c r="E182" s="69"/>
      <c r="F182" s="69"/>
      <c r="G182" s="69"/>
      <c r="H182" s="69"/>
      <c r="I182" s="69"/>
      <c r="J182" s="69"/>
      <c r="K182" s="208"/>
      <c r="L182" s="69"/>
      <c r="M182" s="69"/>
      <c r="N182" s="69"/>
      <c r="O182" s="69"/>
      <c r="P182" s="69"/>
    </row>
    <row r="183" spans="1:16" x14ac:dyDescent="0.25">
      <c r="A183" s="69">
        <v>312001</v>
      </c>
      <c r="B183" s="207">
        <f>VLOOKUP(A183,pravidla_SDcast!$A$1:$D$458,4,FALSE)</f>
        <v>2</v>
      </c>
      <c r="C183" s="69" t="s">
        <v>599</v>
      </c>
      <c r="D183" s="69"/>
      <c r="E183" s="69"/>
      <c r="F183" s="69"/>
      <c r="G183" s="69"/>
      <c r="H183" s="69"/>
      <c r="I183" s="69"/>
      <c r="J183" s="69"/>
      <c r="K183" s="208"/>
      <c r="L183" s="69"/>
      <c r="M183" s="69"/>
      <c r="N183" s="69"/>
      <c r="O183" s="69"/>
      <c r="P183" s="69"/>
    </row>
    <row r="184" spans="1:16" x14ac:dyDescent="0.25">
      <c r="A184" s="69">
        <v>312002</v>
      </c>
      <c r="B184" s="207">
        <f>VLOOKUP(A184,pravidla_SDcast!$A$1:$D$458,4,FALSE)</f>
        <v>2</v>
      </c>
      <c r="C184" s="69" t="s">
        <v>600</v>
      </c>
      <c r="D184" s="69"/>
      <c r="E184" s="69"/>
      <c r="F184" s="69"/>
      <c r="G184" s="69"/>
      <c r="H184" s="69"/>
      <c r="I184" s="69"/>
      <c r="J184" s="69"/>
      <c r="K184" s="208"/>
      <c r="L184" s="69"/>
      <c r="M184" s="69"/>
      <c r="N184" s="69"/>
      <c r="O184" s="69"/>
      <c r="P184" s="69"/>
    </row>
    <row r="185" spans="1:16" x14ac:dyDescent="0.25">
      <c r="A185" s="69">
        <v>312003</v>
      </c>
      <c r="B185" s="207">
        <f>VLOOKUP(A185,pravidla_SDcast!$A$1:$D$458,4,FALSE)</f>
        <v>2</v>
      </c>
      <c r="C185" s="69" t="s">
        <v>601</v>
      </c>
      <c r="D185" s="69"/>
      <c r="E185" s="69"/>
      <c r="F185" s="69"/>
      <c r="G185" s="69"/>
      <c r="H185" s="69"/>
      <c r="I185" s="69"/>
      <c r="J185" s="69"/>
      <c r="K185" s="208"/>
      <c r="L185" s="69"/>
      <c r="M185" s="69"/>
      <c r="N185" s="69"/>
      <c r="O185" s="69"/>
      <c r="P185" s="69"/>
    </row>
    <row r="186" spans="1:16" x14ac:dyDescent="0.25">
      <c r="A186" s="69">
        <v>312005</v>
      </c>
      <c r="B186" s="207">
        <f>VLOOKUP(A186,pravidla_SDcast!$A$1:$D$458,4,FALSE)</f>
        <v>2</v>
      </c>
      <c r="C186" s="69" t="s">
        <v>602</v>
      </c>
      <c r="D186" s="69"/>
      <c r="E186" s="69"/>
      <c r="F186" s="69"/>
      <c r="G186" s="69"/>
      <c r="H186" s="69"/>
      <c r="I186" s="69"/>
      <c r="J186" s="69"/>
      <c r="K186" s="208"/>
      <c r="L186" s="69"/>
      <c r="M186" s="69"/>
      <c r="N186" s="69"/>
      <c r="O186" s="69"/>
      <c r="P186" s="69"/>
    </row>
    <row r="187" spans="1:16" x14ac:dyDescent="0.25">
      <c r="A187" s="69">
        <v>312006</v>
      </c>
      <c r="B187" s="207">
        <f>VLOOKUP(A187,pravidla_SDcast!$A$1:$D$458,4,FALSE)</f>
        <v>2</v>
      </c>
      <c r="C187" s="69" t="s">
        <v>603</v>
      </c>
      <c r="D187" s="69"/>
      <c r="E187" s="69"/>
      <c r="F187" s="69"/>
      <c r="G187" s="69"/>
      <c r="H187" s="69"/>
      <c r="I187" s="69"/>
      <c r="J187" s="69"/>
      <c r="K187" s="208"/>
      <c r="L187" s="69"/>
      <c r="M187" s="69"/>
      <c r="N187" s="69"/>
      <c r="O187" s="69"/>
      <c r="P187" s="69"/>
    </row>
    <row r="188" spans="1:16" x14ac:dyDescent="0.25">
      <c r="A188" s="69">
        <v>312007</v>
      </c>
      <c r="B188" s="207">
        <f>VLOOKUP(A188,pravidla_SDcast!$A$1:$D$458,4,FALSE)</f>
        <v>2</v>
      </c>
      <c r="C188" s="69" t="s">
        <v>604</v>
      </c>
      <c r="D188" s="69"/>
      <c r="E188" s="69"/>
      <c r="F188" s="69"/>
      <c r="G188" s="69"/>
      <c r="H188" s="69"/>
      <c r="I188" s="69"/>
      <c r="J188" s="69"/>
      <c r="K188" s="208"/>
      <c r="L188" s="69"/>
      <c r="M188" s="69"/>
      <c r="N188" s="69"/>
      <c r="O188" s="69"/>
      <c r="P188" s="69"/>
    </row>
    <row r="189" spans="1:16" x14ac:dyDescent="0.25">
      <c r="A189" s="69">
        <v>312008</v>
      </c>
      <c r="B189" s="207">
        <f>VLOOKUP(A189,pravidla_SDcast!$A$1:$D$458,4,FALSE)</f>
        <v>2</v>
      </c>
      <c r="C189" s="69" t="s">
        <v>605</v>
      </c>
      <c r="D189" s="69"/>
      <c r="E189" s="69"/>
      <c r="F189" s="69"/>
      <c r="G189" s="69"/>
      <c r="H189" s="69"/>
      <c r="I189" s="69"/>
      <c r="J189" s="69"/>
      <c r="K189" s="208"/>
      <c r="L189" s="69"/>
      <c r="M189" s="69"/>
      <c r="N189" s="69"/>
      <c r="O189" s="69"/>
      <c r="P189" s="69"/>
    </row>
    <row r="190" spans="1:16" x14ac:dyDescent="0.25">
      <c r="A190" s="69">
        <v>312009</v>
      </c>
      <c r="B190" s="207">
        <f>VLOOKUP(A190,pravidla_SDcast!$A$1:$D$458,4,FALSE)</f>
        <v>2</v>
      </c>
      <c r="C190" s="69" t="s">
        <v>606</v>
      </c>
      <c r="D190" s="69"/>
      <c r="E190" s="69"/>
      <c r="F190" s="69"/>
      <c r="G190" s="69"/>
      <c r="H190" s="69"/>
      <c r="I190" s="69"/>
      <c r="J190" s="69"/>
      <c r="K190" s="208"/>
      <c r="L190" s="69"/>
      <c r="M190" s="69"/>
      <c r="N190" s="69"/>
      <c r="O190" s="69"/>
      <c r="P190" s="69"/>
    </row>
    <row r="191" spans="1:16" x14ac:dyDescent="0.25">
      <c r="A191" s="69">
        <v>312010</v>
      </c>
      <c r="B191" s="207">
        <f>VLOOKUP(A191,pravidla_SDcast!$A$1:$D$458,4,FALSE)</f>
        <v>2</v>
      </c>
      <c r="C191" s="69" t="s">
        <v>607</v>
      </c>
      <c r="D191" s="69"/>
      <c r="E191" s="69"/>
      <c r="F191" s="69"/>
      <c r="G191" s="69"/>
      <c r="H191" s="69"/>
      <c r="I191" s="69"/>
      <c r="J191" s="69"/>
      <c r="K191" s="208"/>
      <c r="L191" s="69"/>
      <c r="M191" s="69"/>
      <c r="N191" s="69"/>
      <c r="O191" s="69"/>
      <c r="P191" s="69"/>
    </row>
    <row r="192" spans="1:16" x14ac:dyDescent="0.25">
      <c r="A192" s="69">
        <v>312011</v>
      </c>
      <c r="B192" s="207">
        <f>VLOOKUP(A192,pravidla_SDcast!$A$1:$D$458,4,FALSE)</f>
        <v>2</v>
      </c>
      <c r="C192" s="69" t="s">
        <v>319</v>
      </c>
      <c r="D192" s="69"/>
      <c r="E192" s="69"/>
      <c r="F192" s="69"/>
      <c r="G192" s="69"/>
      <c r="H192" s="69"/>
      <c r="I192" s="69"/>
      <c r="J192" s="69"/>
      <c r="K192" s="208"/>
      <c r="L192" s="69"/>
      <c r="M192" s="69"/>
      <c r="N192" s="69"/>
      <c r="O192" s="69"/>
      <c r="P192" s="69"/>
    </row>
    <row r="193" spans="1:16" x14ac:dyDescent="0.25">
      <c r="A193" s="69">
        <v>312012</v>
      </c>
      <c r="B193" s="207">
        <f>VLOOKUP(A193,pravidla_SDcast!$A$1:$D$458,4,FALSE)</f>
        <v>2</v>
      </c>
      <c r="C193" s="69" t="s">
        <v>608</v>
      </c>
      <c r="D193" s="69"/>
      <c r="E193" s="69"/>
      <c r="F193" s="69"/>
      <c r="G193" s="69"/>
      <c r="H193" s="69"/>
      <c r="I193" s="69"/>
      <c r="J193" s="69"/>
      <c r="K193" s="208"/>
      <c r="L193" s="69"/>
      <c r="M193" s="69"/>
      <c r="N193" s="69"/>
      <c r="O193" s="69"/>
      <c r="P193" s="69"/>
    </row>
    <row r="194" spans="1:16" x14ac:dyDescent="0.25">
      <c r="A194" s="69">
        <v>314000</v>
      </c>
      <c r="B194" s="207">
        <f>VLOOKUP(A194,pravidla_SDcast!$A$1:$D$458,4,FALSE)</f>
        <v>6</v>
      </c>
      <c r="C194" s="69" t="s">
        <v>816</v>
      </c>
      <c r="D194" s="69"/>
      <c r="E194" s="69"/>
      <c r="F194" s="69"/>
      <c r="G194" s="69"/>
      <c r="H194" s="69"/>
      <c r="I194" s="69"/>
      <c r="J194" s="69"/>
      <c r="K194" s="208"/>
      <c r="L194" s="69"/>
      <c r="M194" s="69"/>
      <c r="N194" s="69"/>
      <c r="O194" s="69"/>
      <c r="P194" s="69"/>
    </row>
    <row r="195" spans="1:16" x14ac:dyDescent="0.25">
      <c r="A195" s="69">
        <v>320000</v>
      </c>
      <c r="B195" s="207" t="e">
        <f>VLOOKUP(A195,pravidla_SDcast!$A$1:$D$458,4,FALSE)</f>
        <v>#N/A</v>
      </c>
      <c r="C195" s="69" t="s">
        <v>817</v>
      </c>
      <c r="D195" s="69"/>
      <c r="E195" s="69"/>
      <c r="F195" s="69"/>
      <c r="G195" s="69"/>
      <c r="H195" s="69"/>
      <c r="I195" s="69"/>
      <c r="J195" s="69"/>
      <c r="K195" s="208"/>
      <c r="L195" s="69"/>
      <c r="M195" s="69"/>
      <c r="N195" s="69"/>
      <c r="O195" s="69"/>
      <c r="P195" s="69"/>
    </row>
    <row r="196" spans="1:16" x14ac:dyDescent="0.25">
      <c r="A196" s="69">
        <v>321000</v>
      </c>
      <c r="B196" s="207">
        <f>VLOOKUP(A196,pravidla_SDcast!$A$1:$D$458,4,FALSE)</f>
        <v>37</v>
      </c>
      <c r="C196" s="69" t="s">
        <v>327</v>
      </c>
      <c r="D196" s="69"/>
      <c r="E196" s="69"/>
      <c r="F196" s="69"/>
      <c r="G196" s="69"/>
      <c r="H196" s="69"/>
      <c r="I196" s="69"/>
      <c r="J196" s="69"/>
      <c r="K196" s="208"/>
      <c r="L196" s="69"/>
      <c r="M196" s="69"/>
      <c r="N196" s="69"/>
      <c r="O196" s="69"/>
      <c r="P196" s="69"/>
    </row>
    <row r="197" spans="1:16" x14ac:dyDescent="0.25">
      <c r="A197" s="69">
        <v>322000</v>
      </c>
      <c r="B197" s="207">
        <f>VLOOKUP(A197,pravidla_SDcast!$A$1:$D$458,4,FALSE)</f>
        <v>2</v>
      </c>
      <c r="C197" s="69" t="s">
        <v>328</v>
      </c>
      <c r="D197" s="69"/>
      <c r="E197" s="69"/>
      <c r="F197" s="69"/>
      <c r="G197" s="69"/>
      <c r="H197" s="69"/>
      <c r="I197" s="69"/>
      <c r="J197" s="69"/>
      <c r="K197" s="208"/>
      <c r="L197" s="69"/>
      <c r="M197" s="69"/>
      <c r="N197" s="69"/>
      <c r="O197" s="69"/>
      <c r="P197" s="69"/>
    </row>
    <row r="198" spans="1:16" x14ac:dyDescent="0.25">
      <c r="A198" s="69">
        <v>322001</v>
      </c>
      <c r="B198" s="207">
        <f>VLOOKUP(A198,pravidla_SDcast!$A$1:$D$458,4,FALSE)</f>
        <v>2</v>
      </c>
      <c r="C198" s="69" t="s">
        <v>609</v>
      </c>
      <c r="D198" s="69"/>
      <c r="E198" s="69"/>
      <c r="F198" s="69"/>
      <c r="G198" s="69"/>
      <c r="H198" s="69"/>
      <c r="I198" s="69"/>
      <c r="J198" s="69"/>
      <c r="K198" s="208"/>
      <c r="L198" s="69"/>
      <c r="M198" s="69"/>
      <c r="N198" s="69"/>
      <c r="O198" s="69"/>
      <c r="P198" s="69"/>
    </row>
    <row r="199" spans="1:16" x14ac:dyDescent="0.25">
      <c r="A199" s="69">
        <v>322002</v>
      </c>
      <c r="B199" s="207">
        <f>VLOOKUP(A199,pravidla_SDcast!$A$1:$D$458,4,FALSE)</f>
        <v>2</v>
      </c>
      <c r="C199" s="69" t="s">
        <v>600</v>
      </c>
      <c r="D199" s="69"/>
      <c r="E199" s="69"/>
      <c r="F199" s="69"/>
      <c r="G199" s="69"/>
      <c r="H199" s="69"/>
      <c r="I199" s="69"/>
      <c r="J199" s="69"/>
      <c r="K199" s="208"/>
      <c r="L199" s="69"/>
      <c r="M199" s="69"/>
      <c r="N199" s="69"/>
      <c r="O199" s="69"/>
      <c r="P199" s="69"/>
    </row>
    <row r="200" spans="1:16" x14ac:dyDescent="0.25">
      <c r="A200" s="69">
        <v>322003</v>
      </c>
      <c r="B200" s="207">
        <f>VLOOKUP(A200,pravidla_SDcast!$A$1:$D$458,4,FALSE)</f>
        <v>2</v>
      </c>
      <c r="C200" s="69" t="s">
        <v>601</v>
      </c>
      <c r="D200" s="69"/>
      <c r="E200" s="69"/>
      <c r="F200" s="69"/>
      <c r="G200" s="69"/>
      <c r="H200" s="69"/>
      <c r="I200" s="69"/>
      <c r="J200" s="69"/>
      <c r="K200" s="208"/>
      <c r="L200" s="69"/>
      <c r="M200" s="69"/>
      <c r="N200" s="69"/>
      <c r="O200" s="69"/>
      <c r="P200" s="69"/>
    </row>
    <row r="201" spans="1:16" x14ac:dyDescent="0.25">
      <c r="A201" s="69">
        <v>322004</v>
      </c>
      <c r="B201" s="207">
        <f>VLOOKUP(A201,pravidla_SDcast!$A$1:$D$458,4,FALSE)</f>
        <v>2</v>
      </c>
      <c r="C201" s="69" t="s">
        <v>602</v>
      </c>
      <c r="D201" s="69"/>
      <c r="E201" s="69"/>
      <c r="F201" s="69"/>
      <c r="G201" s="69"/>
      <c r="H201" s="69"/>
      <c r="I201" s="69"/>
      <c r="J201" s="69"/>
      <c r="K201" s="208"/>
      <c r="L201" s="69"/>
      <c r="M201" s="69"/>
      <c r="N201" s="69"/>
      <c r="O201" s="69"/>
      <c r="P201" s="69"/>
    </row>
    <row r="202" spans="1:16" x14ac:dyDescent="0.25">
      <c r="A202" s="69">
        <v>322005</v>
      </c>
      <c r="B202" s="207">
        <f>VLOOKUP(A202,pravidla_SDcast!$A$1:$D$458,4,FALSE)</f>
        <v>2</v>
      </c>
      <c r="C202" s="69" t="s">
        <v>604</v>
      </c>
      <c r="D202" s="69"/>
      <c r="E202" s="69"/>
      <c r="F202" s="69"/>
      <c r="G202" s="69"/>
      <c r="H202" s="69"/>
      <c r="I202" s="69"/>
      <c r="J202" s="69"/>
      <c r="K202" s="208"/>
      <c r="L202" s="69"/>
      <c r="M202" s="69"/>
      <c r="N202" s="69"/>
      <c r="O202" s="69"/>
      <c r="P202" s="69"/>
    </row>
    <row r="203" spans="1:16" x14ac:dyDescent="0.25">
      <c r="A203" s="69">
        <v>322006</v>
      </c>
      <c r="B203" s="207">
        <f>VLOOKUP(A203,pravidla_SDcast!$A$1:$D$458,4,FALSE)</f>
        <v>2</v>
      </c>
      <c r="C203" s="69" t="s">
        <v>605</v>
      </c>
      <c r="D203" s="69"/>
      <c r="E203" s="69"/>
      <c r="F203" s="69"/>
      <c r="G203" s="69"/>
      <c r="H203" s="69"/>
      <c r="I203" s="69"/>
      <c r="J203" s="69"/>
      <c r="K203" s="208"/>
      <c r="L203" s="69"/>
      <c r="M203" s="69"/>
      <c r="N203" s="69"/>
      <c r="O203" s="69"/>
      <c r="P203" s="69"/>
    </row>
    <row r="204" spans="1:16" x14ac:dyDescent="0.25">
      <c r="A204" s="69">
        <v>322007</v>
      </c>
      <c r="B204" s="207">
        <f>VLOOKUP(A204,pravidla_SDcast!$A$1:$D$458,4,FALSE)</f>
        <v>2</v>
      </c>
      <c r="C204" s="69" t="s">
        <v>607</v>
      </c>
      <c r="D204" s="69"/>
      <c r="E204" s="69"/>
      <c r="F204" s="69"/>
      <c r="G204" s="69"/>
      <c r="H204" s="69"/>
      <c r="I204" s="69"/>
      <c r="J204" s="69"/>
      <c r="K204" s="208"/>
      <c r="L204" s="69"/>
      <c r="M204" s="69"/>
      <c r="N204" s="69"/>
      <c r="O204" s="69"/>
      <c r="P204" s="69"/>
    </row>
    <row r="205" spans="1:16" x14ac:dyDescent="0.25">
      <c r="A205" s="69">
        <v>322008</v>
      </c>
      <c r="B205" s="207">
        <f>VLOOKUP(A205,pravidla_SDcast!$A$1:$D$458,4,FALSE)</f>
        <v>2</v>
      </c>
      <c r="C205" s="69" t="s">
        <v>319</v>
      </c>
      <c r="D205" s="69"/>
      <c r="E205" s="69"/>
      <c r="F205" s="69"/>
      <c r="G205" s="69"/>
      <c r="H205" s="69"/>
      <c r="I205" s="69"/>
      <c r="J205" s="69"/>
      <c r="K205" s="208"/>
      <c r="L205" s="69"/>
      <c r="M205" s="69"/>
      <c r="N205" s="69"/>
      <c r="O205" s="69"/>
      <c r="P205" s="69"/>
    </row>
    <row r="206" spans="1:16" x14ac:dyDescent="0.25">
      <c r="A206" s="69">
        <v>324000</v>
      </c>
      <c r="B206" s="207">
        <f>VLOOKUP(A206,pravidla_SDcast!$A$1:$D$458,4,FALSE)</f>
        <v>37</v>
      </c>
      <c r="C206" s="69" t="s">
        <v>816</v>
      </c>
      <c r="D206" s="69"/>
      <c r="E206" s="69"/>
      <c r="F206" s="69"/>
      <c r="G206" s="69"/>
      <c r="H206" s="69"/>
      <c r="I206" s="69"/>
      <c r="J206" s="69"/>
      <c r="K206" s="208"/>
      <c r="L206" s="69"/>
      <c r="M206" s="69"/>
      <c r="N206" s="69"/>
      <c r="O206" s="69"/>
      <c r="P206" s="69"/>
    </row>
    <row r="207" spans="1:16" x14ac:dyDescent="0.25">
      <c r="A207" s="69">
        <v>330000</v>
      </c>
      <c r="B207" s="207" t="e">
        <f>VLOOKUP(A207,pravidla_SDcast!$A$1:$D$458,4,FALSE)</f>
        <v>#N/A</v>
      </c>
      <c r="C207" s="69" t="s">
        <v>818</v>
      </c>
      <c r="D207" s="69"/>
      <c r="E207" s="69"/>
      <c r="F207" s="69"/>
      <c r="G207" s="69"/>
      <c r="H207" s="69"/>
      <c r="I207" s="69"/>
      <c r="J207" s="69"/>
      <c r="K207" s="208"/>
      <c r="L207" s="69"/>
      <c r="M207" s="69"/>
      <c r="N207" s="69"/>
      <c r="O207" s="69"/>
      <c r="P207" s="69"/>
    </row>
    <row r="208" spans="1:16" x14ac:dyDescent="0.25">
      <c r="A208" s="69">
        <v>331000</v>
      </c>
      <c r="B208" s="207">
        <f>VLOOKUP(A208,pravidla_SDcast!$A$1:$D$458,4,FALSE)</f>
        <v>6</v>
      </c>
      <c r="C208" s="69" t="s">
        <v>331</v>
      </c>
      <c r="D208" s="69"/>
      <c r="E208" s="69"/>
      <c r="F208" s="69"/>
      <c r="G208" s="69"/>
      <c r="H208" s="69"/>
      <c r="I208" s="69"/>
      <c r="J208" s="69"/>
      <c r="K208" s="208"/>
      <c r="L208" s="69"/>
      <c r="M208" s="69"/>
      <c r="N208" s="69"/>
      <c r="O208" s="69"/>
      <c r="P208" s="69"/>
    </row>
    <row r="209" spans="1:16" x14ac:dyDescent="0.25">
      <c r="A209" s="69">
        <v>331001</v>
      </c>
      <c r="B209" s="207">
        <f>VLOOKUP(A209,pravidla_SDcast!$A$1:$D$458,4,FALSE)</f>
        <v>6</v>
      </c>
      <c r="C209" s="69" t="s">
        <v>332</v>
      </c>
      <c r="D209" s="69"/>
      <c r="E209" s="69"/>
      <c r="F209" s="69"/>
      <c r="G209" s="69"/>
      <c r="H209" s="69"/>
      <c r="I209" s="69"/>
      <c r="J209" s="69"/>
      <c r="K209" s="208"/>
      <c r="L209" s="69"/>
      <c r="M209" s="69"/>
      <c r="N209" s="69"/>
      <c r="O209" s="69"/>
      <c r="P209" s="69"/>
    </row>
    <row r="210" spans="1:16" x14ac:dyDescent="0.25">
      <c r="A210" s="69">
        <v>331002</v>
      </c>
      <c r="B210" s="207">
        <f>VLOOKUP(A210,pravidla_SDcast!$A$1:$D$458,4,FALSE)</f>
        <v>6</v>
      </c>
      <c r="C210" s="69" t="s">
        <v>333</v>
      </c>
      <c r="D210" s="69"/>
      <c r="E210" s="69"/>
      <c r="F210" s="69"/>
      <c r="G210" s="69"/>
      <c r="H210" s="69"/>
      <c r="I210" s="69"/>
      <c r="J210" s="69"/>
      <c r="K210" s="208"/>
      <c r="L210" s="69"/>
      <c r="M210" s="69"/>
      <c r="N210" s="69"/>
      <c r="O210" s="69"/>
      <c r="P210" s="69"/>
    </row>
    <row r="211" spans="1:16" x14ac:dyDescent="0.25">
      <c r="A211" s="69">
        <v>332000</v>
      </c>
      <c r="B211" s="207" t="e">
        <f>VLOOKUP(A211,pravidla_SDcast!$A$1:$D$458,4,FALSE)</f>
        <v>#N/A</v>
      </c>
      <c r="C211" s="69" t="s">
        <v>819</v>
      </c>
      <c r="D211" s="69"/>
      <c r="E211" s="69"/>
      <c r="F211" s="69"/>
      <c r="G211" s="69"/>
      <c r="H211" s="69"/>
      <c r="I211" s="69"/>
      <c r="J211" s="69"/>
      <c r="K211" s="208"/>
      <c r="L211" s="69"/>
      <c r="M211" s="69"/>
      <c r="N211" s="69"/>
      <c r="O211" s="69"/>
      <c r="P211" s="69"/>
    </row>
    <row r="212" spans="1:16" x14ac:dyDescent="0.25">
      <c r="A212" s="69">
        <v>332001</v>
      </c>
      <c r="B212" s="207">
        <f>VLOOKUP(A212,pravidla_SDcast!$A$1:$D$458,4,FALSE)</f>
        <v>37</v>
      </c>
      <c r="C212" s="69" t="s">
        <v>332</v>
      </c>
      <c r="D212" s="69"/>
      <c r="E212" s="69"/>
      <c r="F212" s="69"/>
      <c r="G212" s="69"/>
      <c r="H212" s="69"/>
      <c r="I212" s="69"/>
      <c r="J212" s="69"/>
      <c r="K212" s="208"/>
      <c r="L212" s="69"/>
      <c r="M212" s="69"/>
      <c r="N212" s="69"/>
      <c r="O212" s="69"/>
      <c r="P212" s="69"/>
    </row>
    <row r="213" spans="1:16" x14ac:dyDescent="0.25">
      <c r="A213" s="69">
        <v>332002</v>
      </c>
      <c r="B213" s="207">
        <f>VLOOKUP(A213,pravidla_SDcast!$A$1:$D$458,4,FALSE)</f>
        <v>37</v>
      </c>
      <c r="C213" s="69" t="s">
        <v>333</v>
      </c>
      <c r="D213" s="69"/>
      <c r="E213" s="69"/>
      <c r="F213" s="69"/>
      <c r="G213" s="69"/>
      <c r="H213" s="69"/>
      <c r="I213" s="69"/>
      <c r="J213" s="69"/>
      <c r="K213" s="208"/>
      <c r="L213" s="69"/>
      <c r="M213" s="69"/>
      <c r="N213" s="69"/>
      <c r="O213" s="69"/>
      <c r="P213" s="69"/>
    </row>
    <row r="214" spans="1:16" x14ac:dyDescent="0.25">
      <c r="A214" s="69">
        <v>340000</v>
      </c>
      <c r="B214" s="207" t="e">
        <f>VLOOKUP(A214,pravidla_SDcast!$A$1:$D$458,4,FALSE)</f>
        <v>#N/A</v>
      </c>
      <c r="C214" s="69" t="s">
        <v>820</v>
      </c>
      <c r="D214" s="69"/>
      <c r="E214" s="69"/>
      <c r="F214" s="69"/>
      <c r="G214" s="69"/>
      <c r="H214" s="69"/>
      <c r="I214" s="69"/>
      <c r="J214" s="69"/>
      <c r="K214" s="208"/>
      <c r="L214" s="69"/>
      <c r="M214" s="69"/>
      <c r="N214" s="69"/>
      <c r="O214" s="69"/>
      <c r="P214" s="69"/>
    </row>
    <row r="215" spans="1:16" x14ac:dyDescent="0.25">
      <c r="A215" s="69">
        <v>341000</v>
      </c>
      <c r="B215" s="207" t="str">
        <f>VLOOKUP(A215,pravidla_SDcast!$A$1:$D$458,4,FALSE)</f>
        <v>data</v>
      </c>
      <c r="C215" s="69" t="s">
        <v>334</v>
      </c>
      <c r="D215" s="69"/>
      <c r="E215" s="69"/>
      <c r="F215" s="69"/>
      <c r="G215" s="69"/>
      <c r="H215" s="69"/>
      <c r="I215" s="69"/>
      <c r="J215" s="69"/>
      <c r="K215" s="208"/>
      <c r="L215" s="69"/>
      <c r="M215" s="69"/>
      <c r="N215" s="69"/>
      <c r="O215" s="69"/>
      <c r="P215" s="69"/>
    </row>
    <row r="216" spans="1:16" x14ac:dyDescent="0.25">
      <c r="A216" s="69">
        <v>600000</v>
      </c>
      <c r="B216" s="207" t="e">
        <f>VLOOKUP(A216,pravidla_SDcast!$A$1:$D$458,4,FALSE)</f>
        <v>#N/A</v>
      </c>
      <c r="C216" s="69" t="s">
        <v>821</v>
      </c>
      <c r="D216" s="69"/>
      <c r="E216" s="69"/>
      <c r="F216" s="69"/>
      <c r="G216" s="69"/>
      <c r="H216" s="69"/>
      <c r="I216" s="69"/>
      <c r="J216" s="69"/>
      <c r="K216" s="208"/>
      <c r="L216" s="69"/>
      <c r="M216" s="69"/>
      <c r="N216" s="69"/>
      <c r="O216" s="69"/>
      <c r="P216" s="69"/>
    </row>
    <row r="217" spans="1:16" x14ac:dyDescent="0.25">
      <c r="A217" s="69">
        <v>610000</v>
      </c>
      <c r="B217" s="207" t="e">
        <f>VLOOKUP(A217,pravidla_SDcast!$A$1:$D$458,4,FALSE)</f>
        <v>#N/A</v>
      </c>
      <c r="C217" s="69" t="s">
        <v>822</v>
      </c>
      <c r="D217" s="69"/>
      <c r="E217" s="69"/>
      <c r="F217" s="69"/>
      <c r="G217" s="69"/>
      <c r="H217" s="69"/>
      <c r="I217" s="69"/>
      <c r="J217" s="69"/>
      <c r="K217" s="208"/>
      <c r="L217" s="69"/>
      <c r="M217" s="69"/>
      <c r="N217" s="69"/>
      <c r="O217" s="69"/>
      <c r="P217" s="69"/>
    </row>
    <row r="218" spans="1:16" x14ac:dyDescent="0.25">
      <c r="A218" s="69">
        <v>611000</v>
      </c>
      <c r="B218" s="207">
        <f>VLOOKUP(A218,pravidla_SDcast!$A$1:$D$458,4,FALSE)</f>
        <v>39</v>
      </c>
      <c r="C218" s="69" t="s">
        <v>335</v>
      </c>
      <c r="D218" s="69"/>
      <c r="E218" s="69"/>
      <c r="F218" s="69"/>
      <c r="G218" s="69"/>
      <c r="H218" s="69"/>
      <c r="I218" s="69"/>
      <c r="J218" s="69"/>
      <c r="K218" s="208"/>
      <c r="L218" s="69"/>
      <c r="M218" s="69"/>
      <c r="N218" s="69"/>
      <c r="O218" s="69"/>
      <c r="P218" s="69"/>
    </row>
    <row r="219" spans="1:16" x14ac:dyDescent="0.25">
      <c r="A219" s="69">
        <v>612000</v>
      </c>
      <c r="B219" s="207">
        <f>VLOOKUP(A219,pravidla_SDcast!$A$1:$D$458,4,FALSE)</f>
        <v>39</v>
      </c>
      <c r="C219" s="69" t="s">
        <v>336</v>
      </c>
      <c r="D219" s="69"/>
      <c r="E219" s="69"/>
      <c r="F219" s="69"/>
      <c r="G219" s="69"/>
      <c r="H219" s="69"/>
      <c r="I219" s="69"/>
      <c r="J219" s="69"/>
      <c r="K219" s="208"/>
      <c r="L219" s="69"/>
      <c r="M219" s="69"/>
      <c r="N219" s="69"/>
      <c r="O219" s="69"/>
      <c r="P219" s="69"/>
    </row>
    <row r="220" spans="1:16" x14ac:dyDescent="0.25">
      <c r="A220" s="69">
        <v>612001</v>
      </c>
      <c r="B220" s="207">
        <f>VLOOKUP(A220,pravidla_SDcast!$A$1:$D$458,4,FALSE)</f>
        <v>39</v>
      </c>
      <c r="C220" s="69" t="s">
        <v>337</v>
      </c>
      <c r="D220" s="69"/>
      <c r="E220" s="69"/>
      <c r="F220" s="69"/>
      <c r="G220" s="69"/>
      <c r="H220" s="69"/>
      <c r="I220" s="69"/>
      <c r="J220" s="69"/>
      <c r="K220" s="208"/>
      <c r="L220" s="69"/>
      <c r="M220" s="69"/>
      <c r="N220" s="69"/>
      <c r="O220" s="69"/>
      <c r="P220" s="69"/>
    </row>
    <row r="221" spans="1:16" x14ac:dyDescent="0.25">
      <c r="A221" s="69">
        <v>612002</v>
      </c>
      <c r="B221" s="207">
        <f>VLOOKUP(A221,pravidla_SDcast!$A$1:$D$458,4,FALSE)</f>
        <v>39</v>
      </c>
      <c r="C221" s="69" t="s">
        <v>338</v>
      </c>
      <c r="D221" s="69"/>
      <c r="E221" s="69"/>
      <c r="F221" s="69"/>
      <c r="G221" s="69"/>
      <c r="H221" s="69"/>
      <c r="I221" s="69"/>
      <c r="J221" s="69"/>
      <c r="K221" s="208"/>
      <c r="L221" s="69"/>
      <c r="M221" s="69"/>
      <c r="N221" s="69"/>
      <c r="O221" s="69"/>
      <c r="P221" s="69"/>
    </row>
    <row r="222" spans="1:16" x14ac:dyDescent="0.25">
      <c r="A222" s="69">
        <v>613000</v>
      </c>
      <c r="B222" s="207">
        <f>VLOOKUP(A222,pravidla_SDcast!$A$1:$D$458,4,FALSE)</f>
        <v>39</v>
      </c>
      <c r="C222" s="69" t="s">
        <v>339</v>
      </c>
      <c r="D222" s="69"/>
      <c r="E222" s="69"/>
      <c r="F222" s="69"/>
      <c r="G222" s="69"/>
      <c r="H222" s="69"/>
      <c r="I222" s="69"/>
      <c r="J222" s="69"/>
      <c r="K222" s="208"/>
      <c r="L222" s="69"/>
      <c r="M222" s="69"/>
      <c r="N222" s="69"/>
      <c r="O222" s="69"/>
      <c r="P222" s="69"/>
    </row>
    <row r="223" spans="1:16" x14ac:dyDescent="0.25">
      <c r="A223" s="69">
        <v>614000</v>
      </c>
      <c r="B223" s="207">
        <f>VLOOKUP(A223,pravidla_SDcast!$A$1:$D$458,4,FALSE)</f>
        <v>39</v>
      </c>
      <c r="C223" s="69" t="s">
        <v>340</v>
      </c>
      <c r="D223" s="69"/>
      <c r="E223" s="69"/>
      <c r="F223" s="69"/>
      <c r="G223" s="69"/>
      <c r="H223" s="69"/>
      <c r="I223" s="69"/>
      <c r="J223" s="69"/>
      <c r="K223" s="208"/>
      <c r="L223" s="69"/>
      <c r="M223" s="69"/>
      <c r="N223" s="69"/>
      <c r="O223" s="69"/>
      <c r="P223" s="69"/>
    </row>
    <row r="224" spans="1:16" x14ac:dyDescent="0.25">
      <c r="A224" s="69">
        <v>615000</v>
      </c>
      <c r="B224" s="207">
        <f>VLOOKUP(A224,pravidla_SDcast!$A$1:$D$458,4,FALSE)</f>
        <v>39</v>
      </c>
      <c r="C224" s="69" t="s">
        <v>341</v>
      </c>
      <c r="D224" s="69"/>
      <c r="E224" s="69"/>
      <c r="F224" s="69"/>
      <c r="G224" s="69"/>
      <c r="H224" s="69"/>
      <c r="I224" s="69"/>
      <c r="J224" s="69"/>
      <c r="K224" s="208"/>
      <c r="L224" s="69"/>
      <c r="M224" s="69"/>
      <c r="N224" s="69"/>
      <c r="O224" s="69"/>
      <c r="P224" s="69"/>
    </row>
    <row r="225" spans="1:16" x14ac:dyDescent="0.25">
      <c r="A225" s="69">
        <v>616000</v>
      </c>
      <c r="B225" s="207">
        <f>VLOOKUP(A225,pravidla_SDcast!$A$1:$D$458,4,FALSE)</f>
        <v>39</v>
      </c>
      <c r="C225" s="69" t="s">
        <v>342</v>
      </c>
      <c r="D225" s="69"/>
      <c r="E225" s="69"/>
      <c r="F225" s="69"/>
      <c r="G225" s="69"/>
      <c r="H225" s="69"/>
      <c r="I225" s="69"/>
      <c r="J225" s="69"/>
      <c r="K225" s="208"/>
      <c r="L225" s="69"/>
      <c r="M225" s="69"/>
      <c r="N225" s="69"/>
      <c r="O225" s="69"/>
      <c r="P225" s="69"/>
    </row>
    <row r="226" spans="1:16" x14ac:dyDescent="0.25">
      <c r="A226" s="69">
        <v>620000</v>
      </c>
      <c r="B226" s="207">
        <f>VLOOKUP(A226,pravidla_SDcast!$A$1:$D$458,4,FALSE)</f>
        <v>39</v>
      </c>
      <c r="C226" s="69" t="s">
        <v>823</v>
      </c>
      <c r="D226" s="69"/>
      <c r="E226" s="69"/>
      <c r="F226" s="69"/>
      <c r="G226" s="69"/>
      <c r="H226" s="69"/>
      <c r="I226" s="69"/>
      <c r="J226" s="69"/>
      <c r="K226" s="208"/>
      <c r="L226" s="69"/>
      <c r="M226" s="69"/>
      <c r="N226" s="69"/>
      <c r="O226" s="69"/>
      <c r="P226" s="69"/>
    </row>
    <row r="227" spans="1:16" x14ac:dyDescent="0.25">
      <c r="A227" s="69">
        <v>621000</v>
      </c>
      <c r="B227" s="207">
        <f>VLOOKUP(A227,pravidla_SDcast!$A$1:$D$458,4,FALSE)</f>
        <v>39</v>
      </c>
      <c r="C227" s="69" t="s">
        <v>343</v>
      </c>
      <c r="D227" s="69"/>
      <c r="E227" s="69"/>
      <c r="F227" s="69"/>
      <c r="G227" s="69"/>
      <c r="H227" s="69"/>
      <c r="I227" s="69"/>
      <c r="J227" s="69"/>
      <c r="K227" s="208"/>
      <c r="L227" s="69"/>
      <c r="M227" s="69"/>
      <c r="N227" s="69"/>
      <c r="O227" s="69"/>
      <c r="P227" s="69"/>
    </row>
    <row r="228" spans="1:16" x14ac:dyDescent="0.25">
      <c r="A228" s="69">
        <v>622000</v>
      </c>
      <c r="B228" s="207">
        <f>VLOOKUP(A228,pravidla_SDcast!$A$1:$D$458,4,FALSE)</f>
        <v>39</v>
      </c>
      <c r="C228" s="69" t="s">
        <v>824</v>
      </c>
      <c r="D228" s="69"/>
      <c r="E228" s="69"/>
      <c r="F228" s="69"/>
      <c r="G228" s="69"/>
      <c r="H228" s="69"/>
      <c r="I228" s="69"/>
      <c r="J228" s="69"/>
      <c r="K228" s="208"/>
      <c r="L228" s="69"/>
      <c r="M228" s="69"/>
      <c r="N228" s="69"/>
      <c r="O228" s="69"/>
      <c r="P228" s="69"/>
    </row>
    <row r="229" spans="1:16" x14ac:dyDescent="0.25">
      <c r="A229" s="69">
        <v>623000</v>
      </c>
      <c r="B229" s="207">
        <f>VLOOKUP(A229,pravidla_SDcast!$A$1:$D$458,4,FALSE)</f>
        <v>39</v>
      </c>
      <c r="C229" s="69" t="s">
        <v>344</v>
      </c>
      <c r="D229" s="69"/>
      <c r="E229" s="69"/>
      <c r="F229" s="69"/>
      <c r="G229" s="69"/>
      <c r="H229" s="69"/>
      <c r="I229" s="69"/>
      <c r="J229" s="69"/>
      <c r="K229" s="208"/>
      <c r="L229" s="69"/>
      <c r="M229" s="69"/>
      <c r="N229" s="69"/>
      <c r="O229" s="69"/>
      <c r="P229" s="69"/>
    </row>
    <row r="230" spans="1:16" x14ac:dyDescent="0.25">
      <c r="A230" s="69">
        <v>625000</v>
      </c>
      <c r="B230" s="207">
        <f>VLOOKUP(A230,pravidla_SDcast!$A$1:$D$458,4,FALSE)</f>
        <v>39</v>
      </c>
      <c r="C230" s="69" t="s">
        <v>825</v>
      </c>
      <c r="D230" s="69"/>
      <c r="E230" s="69"/>
      <c r="F230" s="69"/>
      <c r="G230" s="69"/>
      <c r="H230" s="69"/>
      <c r="I230" s="69"/>
      <c r="J230" s="69"/>
      <c r="K230" s="208"/>
      <c r="L230" s="69"/>
      <c r="M230" s="69"/>
      <c r="N230" s="69"/>
      <c r="O230" s="69"/>
      <c r="P230" s="69"/>
    </row>
    <row r="231" spans="1:16" x14ac:dyDescent="0.25">
      <c r="A231" s="69">
        <v>625001</v>
      </c>
      <c r="B231" s="207">
        <f>VLOOKUP(A231,pravidla_SDcast!$A$1:$D$458,4,FALSE)</f>
        <v>39</v>
      </c>
      <c r="C231" s="69" t="s">
        <v>345</v>
      </c>
      <c r="D231" s="69"/>
      <c r="E231" s="69"/>
      <c r="F231" s="69"/>
      <c r="G231" s="69"/>
      <c r="H231" s="69"/>
      <c r="I231" s="69"/>
      <c r="J231" s="69"/>
      <c r="K231" s="208"/>
      <c r="L231" s="69"/>
      <c r="M231" s="69"/>
      <c r="N231" s="69"/>
      <c r="O231" s="69"/>
      <c r="P231" s="69"/>
    </row>
    <row r="232" spans="1:16" x14ac:dyDescent="0.25">
      <c r="A232" s="69">
        <v>625002</v>
      </c>
      <c r="B232" s="207">
        <f>VLOOKUP(A232,pravidla_SDcast!$A$1:$D$458,4,FALSE)</f>
        <v>39</v>
      </c>
      <c r="C232" s="69" t="s">
        <v>346</v>
      </c>
      <c r="D232" s="69"/>
      <c r="E232" s="69"/>
      <c r="F232" s="69"/>
      <c r="G232" s="69"/>
      <c r="H232" s="69"/>
      <c r="I232" s="69"/>
      <c r="J232" s="69"/>
      <c r="K232" s="208"/>
      <c r="L232" s="69"/>
      <c r="M232" s="69"/>
      <c r="N232" s="69"/>
      <c r="O232" s="69"/>
      <c r="P232" s="69"/>
    </row>
    <row r="233" spans="1:16" x14ac:dyDescent="0.25">
      <c r="A233" s="69">
        <v>625003</v>
      </c>
      <c r="B233" s="207">
        <f>VLOOKUP(A233,pravidla_SDcast!$A$1:$D$458,4,FALSE)</f>
        <v>39</v>
      </c>
      <c r="C233" s="69" t="s">
        <v>347</v>
      </c>
      <c r="D233" s="69"/>
      <c r="E233" s="69"/>
      <c r="F233" s="69"/>
      <c r="G233" s="69"/>
      <c r="H233" s="69"/>
      <c r="I233" s="69"/>
      <c r="J233" s="69"/>
      <c r="K233" s="208"/>
      <c r="L233" s="69"/>
      <c r="M233" s="69"/>
      <c r="N233" s="69"/>
      <c r="O233" s="69"/>
      <c r="P233" s="69"/>
    </row>
    <row r="234" spans="1:16" x14ac:dyDescent="0.25">
      <c r="A234" s="69">
        <v>625004</v>
      </c>
      <c r="B234" s="207">
        <f>VLOOKUP(A234,pravidla_SDcast!$A$1:$D$458,4,FALSE)</f>
        <v>39</v>
      </c>
      <c r="C234" s="69" t="s">
        <v>348</v>
      </c>
      <c r="D234" s="69"/>
      <c r="E234" s="69"/>
      <c r="F234" s="69"/>
      <c r="G234" s="69"/>
      <c r="H234" s="69"/>
      <c r="I234" s="69"/>
      <c r="J234" s="69"/>
      <c r="K234" s="208"/>
      <c r="L234" s="69"/>
      <c r="M234" s="69"/>
      <c r="N234" s="69"/>
      <c r="O234" s="69"/>
      <c r="P234" s="69"/>
    </row>
    <row r="235" spans="1:16" x14ac:dyDescent="0.25">
      <c r="A235" s="69">
        <v>625005</v>
      </c>
      <c r="B235" s="207">
        <f>VLOOKUP(A235,pravidla_SDcast!$A$1:$D$458,4,FALSE)</f>
        <v>39</v>
      </c>
      <c r="C235" s="69" t="s">
        <v>349</v>
      </c>
      <c r="D235" s="69"/>
      <c r="E235" s="69"/>
      <c r="F235" s="69"/>
      <c r="G235" s="69"/>
      <c r="H235" s="69"/>
      <c r="I235" s="69"/>
      <c r="J235" s="69"/>
      <c r="K235" s="208"/>
      <c r="L235" s="69"/>
      <c r="M235" s="69"/>
      <c r="N235" s="69"/>
      <c r="O235" s="69"/>
      <c r="P235" s="69"/>
    </row>
    <row r="236" spans="1:16" x14ac:dyDescent="0.25">
      <c r="A236" s="69">
        <v>625006</v>
      </c>
      <c r="B236" s="207">
        <f>VLOOKUP(A236,pravidla_SDcast!$A$1:$D$458,4,FALSE)</f>
        <v>39</v>
      </c>
      <c r="C236" s="69" t="s">
        <v>350</v>
      </c>
      <c r="D236" s="69"/>
      <c r="E236" s="69"/>
      <c r="F236" s="69"/>
      <c r="G236" s="69"/>
      <c r="H236" s="69"/>
      <c r="I236" s="69"/>
      <c r="J236" s="69"/>
      <c r="K236" s="208"/>
      <c r="L236" s="69"/>
      <c r="M236" s="69"/>
      <c r="N236" s="69"/>
      <c r="O236" s="69"/>
      <c r="P236" s="69"/>
    </row>
    <row r="237" spans="1:16" x14ac:dyDescent="0.25">
      <c r="A237" s="69">
        <v>625007</v>
      </c>
      <c r="B237" s="207">
        <f>VLOOKUP(A237,pravidla_SDcast!$A$1:$D$458,4,FALSE)</f>
        <v>39</v>
      </c>
      <c r="C237" s="69" t="s">
        <v>351</v>
      </c>
      <c r="D237" s="69"/>
      <c r="E237" s="69"/>
      <c r="F237" s="69"/>
      <c r="G237" s="69"/>
      <c r="H237" s="69"/>
      <c r="I237" s="69"/>
      <c r="J237" s="69"/>
      <c r="K237" s="208"/>
      <c r="L237" s="69"/>
      <c r="M237" s="69"/>
      <c r="N237" s="69"/>
      <c r="O237" s="69"/>
      <c r="P237" s="69"/>
    </row>
    <row r="238" spans="1:16" x14ac:dyDescent="0.25">
      <c r="A238" s="69">
        <v>627000</v>
      </c>
      <c r="B238" s="207">
        <f>VLOOKUP(A238,pravidla_SDcast!$A$1:$D$458,4,FALSE)</f>
        <v>39</v>
      </c>
      <c r="C238" s="69" t="s">
        <v>352</v>
      </c>
      <c r="D238" s="69"/>
      <c r="E238" s="69"/>
      <c r="F238" s="69"/>
      <c r="G238" s="69"/>
      <c r="H238" s="69"/>
      <c r="I238" s="69"/>
      <c r="J238" s="69"/>
      <c r="K238" s="208"/>
      <c r="L238" s="69"/>
      <c r="M238" s="69"/>
      <c r="N238" s="69"/>
      <c r="O238" s="69"/>
      <c r="P238" s="69"/>
    </row>
    <row r="239" spans="1:16" x14ac:dyDescent="0.25">
      <c r="A239" s="69">
        <v>628000</v>
      </c>
      <c r="B239" s="207" t="e">
        <f>VLOOKUP(A239,pravidla_SDcast!$A$1:$D$458,4,FALSE)</f>
        <v>#N/A</v>
      </c>
      <c r="C239" s="69" t="s">
        <v>826</v>
      </c>
      <c r="D239" s="69"/>
      <c r="E239" s="69"/>
      <c r="F239" s="69"/>
      <c r="G239" s="69"/>
      <c r="H239" s="69"/>
      <c r="I239" s="69"/>
      <c r="J239" s="69"/>
      <c r="K239" s="208"/>
      <c r="L239" s="69"/>
      <c r="M239" s="69"/>
      <c r="N239" s="69"/>
      <c r="O239" s="69"/>
      <c r="P239" s="69"/>
    </row>
    <row r="240" spans="1:16" x14ac:dyDescent="0.25">
      <c r="A240" s="69">
        <v>628001</v>
      </c>
      <c r="B240" s="207">
        <f>VLOOKUP(A240,pravidla_SDcast!$A$1:$D$458,4,FALSE)</f>
        <v>39</v>
      </c>
      <c r="C240" s="69" t="s">
        <v>353</v>
      </c>
      <c r="D240" s="69"/>
      <c r="E240" s="69"/>
      <c r="F240" s="69"/>
      <c r="G240" s="69"/>
      <c r="H240" s="69"/>
      <c r="I240" s="69"/>
      <c r="J240" s="69"/>
      <c r="K240" s="208"/>
      <c r="L240" s="69"/>
      <c r="M240" s="69"/>
      <c r="N240" s="69"/>
      <c r="O240" s="69"/>
      <c r="P240" s="69"/>
    </row>
    <row r="241" spans="1:16" x14ac:dyDescent="0.25">
      <c r="A241" s="69">
        <v>628002</v>
      </c>
      <c r="B241" s="207">
        <f>VLOOKUP(A241,pravidla_SDcast!$A$1:$D$458,4,FALSE)</f>
        <v>39</v>
      </c>
      <c r="C241" s="69" t="s">
        <v>354</v>
      </c>
      <c r="D241" s="69"/>
      <c r="E241" s="69"/>
      <c r="F241" s="69"/>
      <c r="G241" s="69"/>
      <c r="H241" s="69"/>
      <c r="I241" s="69"/>
      <c r="J241" s="69"/>
      <c r="K241" s="208"/>
      <c r="L241" s="69"/>
      <c r="M241" s="69"/>
      <c r="N241" s="69"/>
      <c r="O241" s="69"/>
      <c r="P241" s="69"/>
    </row>
    <row r="242" spans="1:16" x14ac:dyDescent="0.25">
      <c r="A242" s="69">
        <v>628003</v>
      </c>
      <c r="B242" s="207">
        <f>VLOOKUP(A242,pravidla_SDcast!$A$1:$D$458,4,FALSE)</f>
        <v>39</v>
      </c>
      <c r="C242" s="69" t="s">
        <v>355</v>
      </c>
      <c r="D242" s="69"/>
      <c r="E242" s="69"/>
      <c r="F242" s="69"/>
      <c r="G242" s="69"/>
      <c r="H242" s="69"/>
      <c r="I242" s="69"/>
      <c r="J242" s="69"/>
      <c r="K242" s="208"/>
      <c r="L242" s="69"/>
      <c r="M242" s="69"/>
      <c r="N242" s="69"/>
      <c r="O242" s="69"/>
      <c r="P242" s="69"/>
    </row>
    <row r="243" spans="1:16" x14ac:dyDescent="0.25">
      <c r="A243" s="69">
        <v>628004</v>
      </c>
      <c r="B243" s="207">
        <f>VLOOKUP(A243,pravidla_SDcast!$A$1:$D$458,4,FALSE)</f>
        <v>39</v>
      </c>
      <c r="C243" s="69" t="s">
        <v>356</v>
      </c>
      <c r="D243" s="69"/>
      <c r="E243" s="69"/>
      <c r="F243" s="69"/>
      <c r="G243" s="69"/>
      <c r="H243" s="69"/>
      <c r="I243" s="69"/>
      <c r="J243" s="69"/>
      <c r="K243" s="208"/>
      <c r="L243" s="69"/>
      <c r="M243" s="69"/>
      <c r="N243" s="69"/>
      <c r="O243" s="69"/>
      <c r="P243" s="69"/>
    </row>
    <row r="244" spans="1:16" x14ac:dyDescent="0.25">
      <c r="A244" s="69">
        <v>628005</v>
      </c>
      <c r="B244" s="207">
        <f>VLOOKUP(A244,pravidla_SDcast!$A$1:$D$458,4,FALSE)</f>
        <v>39</v>
      </c>
      <c r="C244" s="69" t="s">
        <v>357</v>
      </c>
      <c r="D244" s="69"/>
      <c r="E244" s="69"/>
      <c r="F244" s="69"/>
      <c r="G244" s="69"/>
      <c r="H244" s="69"/>
      <c r="I244" s="69"/>
      <c r="J244" s="69"/>
      <c r="K244" s="208"/>
      <c r="L244" s="69"/>
      <c r="M244" s="69"/>
      <c r="N244" s="69"/>
      <c r="O244" s="69"/>
      <c r="P244" s="69"/>
    </row>
    <row r="245" spans="1:16" x14ac:dyDescent="0.25">
      <c r="A245" s="69">
        <v>629000</v>
      </c>
      <c r="B245" s="207">
        <f>VLOOKUP(A245,pravidla_SDcast!$A$1:$D$458,4,FALSE)</f>
        <v>39</v>
      </c>
      <c r="C245" s="69" t="s">
        <v>358</v>
      </c>
      <c r="D245" s="69"/>
      <c r="E245" s="69"/>
      <c r="F245" s="69"/>
      <c r="G245" s="69"/>
      <c r="H245" s="69"/>
      <c r="I245" s="69"/>
      <c r="J245" s="69"/>
      <c r="K245" s="208"/>
      <c r="L245" s="69"/>
      <c r="M245" s="69"/>
      <c r="N245" s="69"/>
      <c r="O245" s="69"/>
      <c r="P245" s="69"/>
    </row>
    <row r="246" spans="1:16" x14ac:dyDescent="0.25">
      <c r="A246" s="69">
        <v>630000</v>
      </c>
      <c r="B246" s="207" t="e">
        <f>VLOOKUP(A246,pravidla_SDcast!$A$1:$D$458,4,FALSE)</f>
        <v>#N/A</v>
      </c>
      <c r="C246" s="69" t="s">
        <v>827</v>
      </c>
      <c r="D246" s="69"/>
      <c r="E246" s="69"/>
      <c r="F246" s="69"/>
      <c r="G246" s="69"/>
      <c r="H246" s="69"/>
      <c r="I246" s="69"/>
      <c r="J246" s="69"/>
      <c r="K246" s="208"/>
      <c r="L246" s="69"/>
      <c r="M246" s="69"/>
      <c r="N246" s="69"/>
      <c r="O246" s="69"/>
      <c r="P246" s="69"/>
    </row>
    <row r="247" spans="1:16" x14ac:dyDescent="0.25">
      <c r="A247" s="69">
        <v>631000</v>
      </c>
      <c r="B247" s="207">
        <f>VLOOKUP(A247,pravidla_SDcast!$A$1:$D$458,4,FALSE)</f>
        <v>25</v>
      </c>
      <c r="C247" s="69" t="s">
        <v>359</v>
      </c>
      <c r="D247" s="69"/>
      <c r="E247" s="69"/>
      <c r="F247" s="69"/>
      <c r="G247" s="69"/>
      <c r="H247" s="69"/>
      <c r="I247" s="69"/>
      <c r="J247" s="69"/>
      <c r="K247" s="208"/>
      <c r="L247" s="69"/>
      <c r="M247" s="69"/>
      <c r="N247" s="69"/>
      <c r="O247" s="69"/>
      <c r="P247" s="69"/>
    </row>
    <row r="248" spans="1:16" x14ac:dyDescent="0.25">
      <c r="A248" s="69">
        <v>631001</v>
      </c>
      <c r="B248" s="207">
        <f>VLOOKUP(A248,pravidla_SDcast!$A$1:$D$458,4,FALSE)</f>
        <v>25</v>
      </c>
      <c r="C248" s="69" t="s">
        <v>360</v>
      </c>
      <c r="D248" s="69"/>
      <c r="E248" s="69"/>
      <c r="F248" s="69"/>
      <c r="G248" s="69"/>
      <c r="H248" s="69"/>
      <c r="I248" s="69"/>
      <c r="J248" s="69"/>
      <c r="K248" s="208"/>
      <c r="L248" s="69"/>
      <c r="M248" s="69"/>
      <c r="N248" s="69"/>
      <c r="O248" s="69"/>
      <c r="P248" s="69"/>
    </row>
    <row r="249" spans="1:16" x14ac:dyDescent="0.25">
      <c r="A249" s="69">
        <v>631002</v>
      </c>
      <c r="B249" s="207">
        <f>VLOOKUP(A249,pravidla_SDcast!$A$1:$D$458,4,FALSE)</f>
        <v>25</v>
      </c>
      <c r="C249" s="69" t="s">
        <v>361</v>
      </c>
      <c r="D249" s="69"/>
      <c r="E249" s="69"/>
      <c r="F249" s="69"/>
      <c r="G249" s="69"/>
      <c r="H249" s="69"/>
      <c r="I249" s="69"/>
      <c r="J249" s="69"/>
      <c r="K249" s="208"/>
      <c r="L249" s="69"/>
      <c r="M249" s="69"/>
      <c r="N249" s="69"/>
      <c r="O249" s="69"/>
      <c r="P249" s="69"/>
    </row>
    <row r="250" spans="1:16" x14ac:dyDescent="0.25">
      <c r="A250" s="69">
        <v>631003</v>
      </c>
      <c r="B250" s="207">
        <f>VLOOKUP(A250,pravidla_SDcast!$A$1:$D$458,4,FALSE)</f>
        <v>25</v>
      </c>
      <c r="C250" s="69" t="s">
        <v>362</v>
      </c>
      <c r="D250" s="69"/>
      <c r="E250" s="69"/>
      <c r="F250" s="69"/>
      <c r="G250" s="69"/>
      <c r="H250" s="69"/>
      <c r="I250" s="69"/>
      <c r="J250" s="69"/>
      <c r="K250" s="208"/>
      <c r="L250" s="69"/>
      <c r="M250" s="69"/>
      <c r="N250" s="69"/>
      <c r="O250" s="69"/>
      <c r="P250" s="69"/>
    </row>
    <row r="251" spans="1:16" x14ac:dyDescent="0.25">
      <c r="A251" s="69">
        <v>631004</v>
      </c>
      <c r="B251" s="207">
        <f>VLOOKUP(A251,pravidla_SDcast!$A$1:$D$458,4,FALSE)</f>
        <v>25</v>
      </c>
      <c r="C251" s="69" t="s">
        <v>363</v>
      </c>
      <c r="D251" s="69"/>
      <c r="E251" s="69"/>
      <c r="F251" s="69"/>
      <c r="G251" s="69"/>
      <c r="H251" s="69"/>
      <c r="I251" s="69"/>
      <c r="J251" s="69"/>
      <c r="K251" s="208"/>
      <c r="L251" s="69"/>
      <c r="M251" s="69"/>
      <c r="N251" s="69"/>
      <c r="O251" s="69"/>
      <c r="P251" s="69"/>
    </row>
    <row r="252" spans="1:16" x14ac:dyDescent="0.25">
      <c r="A252" s="69">
        <v>632000</v>
      </c>
      <c r="B252" s="207">
        <f>VLOOKUP(A252,pravidla_SDcast!$A$1:$D$458,4,FALSE)</f>
        <v>25</v>
      </c>
      <c r="C252" s="69" t="s">
        <v>828</v>
      </c>
      <c r="D252" s="69"/>
      <c r="E252" s="69"/>
      <c r="F252" s="69"/>
      <c r="G252" s="69"/>
      <c r="H252" s="69"/>
      <c r="I252" s="69"/>
      <c r="J252" s="69"/>
      <c r="K252" s="208"/>
      <c r="L252" s="69"/>
      <c r="M252" s="69"/>
      <c r="N252" s="69"/>
      <c r="O252" s="69"/>
      <c r="P252" s="69"/>
    </row>
    <row r="253" spans="1:16" x14ac:dyDescent="0.25">
      <c r="A253" s="69">
        <v>632001</v>
      </c>
      <c r="B253" s="207">
        <f>VLOOKUP(A253,pravidla_SDcast!$A$1:$D$458,4,FALSE)</f>
        <v>25</v>
      </c>
      <c r="C253" s="69" t="s">
        <v>365</v>
      </c>
      <c r="D253" s="69"/>
      <c r="E253" s="69"/>
      <c r="F253" s="69"/>
      <c r="G253" s="69"/>
      <c r="H253" s="69"/>
      <c r="I253" s="69"/>
      <c r="J253" s="69"/>
      <c r="K253" s="208"/>
      <c r="L253" s="69"/>
      <c r="M253" s="69"/>
      <c r="N253" s="69"/>
      <c r="O253" s="69"/>
      <c r="P253" s="69"/>
    </row>
    <row r="254" spans="1:16" x14ac:dyDescent="0.25">
      <c r="A254" s="69">
        <v>632002</v>
      </c>
      <c r="B254" s="207">
        <f>VLOOKUP(A254,pravidla_SDcast!$A$1:$D$458,4,FALSE)</f>
        <v>25</v>
      </c>
      <c r="C254" s="69" t="s">
        <v>366</v>
      </c>
      <c r="D254" s="69"/>
      <c r="E254" s="69"/>
      <c r="F254" s="69"/>
      <c r="G254" s="69"/>
      <c r="H254" s="69"/>
      <c r="I254" s="69"/>
      <c r="J254" s="69"/>
      <c r="K254" s="208"/>
      <c r="L254" s="69"/>
      <c r="M254" s="69"/>
      <c r="N254" s="69"/>
      <c r="O254" s="69"/>
      <c r="P254" s="69"/>
    </row>
    <row r="255" spans="1:16" x14ac:dyDescent="0.25">
      <c r="A255" s="69">
        <v>632003</v>
      </c>
      <c r="B255" s="207">
        <f>VLOOKUP(A255,pravidla_SDcast!$A$1:$D$458,4,FALSE)</f>
        <v>25</v>
      </c>
      <c r="C255" s="69" t="s">
        <v>367</v>
      </c>
      <c r="D255" s="69"/>
      <c r="E255" s="69"/>
      <c r="F255" s="69"/>
      <c r="G255" s="69"/>
      <c r="H255" s="69"/>
      <c r="I255" s="69"/>
      <c r="J255" s="69"/>
      <c r="K255" s="208"/>
      <c r="L255" s="69"/>
      <c r="M255" s="69"/>
      <c r="N255" s="69"/>
      <c r="O255" s="69"/>
      <c r="P255" s="69"/>
    </row>
    <row r="256" spans="1:16" x14ac:dyDescent="0.25">
      <c r="A256" s="69">
        <v>632004</v>
      </c>
      <c r="B256" s="207">
        <f>VLOOKUP(A256,pravidla_SDcast!$A$1:$D$458,4,FALSE)</f>
        <v>25</v>
      </c>
      <c r="C256" s="69" t="s">
        <v>368</v>
      </c>
      <c r="D256" s="69"/>
      <c r="E256" s="69"/>
      <c r="F256" s="69"/>
      <c r="G256" s="69"/>
      <c r="H256" s="69"/>
      <c r="I256" s="69"/>
      <c r="J256" s="69"/>
      <c r="K256" s="208"/>
      <c r="L256" s="69"/>
      <c r="M256" s="69"/>
      <c r="N256" s="69"/>
      <c r="O256" s="69"/>
      <c r="P256" s="69"/>
    </row>
    <row r="257" spans="1:16" x14ac:dyDescent="0.25">
      <c r="A257" s="69">
        <v>633000</v>
      </c>
      <c r="B257" s="207">
        <f>VLOOKUP(A257,pravidla_SDcast!$A$1:$D$458,4,FALSE)</f>
        <v>25</v>
      </c>
      <c r="C257" s="69" t="s">
        <v>829</v>
      </c>
      <c r="D257" s="69"/>
      <c r="E257" s="69"/>
      <c r="F257" s="69"/>
      <c r="G257" s="69"/>
      <c r="H257" s="69"/>
      <c r="I257" s="69"/>
      <c r="J257" s="69"/>
      <c r="K257" s="208"/>
      <c r="L257" s="69"/>
      <c r="M257" s="69"/>
      <c r="N257" s="69"/>
      <c r="O257" s="69"/>
      <c r="P257" s="69"/>
    </row>
    <row r="258" spans="1:16" x14ac:dyDescent="0.25">
      <c r="A258" s="69">
        <v>633001</v>
      </c>
      <c r="B258" s="207">
        <f>VLOOKUP(A258,pravidla_SDcast!$A$1:$D$458,4,FALSE)</f>
        <v>25</v>
      </c>
      <c r="C258" s="69" t="s">
        <v>369</v>
      </c>
      <c r="D258" s="69"/>
      <c r="E258" s="69"/>
      <c r="F258" s="69"/>
      <c r="G258" s="69"/>
      <c r="H258" s="69"/>
      <c r="I258" s="69"/>
      <c r="J258" s="69"/>
      <c r="K258" s="208"/>
      <c r="L258" s="69"/>
      <c r="M258" s="69"/>
      <c r="N258" s="69"/>
      <c r="O258" s="69"/>
      <c r="P258" s="69"/>
    </row>
    <row r="259" spans="1:16" x14ac:dyDescent="0.25">
      <c r="A259" s="69">
        <v>633002</v>
      </c>
      <c r="B259" s="207">
        <f>VLOOKUP(A259,pravidla_SDcast!$A$1:$D$458,4,FALSE)</f>
        <v>25</v>
      </c>
      <c r="C259" s="69" t="s">
        <v>370</v>
      </c>
      <c r="D259" s="69"/>
      <c r="E259" s="69"/>
      <c r="F259" s="69"/>
      <c r="G259" s="69"/>
      <c r="H259" s="69"/>
      <c r="I259" s="69"/>
      <c r="J259" s="69"/>
      <c r="K259" s="208"/>
      <c r="L259" s="69"/>
      <c r="M259" s="69"/>
      <c r="N259" s="69"/>
      <c r="O259" s="69"/>
      <c r="P259" s="69"/>
    </row>
    <row r="260" spans="1:16" x14ac:dyDescent="0.25">
      <c r="A260" s="69">
        <v>633003</v>
      </c>
      <c r="B260" s="207">
        <f>VLOOKUP(A260,pravidla_SDcast!$A$1:$D$458,4,FALSE)</f>
        <v>25</v>
      </c>
      <c r="C260" s="69" t="s">
        <v>371</v>
      </c>
      <c r="D260" s="69"/>
      <c r="E260" s="69"/>
      <c r="F260" s="69"/>
      <c r="G260" s="69"/>
      <c r="H260" s="69"/>
      <c r="I260" s="69"/>
      <c r="J260" s="69"/>
      <c r="K260" s="208"/>
      <c r="L260" s="69"/>
      <c r="M260" s="69"/>
      <c r="N260" s="69"/>
      <c r="O260" s="69"/>
      <c r="P260" s="69"/>
    </row>
    <row r="261" spans="1:16" x14ac:dyDescent="0.25">
      <c r="A261" s="69">
        <v>633004</v>
      </c>
      <c r="B261" s="207">
        <f>VLOOKUP(A261,pravidla_SDcast!$A$1:$D$458,4,FALSE)</f>
        <v>25</v>
      </c>
      <c r="C261" s="69" t="s">
        <v>372</v>
      </c>
      <c r="D261" s="69"/>
      <c r="E261" s="69"/>
      <c r="F261" s="69"/>
      <c r="G261" s="69"/>
      <c r="H261" s="69"/>
      <c r="I261" s="69"/>
      <c r="J261" s="69"/>
      <c r="K261" s="208"/>
      <c r="L261" s="69"/>
      <c r="M261" s="69"/>
      <c r="N261" s="69"/>
      <c r="O261" s="69"/>
      <c r="P261" s="69"/>
    </row>
    <row r="262" spans="1:16" x14ac:dyDescent="0.25">
      <c r="A262" s="69">
        <v>633005</v>
      </c>
      <c r="B262" s="207">
        <f>VLOOKUP(A262,pravidla_SDcast!$A$1:$D$458,4,FALSE)</f>
        <v>25</v>
      </c>
      <c r="C262" s="69" t="s">
        <v>373</v>
      </c>
      <c r="D262" s="69"/>
      <c r="E262" s="69"/>
      <c r="F262" s="69"/>
      <c r="G262" s="69"/>
      <c r="H262" s="69"/>
      <c r="I262" s="69"/>
      <c r="J262" s="69"/>
      <c r="K262" s="208"/>
      <c r="L262" s="69"/>
      <c r="M262" s="69"/>
      <c r="N262" s="69"/>
      <c r="O262" s="69"/>
      <c r="P262" s="69"/>
    </row>
    <row r="263" spans="1:16" x14ac:dyDescent="0.25">
      <c r="A263" s="69">
        <v>633006</v>
      </c>
      <c r="B263" s="207">
        <f>VLOOKUP(A263,pravidla_SDcast!$A$1:$D$458,4,FALSE)</f>
        <v>25</v>
      </c>
      <c r="C263" s="69" t="s">
        <v>374</v>
      </c>
      <c r="D263" s="69"/>
      <c r="E263" s="69"/>
      <c r="F263" s="69"/>
      <c r="G263" s="69"/>
      <c r="H263" s="69"/>
      <c r="I263" s="69"/>
      <c r="J263" s="69"/>
      <c r="K263" s="208"/>
      <c r="L263" s="69"/>
      <c r="M263" s="69"/>
      <c r="N263" s="69"/>
      <c r="O263" s="69"/>
      <c r="P263" s="69"/>
    </row>
    <row r="264" spans="1:16" x14ac:dyDescent="0.25">
      <c r="A264" s="69">
        <v>633007</v>
      </c>
      <c r="B264" s="207">
        <f>VLOOKUP(A264,pravidla_SDcast!$A$1:$D$458,4,FALSE)</f>
        <v>25</v>
      </c>
      <c r="C264" s="69" t="s">
        <v>375</v>
      </c>
      <c r="D264" s="69"/>
      <c r="E264" s="69"/>
      <c r="F264" s="69"/>
      <c r="G264" s="69"/>
      <c r="H264" s="69"/>
      <c r="I264" s="69"/>
      <c r="J264" s="69"/>
      <c r="K264" s="208"/>
      <c r="L264" s="69"/>
      <c r="M264" s="69"/>
      <c r="N264" s="69"/>
      <c r="O264" s="69"/>
      <c r="P264" s="69"/>
    </row>
    <row r="265" spans="1:16" x14ac:dyDescent="0.25">
      <c r="A265" s="69">
        <v>633008</v>
      </c>
      <c r="B265" s="207">
        <f>VLOOKUP(A265,pravidla_SDcast!$A$1:$D$458,4,FALSE)</f>
        <v>25</v>
      </c>
      <c r="C265" s="69" t="s">
        <v>376</v>
      </c>
      <c r="D265" s="69"/>
      <c r="E265" s="69"/>
      <c r="F265" s="69"/>
      <c r="G265" s="69"/>
      <c r="H265" s="69"/>
      <c r="I265" s="69"/>
      <c r="J265" s="69"/>
      <c r="K265" s="208"/>
      <c r="L265" s="69"/>
      <c r="M265" s="69"/>
      <c r="N265" s="69"/>
      <c r="O265" s="69"/>
      <c r="P265" s="69"/>
    </row>
    <row r="266" spans="1:16" x14ac:dyDescent="0.25">
      <c r="A266" s="69">
        <v>633009</v>
      </c>
      <c r="B266" s="207">
        <f>VLOOKUP(A266,pravidla_SDcast!$A$1:$D$458,4,FALSE)</f>
        <v>25</v>
      </c>
      <c r="C266" s="69" t="s">
        <v>830</v>
      </c>
      <c r="D266" s="69"/>
      <c r="E266" s="69"/>
      <c r="F266" s="69"/>
      <c r="G266" s="69"/>
      <c r="H266" s="69"/>
      <c r="I266" s="69"/>
      <c r="J266" s="69"/>
      <c r="K266" s="208"/>
      <c r="L266" s="69"/>
      <c r="M266" s="69"/>
      <c r="N266" s="69"/>
      <c r="O266" s="69"/>
      <c r="P266" s="69"/>
    </row>
    <row r="267" spans="1:16" x14ac:dyDescent="0.25">
      <c r="A267" s="69">
        <v>633010</v>
      </c>
      <c r="B267" s="207">
        <f>VLOOKUP(A267,pravidla_SDcast!$A$1:$D$458,4,FALSE)</f>
        <v>25</v>
      </c>
      <c r="C267" s="69" t="s">
        <v>378</v>
      </c>
      <c r="D267" s="69"/>
      <c r="E267" s="69"/>
      <c r="F267" s="69"/>
      <c r="G267" s="69"/>
      <c r="H267" s="69"/>
      <c r="I267" s="69"/>
      <c r="J267" s="69"/>
      <c r="K267" s="208"/>
      <c r="L267" s="69"/>
      <c r="M267" s="69"/>
      <c r="N267" s="69"/>
      <c r="O267" s="69"/>
      <c r="P267" s="69"/>
    </row>
    <row r="268" spans="1:16" x14ac:dyDescent="0.25">
      <c r="A268" s="69">
        <v>633011</v>
      </c>
      <c r="B268" s="207">
        <f>VLOOKUP(A268,pravidla_SDcast!$A$1:$D$458,4,FALSE)</f>
        <v>55</v>
      </c>
      <c r="C268" s="69" t="s">
        <v>379</v>
      </c>
      <c r="D268" s="69"/>
      <c r="E268" s="69"/>
      <c r="F268" s="69"/>
      <c r="G268" s="69"/>
      <c r="H268" s="69"/>
      <c r="I268" s="69"/>
      <c r="J268" s="69"/>
      <c r="K268" s="208"/>
      <c r="L268" s="69"/>
      <c r="M268" s="69"/>
      <c r="N268" s="69"/>
      <c r="O268" s="69"/>
      <c r="P268" s="69"/>
    </row>
    <row r="269" spans="1:16" x14ac:dyDescent="0.25">
      <c r="A269" s="69">
        <v>633012</v>
      </c>
      <c r="B269" s="207">
        <f>VLOOKUP(A269,pravidla_SDcast!$A$1:$D$458,4,FALSE)</f>
        <v>25</v>
      </c>
      <c r="C269" s="69" t="s">
        <v>380</v>
      </c>
      <c r="D269" s="69"/>
      <c r="E269" s="69"/>
      <c r="F269" s="69"/>
      <c r="G269" s="69"/>
      <c r="H269" s="69"/>
      <c r="I269" s="69"/>
      <c r="J269" s="69"/>
      <c r="K269" s="208"/>
      <c r="L269" s="69"/>
      <c r="M269" s="69"/>
      <c r="N269" s="69"/>
      <c r="O269" s="69"/>
      <c r="P269" s="69"/>
    </row>
    <row r="270" spans="1:16" x14ac:dyDescent="0.25">
      <c r="A270" s="69">
        <v>633013</v>
      </c>
      <c r="B270" s="207">
        <f>VLOOKUP(A270,pravidla_SDcast!$A$1:$D$458,4,FALSE)</f>
        <v>25</v>
      </c>
      <c r="C270" s="69" t="s">
        <v>381</v>
      </c>
      <c r="D270" s="69"/>
      <c r="E270" s="69"/>
      <c r="F270" s="69"/>
      <c r="G270" s="69"/>
      <c r="H270" s="69"/>
      <c r="I270" s="69"/>
      <c r="J270" s="69"/>
      <c r="K270" s="208"/>
      <c r="L270" s="69"/>
      <c r="M270" s="69"/>
      <c r="N270" s="69"/>
      <c r="O270" s="69"/>
      <c r="P270" s="69"/>
    </row>
    <row r="271" spans="1:16" x14ac:dyDescent="0.25">
      <c r="A271" s="69">
        <v>633014</v>
      </c>
      <c r="B271" s="207">
        <f>VLOOKUP(A271,pravidla_SDcast!$A$1:$D$458,4,FALSE)</f>
        <v>37</v>
      </c>
      <c r="C271" s="69" t="s">
        <v>382</v>
      </c>
      <c r="D271" s="69"/>
      <c r="E271" s="69"/>
      <c r="F271" s="69"/>
      <c r="G271" s="69"/>
      <c r="H271" s="69"/>
      <c r="I271" s="69"/>
      <c r="J271" s="69"/>
      <c r="K271" s="208"/>
      <c r="L271" s="69"/>
      <c r="M271" s="69"/>
      <c r="N271" s="69"/>
      <c r="O271" s="69"/>
      <c r="P271" s="69"/>
    </row>
    <row r="272" spans="1:16" x14ac:dyDescent="0.25">
      <c r="A272" s="69">
        <v>633015</v>
      </c>
      <c r="B272" s="207">
        <f>VLOOKUP(A272,pravidla_SDcast!$A$1:$D$458,4,FALSE)</f>
        <v>25</v>
      </c>
      <c r="C272" s="69" t="s">
        <v>383</v>
      </c>
      <c r="D272" s="69"/>
      <c r="E272" s="69"/>
      <c r="F272" s="69"/>
      <c r="G272" s="69"/>
      <c r="H272" s="69"/>
      <c r="I272" s="69"/>
      <c r="J272" s="69"/>
      <c r="K272" s="208"/>
      <c r="L272" s="69"/>
      <c r="M272" s="69"/>
      <c r="N272" s="69"/>
      <c r="O272" s="69"/>
      <c r="P272" s="69"/>
    </row>
    <row r="273" spans="1:16" x14ac:dyDescent="0.25">
      <c r="A273" s="69">
        <v>633016</v>
      </c>
      <c r="B273" s="207">
        <f>VLOOKUP(A273,pravidla_SDcast!$A$1:$D$458,4,FALSE)</f>
        <v>25</v>
      </c>
      <c r="C273" s="69" t="s">
        <v>384</v>
      </c>
      <c r="D273" s="69"/>
      <c r="E273" s="69"/>
      <c r="F273" s="69"/>
      <c r="G273" s="69"/>
      <c r="H273" s="69"/>
      <c r="I273" s="69"/>
      <c r="J273" s="69"/>
      <c r="K273" s="208"/>
      <c r="L273" s="69"/>
      <c r="M273" s="69"/>
      <c r="N273" s="69"/>
      <c r="O273" s="69"/>
      <c r="P273" s="69"/>
    </row>
    <row r="274" spans="1:16" x14ac:dyDescent="0.25">
      <c r="A274" s="69">
        <v>633017</v>
      </c>
      <c r="B274" s="207">
        <f>VLOOKUP(A274,pravidla_SDcast!$A$1:$D$458,4,FALSE)</f>
        <v>25</v>
      </c>
      <c r="C274" s="69" t="s">
        <v>385</v>
      </c>
      <c r="D274" s="69"/>
      <c r="E274" s="69"/>
      <c r="F274" s="69"/>
      <c r="G274" s="69"/>
      <c r="H274" s="69"/>
      <c r="I274" s="69"/>
      <c r="J274" s="69"/>
      <c r="K274" s="208"/>
      <c r="L274" s="69"/>
      <c r="M274" s="69"/>
      <c r="N274" s="69"/>
      <c r="O274" s="69"/>
      <c r="P274" s="69"/>
    </row>
    <row r="275" spans="1:16" x14ac:dyDescent="0.25">
      <c r="A275" s="69">
        <v>633018</v>
      </c>
      <c r="B275" s="207">
        <f>VLOOKUP(A275,pravidla_SDcast!$A$1:$D$458,4,FALSE)</f>
        <v>25</v>
      </c>
      <c r="C275" s="69" t="s">
        <v>285</v>
      </c>
      <c r="D275" s="69"/>
      <c r="E275" s="69"/>
      <c r="F275" s="69"/>
      <c r="G275" s="69"/>
      <c r="H275" s="69"/>
      <c r="I275" s="69"/>
      <c r="J275" s="69"/>
      <c r="K275" s="208"/>
      <c r="L275" s="69"/>
      <c r="M275" s="69"/>
      <c r="N275" s="69"/>
      <c r="O275" s="69"/>
      <c r="P275" s="69"/>
    </row>
    <row r="276" spans="1:16" x14ac:dyDescent="0.25">
      <c r="A276" s="69">
        <v>633019</v>
      </c>
      <c r="B276" s="207">
        <f>VLOOKUP(A276,pravidla_SDcast!$A$1:$D$458,4,FALSE)</f>
        <v>25</v>
      </c>
      <c r="C276" s="69" t="s">
        <v>368</v>
      </c>
      <c r="D276" s="69"/>
      <c r="E276" s="69"/>
      <c r="F276" s="69"/>
      <c r="G276" s="69"/>
      <c r="H276" s="69"/>
      <c r="I276" s="69"/>
      <c r="J276" s="69"/>
      <c r="K276" s="208"/>
      <c r="L276" s="69"/>
      <c r="M276" s="69"/>
      <c r="N276" s="69"/>
      <c r="O276" s="69"/>
      <c r="P276" s="69"/>
    </row>
    <row r="277" spans="1:16" x14ac:dyDescent="0.25">
      <c r="A277" s="69">
        <v>633200</v>
      </c>
      <c r="B277" s="207">
        <f>VLOOKUP(A277,pravidla_SDcast!$A$1:$D$458,4,FALSE)</f>
        <v>25</v>
      </c>
      <c r="C277" s="69" t="s">
        <v>386</v>
      </c>
      <c r="D277" s="69"/>
      <c r="E277" s="69"/>
      <c r="F277" s="69"/>
      <c r="G277" s="69"/>
      <c r="H277" s="69"/>
      <c r="I277" s="69"/>
      <c r="J277" s="69"/>
      <c r="K277" s="208"/>
      <c r="L277" s="69"/>
      <c r="M277" s="69"/>
      <c r="N277" s="69"/>
      <c r="O277" s="69"/>
      <c r="P277" s="69"/>
    </row>
    <row r="278" spans="1:16" x14ac:dyDescent="0.25">
      <c r="A278" s="69">
        <v>634000</v>
      </c>
      <c r="B278" s="207">
        <f>VLOOKUP(A278,pravidla_SDcast!$A$1:$D$458,4,FALSE)</f>
        <v>25</v>
      </c>
      <c r="C278" s="69" t="s">
        <v>387</v>
      </c>
      <c r="D278" s="69"/>
      <c r="E278" s="69"/>
      <c r="F278" s="69"/>
      <c r="G278" s="69"/>
      <c r="H278" s="69"/>
      <c r="I278" s="69"/>
      <c r="J278" s="69"/>
      <c r="K278" s="208"/>
      <c r="L278" s="69"/>
      <c r="M278" s="69"/>
      <c r="N278" s="69"/>
      <c r="O278" s="69"/>
      <c r="P278" s="69"/>
    </row>
    <row r="279" spans="1:16" x14ac:dyDescent="0.25">
      <c r="A279" s="69">
        <v>634001</v>
      </c>
      <c r="B279" s="207">
        <f>VLOOKUP(A279,pravidla_SDcast!$A$1:$D$458,4,FALSE)</f>
        <v>25</v>
      </c>
      <c r="C279" s="69" t="s">
        <v>388</v>
      </c>
      <c r="D279" s="69"/>
      <c r="E279" s="69"/>
      <c r="F279" s="69"/>
      <c r="G279" s="69"/>
      <c r="H279" s="69"/>
      <c r="I279" s="69"/>
      <c r="J279" s="69"/>
      <c r="K279" s="208"/>
      <c r="L279" s="69"/>
      <c r="M279" s="69"/>
      <c r="N279" s="69"/>
      <c r="O279" s="69"/>
      <c r="P279" s="69"/>
    </row>
    <row r="280" spans="1:16" x14ac:dyDescent="0.25">
      <c r="A280" s="69">
        <v>634002</v>
      </c>
      <c r="B280" s="207">
        <f>VLOOKUP(A280,pravidla_SDcast!$A$1:$D$458,4,FALSE)</f>
        <v>25</v>
      </c>
      <c r="C280" s="69" t="s">
        <v>389</v>
      </c>
      <c r="D280" s="69"/>
      <c r="E280" s="69"/>
      <c r="F280" s="69"/>
      <c r="G280" s="69"/>
      <c r="H280" s="69"/>
      <c r="I280" s="69"/>
      <c r="J280" s="69"/>
      <c r="K280" s="208"/>
      <c r="L280" s="69"/>
      <c r="M280" s="69"/>
      <c r="N280" s="69"/>
      <c r="O280" s="69"/>
      <c r="P280" s="69"/>
    </row>
    <row r="281" spans="1:16" x14ac:dyDescent="0.25">
      <c r="A281" s="69">
        <v>634003</v>
      </c>
      <c r="B281" s="207">
        <f>VLOOKUP(A281,pravidla_SDcast!$A$1:$D$458,4,FALSE)</f>
        <v>25</v>
      </c>
      <c r="C281" s="69" t="s">
        <v>831</v>
      </c>
      <c r="D281" s="69"/>
      <c r="E281" s="69"/>
      <c r="F281" s="69"/>
      <c r="G281" s="69"/>
      <c r="H281" s="69"/>
      <c r="I281" s="69"/>
      <c r="J281" s="69"/>
      <c r="K281" s="208"/>
      <c r="L281" s="69"/>
      <c r="M281" s="69"/>
      <c r="N281" s="69"/>
      <c r="O281" s="69"/>
      <c r="P281" s="69"/>
    </row>
    <row r="282" spans="1:16" x14ac:dyDescent="0.25">
      <c r="A282" s="69">
        <v>634004</v>
      </c>
      <c r="B282" s="207">
        <f>VLOOKUP(A282,pravidla_SDcast!$A$1:$D$458,4,FALSE)</f>
        <v>25</v>
      </c>
      <c r="C282" s="69" t="s">
        <v>391</v>
      </c>
      <c r="D282" s="69"/>
      <c r="E282" s="69"/>
      <c r="F282" s="69"/>
      <c r="G282" s="69"/>
      <c r="H282" s="69"/>
      <c r="I282" s="69"/>
      <c r="J282" s="69"/>
      <c r="K282" s="208"/>
      <c r="L282" s="69"/>
      <c r="M282" s="69"/>
      <c r="N282" s="69"/>
      <c r="O282" s="69"/>
      <c r="P282" s="69"/>
    </row>
    <row r="283" spans="1:16" x14ac:dyDescent="0.25">
      <c r="A283" s="69">
        <v>634005</v>
      </c>
      <c r="B283" s="207">
        <f>VLOOKUP(A283,pravidla_SDcast!$A$1:$D$458,4,FALSE)</f>
        <v>25</v>
      </c>
      <c r="C283" s="69" t="s">
        <v>392</v>
      </c>
      <c r="D283" s="69"/>
      <c r="E283" s="69"/>
      <c r="F283" s="69"/>
      <c r="G283" s="69"/>
      <c r="H283" s="69"/>
      <c r="I283" s="69"/>
      <c r="J283" s="69"/>
      <c r="K283" s="208"/>
      <c r="L283" s="69"/>
      <c r="M283" s="69"/>
      <c r="N283" s="69"/>
      <c r="O283" s="69"/>
      <c r="P283" s="69"/>
    </row>
    <row r="284" spans="1:16" x14ac:dyDescent="0.25">
      <c r="A284" s="69">
        <v>634006</v>
      </c>
      <c r="B284" s="207">
        <f>VLOOKUP(A284,pravidla_SDcast!$A$1:$D$458,4,FALSE)</f>
        <v>25</v>
      </c>
      <c r="C284" s="69" t="s">
        <v>378</v>
      </c>
      <c r="D284" s="69"/>
      <c r="E284" s="69"/>
      <c r="F284" s="69"/>
      <c r="G284" s="69"/>
      <c r="H284" s="69"/>
      <c r="I284" s="69"/>
      <c r="J284" s="69"/>
      <c r="K284" s="208"/>
      <c r="L284" s="69"/>
      <c r="M284" s="69"/>
      <c r="N284" s="69"/>
      <c r="O284" s="69"/>
      <c r="P284" s="69"/>
    </row>
    <row r="285" spans="1:16" x14ac:dyDescent="0.25">
      <c r="A285" s="69">
        <v>635000</v>
      </c>
      <c r="B285" s="207">
        <f>VLOOKUP(A285,pravidla_SDcast!$A$1:$D$458,4,FALSE)</f>
        <v>25</v>
      </c>
      <c r="C285" s="69" t="s">
        <v>393</v>
      </c>
      <c r="D285" s="69"/>
      <c r="E285" s="69"/>
      <c r="F285" s="69"/>
      <c r="G285" s="69"/>
      <c r="H285" s="69"/>
      <c r="I285" s="69"/>
      <c r="J285" s="69"/>
      <c r="K285" s="208"/>
      <c r="L285" s="69"/>
      <c r="M285" s="69"/>
      <c r="N285" s="69"/>
      <c r="O285" s="69"/>
      <c r="P285" s="69"/>
    </row>
    <row r="286" spans="1:16" x14ac:dyDescent="0.25">
      <c r="A286" s="69">
        <v>635001</v>
      </c>
      <c r="B286" s="207">
        <f>VLOOKUP(A286,pravidla_SDcast!$A$1:$D$458,4,FALSE)</f>
        <v>25</v>
      </c>
      <c r="C286" s="69" t="s">
        <v>394</v>
      </c>
      <c r="D286" s="69"/>
      <c r="E286" s="69"/>
      <c r="F286" s="69"/>
      <c r="G286" s="69"/>
      <c r="H286" s="69"/>
      <c r="I286" s="69"/>
      <c r="J286" s="69"/>
      <c r="K286" s="208"/>
      <c r="L286" s="69"/>
      <c r="M286" s="69"/>
      <c r="N286" s="69"/>
      <c r="O286" s="69"/>
      <c r="P286" s="69"/>
    </row>
    <row r="287" spans="1:16" x14ac:dyDescent="0.25">
      <c r="A287" s="69">
        <v>635002</v>
      </c>
      <c r="B287" s="207">
        <f>VLOOKUP(A287,pravidla_SDcast!$A$1:$D$458,4,FALSE)</f>
        <v>25</v>
      </c>
      <c r="C287" s="69" t="s">
        <v>395</v>
      </c>
      <c r="D287" s="69"/>
      <c r="E287" s="69"/>
      <c r="F287" s="69"/>
      <c r="G287" s="69"/>
      <c r="H287" s="69"/>
      <c r="I287" s="69"/>
      <c r="J287" s="69"/>
      <c r="K287" s="208"/>
      <c r="L287" s="69"/>
      <c r="M287" s="69"/>
      <c r="N287" s="69"/>
      <c r="O287" s="69"/>
      <c r="P287" s="69"/>
    </row>
    <row r="288" spans="1:16" x14ac:dyDescent="0.25">
      <c r="A288" s="69">
        <v>635003</v>
      </c>
      <c r="B288" s="207">
        <f>VLOOKUP(A288,pravidla_SDcast!$A$1:$D$458,4,FALSE)</f>
        <v>25</v>
      </c>
      <c r="C288" s="69" t="s">
        <v>396</v>
      </c>
      <c r="D288" s="69"/>
      <c r="E288" s="69"/>
      <c r="F288" s="69"/>
      <c r="G288" s="69"/>
      <c r="H288" s="69"/>
      <c r="I288" s="69"/>
      <c r="J288" s="69"/>
      <c r="K288" s="208"/>
      <c r="L288" s="69"/>
      <c r="M288" s="69"/>
      <c r="N288" s="69"/>
      <c r="O288" s="69"/>
      <c r="P288" s="69"/>
    </row>
    <row r="289" spans="1:16" x14ac:dyDescent="0.25">
      <c r="A289" s="69">
        <v>635004</v>
      </c>
      <c r="B289" s="207">
        <f>VLOOKUP(A289,pravidla_SDcast!$A$1:$D$458,4,FALSE)</f>
        <v>25</v>
      </c>
      <c r="C289" s="69" t="s">
        <v>397</v>
      </c>
      <c r="D289" s="69"/>
      <c r="E289" s="69"/>
      <c r="F289" s="69"/>
      <c r="G289" s="69"/>
      <c r="H289" s="69"/>
      <c r="I289" s="69"/>
      <c r="J289" s="69"/>
      <c r="K289" s="208"/>
      <c r="L289" s="69"/>
      <c r="M289" s="69"/>
      <c r="N289" s="69"/>
      <c r="O289" s="69"/>
      <c r="P289" s="69"/>
    </row>
    <row r="290" spans="1:16" x14ac:dyDescent="0.25">
      <c r="A290" s="69">
        <v>635005</v>
      </c>
      <c r="B290" s="207">
        <f>VLOOKUP(A290,pravidla_SDcast!$A$1:$D$458,4,FALSE)</f>
        <v>25</v>
      </c>
      <c r="C290" s="69" t="s">
        <v>398</v>
      </c>
      <c r="D290" s="69"/>
      <c r="E290" s="69"/>
      <c r="F290" s="69"/>
      <c r="G290" s="69"/>
      <c r="H290" s="69"/>
      <c r="I290" s="69"/>
      <c r="J290" s="69"/>
      <c r="K290" s="208"/>
      <c r="L290" s="69"/>
      <c r="M290" s="69"/>
      <c r="N290" s="69"/>
      <c r="O290" s="69"/>
      <c r="P290" s="69"/>
    </row>
    <row r="291" spans="1:16" x14ac:dyDescent="0.25">
      <c r="A291" s="69">
        <v>635006</v>
      </c>
      <c r="B291" s="207">
        <f>VLOOKUP(A291,pravidla_SDcast!$A$1:$D$458,4,FALSE)</f>
        <v>25</v>
      </c>
      <c r="C291" s="69" t="s">
        <v>186</v>
      </c>
      <c r="D291" s="69"/>
      <c r="E291" s="69"/>
      <c r="F291" s="69"/>
      <c r="G291" s="69"/>
      <c r="H291" s="69"/>
      <c r="I291" s="69"/>
      <c r="J291" s="69"/>
      <c r="K291" s="208"/>
      <c r="L291" s="69"/>
      <c r="M291" s="69"/>
      <c r="N291" s="69"/>
      <c r="O291" s="69"/>
      <c r="P291" s="69"/>
    </row>
    <row r="292" spans="1:16" x14ac:dyDescent="0.25">
      <c r="A292" s="69">
        <v>635007</v>
      </c>
      <c r="B292" s="207">
        <f>VLOOKUP(A292,pravidla_SDcast!$A$1:$D$458,4,FALSE)</f>
        <v>25</v>
      </c>
      <c r="C292" s="69" t="s">
        <v>399</v>
      </c>
      <c r="D292" s="69"/>
      <c r="E292" s="69"/>
      <c r="F292" s="69"/>
      <c r="G292" s="69"/>
      <c r="H292" s="69"/>
      <c r="I292" s="69"/>
      <c r="J292" s="69"/>
      <c r="K292" s="208"/>
      <c r="L292" s="69"/>
      <c r="M292" s="69"/>
      <c r="N292" s="69"/>
      <c r="O292" s="69"/>
      <c r="P292" s="69"/>
    </row>
    <row r="293" spans="1:16" x14ac:dyDescent="0.25">
      <c r="A293" s="69">
        <v>635008</v>
      </c>
      <c r="B293" s="207">
        <f>VLOOKUP(A293,pravidla_SDcast!$A$1:$D$458,4,FALSE)</f>
        <v>25</v>
      </c>
      <c r="C293" s="69" t="s">
        <v>400</v>
      </c>
      <c r="D293" s="69"/>
      <c r="E293" s="69"/>
      <c r="F293" s="69"/>
      <c r="G293" s="69"/>
      <c r="H293" s="69"/>
      <c r="I293" s="69"/>
      <c r="J293" s="69"/>
      <c r="K293" s="208"/>
      <c r="L293" s="69"/>
      <c r="M293" s="69"/>
      <c r="N293" s="69"/>
      <c r="O293" s="69"/>
      <c r="P293" s="69"/>
    </row>
    <row r="294" spans="1:16" x14ac:dyDescent="0.25">
      <c r="A294" s="69">
        <v>635009</v>
      </c>
      <c r="B294" s="207">
        <f>VLOOKUP(A294,pravidla_SDcast!$A$1:$D$458,4,FALSE)</f>
        <v>25</v>
      </c>
      <c r="C294" s="69" t="s">
        <v>401</v>
      </c>
      <c r="D294" s="69"/>
      <c r="E294" s="69"/>
      <c r="F294" s="69"/>
      <c r="G294" s="69"/>
      <c r="H294" s="69"/>
      <c r="I294" s="69"/>
      <c r="J294" s="69"/>
      <c r="K294" s="208"/>
      <c r="L294" s="69"/>
      <c r="M294" s="69"/>
      <c r="N294" s="69"/>
      <c r="O294" s="69"/>
      <c r="P294" s="69"/>
    </row>
    <row r="295" spans="1:16" x14ac:dyDescent="0.25">
      <c r="A295" s="69">
        <v>635010</v>
      </c>
      <c r="B295" s="207">
        <f>VLOOKUP(A295,pravidla_SDcast!$A$1:$D$458,4,FALSE)</f>
        <v>25</v>
      </c>
      <c r="C295" s="69" t="s">
        <v>402</v>
      </c>
      <c r="D295" s="69"/>
      <c r="E295" s="69"/>
      <c r="F295" s="69"/>
      <c r="G295" s="69"/>
      <c r="H295" s="69"/>
      <c r="I295" s="69"/>
      <c r="J295" s="69"/>
      <c r="K295" s="208"/>
      <c r="L295" s="69"/>
      <c r="M295" s="69"/>
      <c r="N295" s="69"/>
      <c r="O295" s="69"/>
      <c r="P295" s="69"/>
    </row>
    <row r="296" spans="1:16" x14ac:dyDescent="0.25">
      <c r="A296" s="69">
        <v>635200</v>
      </c>
      <c r="B296" s="207">
        <f>VLOOKUP(A296,pravidla_SDcast!$A$1:$D$458,4,FALSE)</f>
        <v>25</v>
      </c>
      <c r="C296" s="69" t="s">
        <v>403</v>
      </c>
      <c r="D296" s="69"/>
      <c r="E296" s="69"/>
      <c r="F296" s="69"/>
      <c r="G296" s="69"/>
      <c r="H296" s="69"/>
      <c r="I296" s="69"/>
      <c r="J296" s="69"/>
      <c r="K296" s="208"/>
      <c r="L296" s="69"/>
      <c r="M296" s="69"/>
      <c r="N296" s="69"/>
      <c r="O296" s="69"/>
      <c r="P296" s="69"/>
    </row>
    <row r="297" spans="1:16" x14ac:dyDescent="0.25">
      <c r="A297" s="69">
        <v>636000</v>
      </c>
      <c r="B297" s="207">
        <f>VLOOKUP(A297,pravidla_SDcast!$A$1:$D$458,4,FALSE)</f>
        <v>25</v>
      </c>
      <c r="C297" s="69" t="s">
        <v>404</v>
      </c>
      <c r="D297" s="69"/>
      <c r="E297" s="69"/>
      <c r="F297" s="69"/>
      <c r="G297" s="69"/>
      <c r="H297" s="69"/>
      <c r="I297" s="69"/>
      <c r="J297" s="69"/>
      <c r="K297" s="208"/>
      <c r="L297" s="69"/>
      <c r="M297" s="69"/>
      <c r="N297" s="69"/>
      <c r="O297" s="69"/>
      <c r="P297" s="69"/>
    </row>
    <row r="298" spans="1:16" x14ac:dyDescent="0.25">
      <c r="A298" s="69">
        <v>636001</v>
      </c>
      <c r="B298" s="207" t="str">
        <f>VLOOKUP(A298,pravidla_SDcast!$A$1:$D$458,4,FALSE)</f>
        <v>data</v>
      </c>
      <c r="C298" s="69" t="s">
        <v>186</v>
      </c>
      <c r="D298" s="69"/>
      <c r="E298" s="69"/>
      <c r="F298" s="69"/>
      <c r="G298" s="69"/>
      <c r="H298" s="69"/>
      <c r="I298" s="69"/>
      <c r="J298" s="69"/>
      <c r="K298" s="208"/>
      <c r="L298" s="69"/>
      <c r="M298" s="69"/>
      <c r="N298" s="69"/>
      <c r="O298" s="69"/>
      <c r="P298" s="69"/>
    </row>
    <row r="299" spans="1:16" x14ac:dyDescent="0.25">
      <c r="A299" s="69">
        <v>636002</v>
      </c>
      <c r="B299" s="207">
        <f>VLOOKUP(A299,pravidla_SDcast!$A$1:$D$458,4,FALSE)</f>
        <v>25</v>
      </c>
      <c r="C299" s="69" t="s">
        <v>397</v>
      </c>
      <c r="D299" s="69"/>
      <c r="E299" s="69"/>
      <c r="F299" s="69"/>
      <c r="G299" s="69"/>
      <c r="H299" s="69"/>
      <c r="I299" s="69"/>
      <c r="J299" s="69"/>
      <c r="K299" s="208"/>
      <c r="L299" s="69"/>
      <c r="M299" s="69"/>
      <c r="N299" s="69"/>
      <c r="O299" s="69"/>
      <c r="P299" s="69"/>
    </row>
    <row r="300" spans="1:16" x14ac:dyDescent="0.25">
      <c r="A300" s="69">
        <v>636003</v>
      </c>
      <c r="B300" s="207">
        <f>VLOOKUP(A300,pravidla_SDcast!$A$1:$D$458,4,FALSE)</f>
        <v>25</v>
      </c>
      <c r="C300" s="69" t="s">
        <v>405</v>
      </c>
      <c r="D300" s="69"/>
      <c r="E300" s="69"/>
      <c r="F300" s="69"/>
      <c r="G300" s="69"/>
      <c r="H300" s="69"/>
      <c r="I300" s="69"/>
      <c r="J300" s="69"/>
      <c r="K300" s="208"/>
      <c r="L300" s="69"/>
      <c r="M300" s="69"/>
      <c r="N300" s="69"/>
      <c r="O300" s="69"/>
      <c r="P300" s="69"/>
    </row>
    <row r="301" spans="1:16" x14ac:dyDescent="0.25">
      <c r="A301" s="69">
        <v>636004</v>
      </c>
      <c r="B301" s="207">
        <f>VLOOKUP(A301,pravidla_SDcast!$A$1:$D$458,4,FALSE)</f>
        <v>25</v>
      </c>
      <c r="C301" s="69" t="s">
        <v>406</v>
      </c>
      <c r="D301" s="69"/>
      <c r="E301" s="69"/>
      <c r="F301" s="69"/>
      <c r="G301" s="69"/>
      <c r="H301" s="69"/>
      <c r="I301" s="69"/>
      <c r="J301" s="69"/>
      <c r="K301" s="208"/>
      <c r="L301" s="69"/>
      <c r="M301" s="69"/>
      <c r="N301" s="69"/>
      <c r="O301" s="69"/>
      <c r="P301" s="69"/>
    </row>
    <row r="302" spans="1:16" x14ac:dyDescent="0.25">
      <c r="A302" s="69">
        <v>636005</v>
      </c>
      <c r="B302" s="207">
        <f>VLOOKUP(A302,pravidla_SDcast!$A$1:$D$458,4,FALSE)</f>
        <v>25</v>
      </c>
      <c r="C302" s="69" t="s">
        <v>407</v>
      </c>
      <c r="D302" s="69"/>
      <c r="E302" s="69"/>
      <c r="F302" s="69"/>
      <c r="G302" s="69"/>
      <c r="H302" s="69"/>
      <c r="I302" s="69"/>
      <c r="J302" s="69"/>
      <c r="K302" s="208"/>
      <c r="L302" s="69"/>
      <c r="M302" s="69"/>
      <c r="N302" s="69"/>
      <c r="O302" s="69"/>
      <c r="P302" s="69"/>
    </row>
    <row r="303" spans="1:16" x14ac:dyDescent="0.25">
      <c r="A303" s="69">
        <v>636006</v>
      </c>
      <c r="B303" s="207">
        <f>VLOOKUP(A303,pravidla_SDcast!$A$1:$D$458,4,FALSE)</f>
        <v>25</v>
      </c>
      <c r="C303" s="69" t="s">
        <v>395</v>
      </c>
      <c r="D303" s="69"/>
      <c r="E303" s="69"/>
      <c r="F303" s="69"/>
      <c r="G303" s="69"/>
      <c r="H303" s="69"/>
      <c r="I303" s="69"/>
      <c r="J303" s="69"/>
      <c r="K303" s="208"/>
      <c r="L303" s="69"/>
      <c r="M303" s="69"/>
      <c r="N303" s="69"/>
      <c r="O303" s="69"/>
      <c r="P303" s="69"/>
    </row>
    <row r="304" spans="1:16" x14ac:dyDescent="0.25">
      <c r="A304" s="69">
        <v>636007</v>
      </c>
      <c r="B304" s="207">
        <f>VLOOKUP(A304,pravidla_SDcast!$A$1:$D$458,4,FALSE)</f>
        <v>25</v>
      </c>
      <c r="C304" s="69" t="s">
        <v>401</v>
      </c>
      <c r="D304" s="69"/>
      <c r="E304" s="69"/>
      <c r="F304" s="69"/>
      <c r="G304" s="69"/>
      <c r="H304" s="69"/>
      <c r="I304" s="69"/>
      <c r="J304" s="69"/>
      <c r="K304" s="208"/>
      <c r="L304" s="69"/>
      <c r="M304" s="69"/>
      <c r="N304" s="69"/>
      <c r="O304" s="69"/>
      <c r="P304" s="69"/>
    </row>
    <row r="305" spans="1:16" x14ac:dyDescent="0.25">
      <c r="A305" s="69">
        <v>636008</v>
      </c>
      <c r="B305" s="207">
        <f>VLOOKUP(A305,pravidla_SDcast!$A$1:$D$458,4,FALSE)</f>
        <v>25</v>
      </c>
      <c r="C305" s="69" t="s">
        <v>402</v>
      </c>
      <c r="D305" s="69"/>
      <c r="E305" s="69"/>
      <c r="F305" s="69"/>
      <c r="G305" s="69"/>
      <c r="H305" s="69"/>
      <c r="I305" s="69"/>
      <c r="J305" s="69"/>
      <c r="K305" s="208"/>
      <c r="L305" s="69"/>
      <c r="M305" s="69"/>
      <c r="N305" s="69"/>
      <c r="O305" s="69"/>
      <c r="P305" s="69"/>
    </row>
    <row r="306" spans="1:16" x14ac:dyDescent="0.25">
      <c r="A306" s="69">
        <v>637000</v>
      </c>
      <c r="B306" s="207">
        <f>VLOOKUP(A306,pravidla_SDcast!$A$1:$D$458,4,FALSE)</f>
        <v>25</v>
      </c>
      <c r="C306" s="69" t="s">
        <v>408</v>
      </c>
      <c r="D306" s="69"/>
      <c r="E306" s="69"/>
      <c r="F306" s="69"/>
      <c r="G306" s="69"/>
      <c r="H306" s="69"/>
      <c r="I306" s="69"/>
      <c r="J306" s="69"/>
      <c r="K306" s="208"/>
      <c r="L306" s="69"/>
      <c r="M306" s="69"/>
      <c r="N306" s="69"/>
      <c r="O306" s="69"/>
      <c r="P306" s="69"/>
    </row>
    <row r="307" spans="1:16" x14ac:dyDescent="0.25">
      <c r="A307" s="69">
        <v>637001</v>
      </c>
      <c r="B307" s="207">
        <f>VLOOKUP(A307,pravidla_SDcast!$A$1:$D$458,4,FALSE)</f>
        <v>39</v>
      </c>
      <c r="C307" s="69" t="s">
        <v>409</v>
      </c>
      <c r="D307" s="69"/>
      <c r="E307" s="69"/>
      <c r="F307" s="69"/>
      <c r="G307" s="69"/>
      <c r="H307" s="69"/>
      <c r="I307" s="69"/>
      <c r="J307" s="69"/>
      <c r="K307" s="208"/>
      <c r="L307" s="69"/>
      <c r="M307" s="69"/>
      <c r="N307" s="69"/>
      <c r="O307" s="69"/>
      <c r="P307" s="69"/>
    </row>
    <row r="308" spans="1:16" x14ac:dyDescent="0.25">
      <c r="A308" s="69">
        <v>637002</v>
      </c>
      <c r="B308" s="207">
        <f>VLOOKUP(A308,pravidla_SDcast!$A$1:$D$458,4,FALSE)</f>
        <v>25</v>
      </c>
      <c r="C308" s="69" t="s">
        <v>410</v>
      </c>
      <c r="D308" s="69"/>
      <c r="E308" s="69"/>
      <c r="F308" s="69"/>
      <c r="G308" s="69"/>
      <c r="H308" s="69"/>
      <c r="I308" s="69"/>
      <c r="J308" s="69"/>
      <c r="K308" s="208"/>
      <c r="L308" s="69"/>
      <c r="M308" s="69"/>
      <c r="N308" s="69"/>
      <c r="O308" s="69"/>
      <c r="P308" s="69"/>
    </row>
    <row r="309" spans="1:16" x14ac:dyDescent="0.25">
      <c r="A309" s="69">
        <v>637003</v>
      </c>
      <c r="B309" s="207">
        <f>VLOOKUP(A309,pravidla_SDcast!$A$1:$D$458,4,FALSE)</f>
        <v>25</v>
      </c>
      <c r="C309" s="69" t="s">
        <v>411</v>
      </c>
      <c r="D309" s="69"/>
      <c r="E309" s="69"/>
      <c r="F309" s="69"/>
      <c r="G309" s="69"/>
      <c r="H309" s="69"/>
      <c r="I309" s="69"/>
      <c r="J309" s="69"/>
      <c r="K309" s="208"/>
      <c r="L309" s="69"/>
      <c r="M309" s="69"/>
      <c r="N309" s="69"/>
      <c r="O309" s="69"/>
      <c r="P309" s="69"/>
    </row>
    <row r="310" spans="1:16" x14ac:dyDescent="0.25">
      <c r="A310" s="69">
        <v>637004</v>
      </c>
      <c r="B310" s="207" t="str">
        <f>VLOOKUP(A310,pravidla_SDcast!$A$1:$D$458,4,FALSE)</f>
        <v>data</v>
      </c>
      <c r="C310" s="69" t="s">
        <v>412</v>
      </c>
      <c r="D310" s="69"/>
      <c r="E310" s="69"/>
      <c r="F310" s="69"/>
      <c r="G310" s="69"/>
      <c r="H310" s="69"/>
      <c r="I310" s="69"/>
      <c r="J310" s="69"/>
      <c r="K310" s="208"/>
      <c r="L310" s="69"/>
      <c r="M310" s="69"/>
      <c r="N310" s="69"/>
      <c r="O310" s="69"/>
      <c r="P310" s="69"/>
    </row>
    <row r="311" spans="1:16" x14ac:dyDescent="0.25">
      <c r="A311" s="69">
        <v>637005</v>
      </c>
      <c r="B311" s="207">
        <f>VLOOKUP(A311,pravidla_SDcast!$A$1:$D$458,4,FALSE)</f>
        <v>6</v>
      </c>
      <c r="C311" s="69" t="s">
        <v>413</v>
      </c>
      <c r="D311" s="69"/>
      <c r="E311" s="69"/>
      <c r="F311" s="69"/>
      <c r="G311" s="69"/>
      <c r="H311" s="69"/>
      <c r="I311" s="69"/>
      <c r="J311" s="69"/>
      <c r="K311" s="208"/>
      <c r="L311" s="69"/>
      <c r="M311" s="69"/>
      <c r="N311" s="69"/>
      <c r="O311" s="69"/>
      <c r="P311" s="69"/>
    </row>
    <row r="312" spans="1:16" x14ac:dyDescent="0.25">
      <c r="A312" s="69">
        <v>637006</v>
      </c>
      <c r="B312" s="207">
        <f>VLOOKUP(A312,pravidla_SDcast!$A$1:$D$458,4,FALSE)</f>
        <v>25</v>
      </c>
      <c r="C312" s="69" t="s">
        <v>414</v>
      </c>
      <c r="D312" s="69"/>
      <c r="E312" s="69"/>
      <c r="F312" s="69"/>
      <c r="G312" s="69"/>
      <c r="H312" s="69"/>
      <c r="I312" s="69"/>
      <c r="J312" s="69"/>
      <c r="K312" s="208"/>
      <c r="L312" s="69"/>
      <c r="M312" s="69"/>
      <c r="N312" s="69"/>
      <c r="O312" s="69"/>
      <c r="P312" s="69"/>
    </row>
    <row r="313" spans="1:16" x14ac:dyDescent="0.25">
      <c r="A313" s="69">
        <v>637007</v>
      </c>
      <c r="B313" s="207">
        <f>VLOOKUP(A313,pravidla_SDcast!$A$1:$D$458,4,FALSE)</f>
        <v>25</v>
      </c>
      <c r="C313" s="69" t="s">
        <v>359</v>
      </c>
      <c r="D313" s="69"/>
      <c r="E313" s="69"/>
      <c r="F313" s="69"/>
      <c r="G313" s="69"/>
      <c r="H313" s="69"/>
      <c r="I313" s="69"/>
      <c r="J313" s="69"/>
      <c r="K313" s="208"/>
      <c r="L313" s="69"/>
      <c r="M313" s="69"/>
      <c r="N313" s="69"/>
      <c r="O313" s="69"/>
      <c r="P313" s="69"/>
    </row>
    <row r="314" spans="1:16" x14ac:dyDescent="0.25">
      <c r="A314" s="69">
        <v>637008</v>
      </c>
      <c r="B314" s="207" t="str">
        <f>VLOOKUP(A314,pravidla_SDcast!$A$1:$D$458,4,FALSE)</f>
        <v>data</v>
      </c>
      <c r="C314" s="69" t="s">
        <v>832</v>
      </c>
      <c r="D314" s="69"/>
      <c r="E314" s="69"/>
      <c r="F314" s="69"/>
      <c r="G314" s="69"/>
      <c r="H314" s="69"/>
      <c r="I314" s="69"/>
      <c r="J314" s="69"/>
      <c r="K314" s="208"/>
      <c r="L314" s="69"/>
      <c r="M314" s="69"/>
      <c r="N314" s="69"/>
      <c r="O314" s="69"/>
      <c r="P314" s="69"/>
    </row>
    <row r="315" spans="1:16" x14ac:dyDescent="0.25">
      <c r="A315" s="69">
        <v>637009</v>
      </c>
      <c r="B315" s="207">
        <f>VLOOKUP(A315,pravidla_SDcast!$A$1:$D$458,4,FALSE)</f>
        <v>39</v>
      </c>
      <c r="C315" s="69" t="s">
        <v>416</v>
      </c>
      <c r="D315" s="69"/>
      <c r="E315" s="69"/>
      <c r="F315" s="69"/>
      <c r="G315" s="69"/>
      <c r="H315" s="69"/>
      <c r="I315" s="69"/>
      <c r="J315" s="69"/>
      <c r="K315" s="208"/>
      <c r="L315" s="69"/>
      <c r="M315" s="69"/>
      <c r="N315" s="69"/>
      <c r="O315" s="69"/>
      <c r="P315" s="69"/>
    </row>
    <row r="316" spans="1:16" x14ac:dyDescent="0.25">
      <c r="A316" s="69">
        <v>637010</v>
      </c>
      <c r="B316" s="207">
        <f>VLOOKUP(A316,pravidla_SDcast!$A$1:$D$458,4,FALSE)</f>
        <v>25</v>
      </c>
      <c r="C316" s="69" t="s">
        <v>417</v>
      </c>
      <c r="D316" s="69"/>
      <c r="E316" s="69"/>
      <c r="F316" s="69"/>
      <c r="G316" s="69"/>
      <c r="H316" s="69"/>
      <c r="I316" s="69"/>
      <c r="J316" s="69"/>
      <c r="K316" s="208"/>
      <c r="L316" s="69"/>
      <c r="M316" s="69"/>
      <c r="N316" s="69"/>
      <c r="O316" s="69"/>
      <c r="P316" s="69"/>
    </row>
    <row r="317" spans="1:16" x14ac:dyDescent="0.25">
      <c r="A317" s="69">
        <v>637011</v>
      </c>
      <c r="B317" s="207" t="str">
        <f>VLOOKUP(A317,pravidla_SDcast!$A$1:$D$458,4,FALSE)</f>
        <v>data</v>
      </c>
      <c r="C317" s="69" t="s">
        <v>418</v>
      </c>
      <c r="D317" s="69"/>
      <c r="E317" s="69"/>
      <c r="F317" s="69"/>
      <c r="G317" s="69"/>
      <c r="H317" s="69"/>
      <c r="I317" s="69"/>
      <c r="J317" s="69"/>
      <c r="K317" s="208"/>
      <c r="L317" s="69"/>
      <c r="M317" s="69"/>
      <c r="N317" s="69"/>
      <c r="O317" s="69"/>
      <c r="P317" s="69"/>
    </row>
    <row r="318" spans="1:16" x14ac:dyDescent="0.25">
      <c r="A318" s="69">
        <v>637012</v>
      </c>
      <c r="B318" s="207" t="str">
        <f>VLOOKUP(A318,pravidla_SDcast!$A$1:$D$458,4,FALSE)</f>
        <v>data</v>
      </c>
      <c r="C318" s="69" t="s">
        <v>161</v>
      </c>
      <c r="D318" s="69"/>
      <c r="E318" s="69"/>
      <c r="F318" s="69"/>
      <c r="G318" s="69"/>
      <c r="H318" s="69"/>
      <c r="I318" s="69"/>
      <c r="J318" s="69"/>
      <c r="K318" s="208"/>
      <c r="L318" s="69"/>
      <c r="M318" s="69"/>
      <c r="N318" s="69"/>
      <c r="O318" s="69"/>
      <c r="P318" s="69"/>
    </row>
    <row r="319" spans="1:16" x14ac:dyDescent="0.25">
      <c r="A319" s="69">
        <v>637013</v>
      </c>
      <c r="B319" s="207">
        <f>VLOOKUP(A319,pravidla_SDcast!$A$1:$D$458,4,FALSE)</f>
        <v>39</v>
      </c>
      <c r="C319" s="69" t="s">
        <v>419</v>
      </c>
      <c r="D319" s="69"/>
      <c r="E319" s="69"/>
      <c r="F319" s="69"/>
      <c r="G319" s="69"/>
      <c r="H319" s="69"/>
      <c r="I319" s="69"/>
      <c r="J319" s="69"/>
      <c r="K319" s="208"/>
      <c r="L319" s="69"/>
      <c r="M319" s="69"/>
      <c r="N319" s="69"/>
      <c r="O319" s="69"/>
      <c r="P319" s="69"/>
    </row>
    <row r="320" spans="1:16" x14ac:dyDescent="0.25">
      <c r="A320" s="69">
        <v>637014</v>
      </c>
      <c r="B320" s="207">
        <f>VLOOKUP(A320,pravidla_SDcast!$A$1:$D$458,4,FALSE)</f>
        <v>25</v>
      </c>
      <c r="C320" s="69" t="s">
        <v>420</v>
      </c>
      <c r="D320" s="69"/>
      <c r="E320" s="69"/>
      <c r="F320" s="69"/>
      <c r="G320" s="69"/>
      <c r="H320" s="69"/>
      <c r="I320" s="69"/>
      <c r="J320" s="69"/>
      <c r="K320" s="208"/>
      <c r="L320" s="69"/>
      <c r="M320" s="69"/>
      <c r="N320" s="69"/>
      <c r="O320" s="69"/>
      <c r="P320" s="69"/>
    </row>
    <row r="321" spans="1:16" x14ac:dyDescent="0.25">
      <c r="A321" s="69">
        <v>637015</v>
      </c>
      <c r="B321" s="207">
        <f>VLOOKUP(A321,pravidla_SDcast!$A$1:$D$458,4,FALSE)</f>
        <v>25</v>
      </c>
      <c r="C321" s="69" t="s">
        <v>260</v>
      </c>
      <c r="D321" s="69"/>
      <c r="E321" s="69"/>
      <c r="F321" s="69"/>
      <c r="G321" s="69"/>
      <c r="H321" s="69"/>
      <c r="I321" s="69"/>
      <c r="J321" s="69"/>
      <c r="K321" s="208"/>
      <c r="L321" s="69"/>
      <c r="M321" s="69"/>
      <c r="N321" s="69"/>
      <c r="O321" s="69"/>
      <c r="P321" s="69"/>
    </row>
    <row r="322" spans="1:16" x14ac:dyDescent="0.25">
      <c r="A322" s="69">
        <v>637016</v>
      </c>
      <c r="B322" s="207">
        <f>VLOOKUP(A322,pravidla_SDcast!$A$1:$D$458,4,FALSE)</f>
        <v>39</v>
      </c>
      <c r="C322" s="69" t="s">
        <v>421</v>
      </c>
      <c r="D322" s="69"/>
      <c r="E322" s="69"/>
      <c r="F322" s="69"/>
      <c r="G322" s="69"/>
      <c r="H322" s="69"/>
      <c r="I322" s="69"/>
      <c r="J322" s="69"/>
      <c r="K322" s="208"/>
      <c r="L322" s="69"/>
      <c r="M322" s="69"/>
      <c r="N322" s="69"/>
      <c r="O322" s="69"/>
      <c r="P322" s="69"/>
    </row>
    <row r="323" spans="1:16" x14ac:dyDescent="0.25">
      <c r="A323" s="69">
        <v>637017</v>
      </c>
      <c r="B323" s="207">
        <f>VLOOKUP(A323,pravidla_SDcast!$A$1:$D$458,4,FALSE)</f>
        <v>25</v>
      </c>
      <c r="C323" s="69" t="s">
        <v>422</v>
      </c>
      <c r="D323" s="69"/>
      <c r="E323" s="69"/>
      <c r="F323" s="69"/>
      <c r="G323" s="69"/>
      <c r="H323" s="69"/>
      <c r="I323" s="69"/>
      <c r="J323" s="69"/>
      <c r="K323" s="208"/>
      <c r="L323" s="69"/>
      <c r="M323" s="69"/>
      <c r="N323" s="69"/>
      <c r="O323" s="69"/>
      <c r="P323" s="69"/>
    </row>
    <row r="324" spans="1:16" x14ac:dyDescent="0.25">
      <c r="A324" s="69">
        <v>637018</v>
      </c>
      <c r="B324" s="207">
        <f>VLOOKUP(A324,pravidla_SDcast!$A$1:$D$458,4,FALSE)</f>
        <v>9</v>
      </c>
      <c r="C324" s="69" t="s">
        <v>423</v>
      </c>
      <c r="D324" s="69"/>
      <c r="E324" s="69"/>
      <c r="F324" s="69"/>
      <c r="G324" s="69"/>
      <c r="H324" s="69"/>
      <c r="I324" s="69"/>
      <c r="J324" s="69"/>
      <c r="K324" s="208"/>
      <c r="L324" s="69"/>
      <c r="M324" s="69"/>
      <c r="N324" s="69"/>
      <c r="O324" s="69"/>
      <c r="P324" s="69"/>
    </row>
    <row r="325" spans="1:16" x14ac:dyDescent="0.25">
      <c r="A325" s="69">
        <v>637019</v>
      </c>
      <c r="B325" s="207">
        <f>VLOOKUP(A325,pravidla_SDcast!$A$1:$D$458,4,FALSE)</f>
        <v>25</v>
      </c>
      <c r="C325" s="69" t="s">
        <v>424</v>
      </c>
      <c r="D325" s="69"/>
      <c r="E325" s="69"/>
      <c r="F325" s="69"/>
      <c r="G325" s="69"/>
      <c r="H325" s="69"/>
      <c r="I325" s="69"/>
      <c r="J325" s="69"/>
      <c r="K325" s="208"/>
      <c r="L325" s="69"/>
      <c r="M325" s="69"/>
      <c r="N325" s="69"/>
      <c r="O325" s="69"/>
      <c r="P325" s="69"/>
    </row>
    <row r="326" spans="1:16" x14ac:dyDescent="0.25">
      <c r="A326" s="69">
        <v>637020</v>
      </c>
      <c r="B326" s="207">
        <f>VLOOKUP(A326,pravidla_SDcast!$A$1:$D$458,4,FALSE)</f>
        <v>9</v>
      </c>
      <c r="C326" s="69" t="s">
        <v>425</v>
      </c>
      <c r="D326" s="69"/>
      <c r="E326" s="69"/>
      <c r="F326" s="69"/>
      <c r="G326" s="69"/>
      <c r="H326" s="69"/>
      <c r="I326" s="69"/>
      <c r="J326" s="69"/>
      <c r="K326" s="208"/>
      <c r="L326" s="69"/>
      <c r="M326" s="69"/>
      <c r="N326" s="69"/>
      <c r="O326" s="69"/>
      <c r="P326" s="69"/>
    </row>
    <row r="327" spans="1:16" x14ac:dyDescent="0.25">
      <c r="A327" s="69">
        <v>637021</v>
      </c>
      <c r="B327" s="207">
        <f>VLOOKUP(A327,pravidla_SDcast!$A$1:$D$458,4,FALSE)</f>
        <v>25</v>
      </c>
      <c r="C327" s="69" t="s">
        <v>426</v>
      </c>
      <c r="D327" s="69"/>
      <c r="E327" s="69"/>
      <c r="F327" s="69"/>
      <c r="G327" s="69"/>
      <c r="H327" s="69"/>
      <c r="I327" s="69"/>
      <c r="J327" s="69"/>
      <c r="K327" s="208"/>
      <c r="L327" s="69"/>
      <c r="M327" s="69"/>
      <c r="N327" s="69"/>
      <c r="O327" s="69"/>
      <c r="P327" s="69"/>
    </row>
    <row r="328" spans="1:16" x14ac:dyDescent="0.25">
      <c r="A328" s="69">
        <v>637022</v>
      </c>
      <c r="B328" s="207">
        <f>VLOOKUP(A328,pravidla_SDcast!$A$1:$D$458,4,FALSE)</f>
        <v>25</v>
      </c>
      <c r="C328" s="69" t="s">
        <v>427</v>
      </c>
      <c r="D328" s="69"/>
      <c r="E328" s="69"/>
      <c r="F328" s="69"/>
      <c r="G328" s="69"/>
      <c r="H328" s="69"/>
      <c r="I328" s="69"/>
      <c r="J328" s="69"/>
      <c r="K328" s="208"/>
      <c r="L328" s="69"/>
      <c r="M328" s="69"/>
      <c r="N328" s="69"/>
      <c r="O328" s="69"/>
      <c r="P328" s="69"/>
    </row>
    <row r="329" spans="1:16" x14ac:dyDescent="0.25">
      <c r="A329" s="69">
        <v>637023</v>
      </c>
      <c r="B329" s="207">
        <f>VLOOKUP(A329,pravidla_SDcast!$A$1:$D$458,4,FALSE)</f>
        <v>22</v>
      </c>
      <c r="C329" s="69" t="s">
        <v>428</v>
      </c>
      <c r="D329" s="69"/>
      <c r="E329" s="69"/>
      <c r="F329" s="69"/>
      <c r="G329" s="69"/>
      <c r="H329" s="69"/>
      <c r="I329" s="69"/>
      <c r="J329" s="69"/>
      <c r="K329" s="208"/>
      <c r="L329" s="69"/>
      <c r="M329" s="69"/>
      <c r="N329" s="69"/>
      <c r="O329" s="69"/>
      <c r="P329" s="69"/>
    </row>
    <row r="330" spans="1:16" x14ac:dyDescent="0.25">
      <c r="A330" s="69">
        <v>637024</v>
      </c>
      <c r="B330" s="207">
        <f>VLOOKUP(A330,pravidla_SDcast!$A$1:$D$458,4,FALSE)</f>
        <v>2</v>
      </c>
      <c r="C330" s="69" t="s">
        <v>429</v>
      </c>
      <c r="D330" s="69"/>
      <c r="E330" s="69"/>
      <c r="F330" s="69"/>
      <c r="G330" s="69"/>
      <c r="H330" s="69"/>
      <c r="I330" s="69"/>
      <c r="J330" s="69"/>
      <c r="K330" s="208"/>
      <c r="L330" s="69"/>
      <c r="M330" s="69"/>
      <c r="N330" s="69"/>
      <c r="O330" s="69"/>
      <c r="P330" s="69"/>
    </row>
    <row r="331" spans="1:16" x14ac:dyDescent="0.25">
      <c r="A331" s="69">
        <v>637025</v>
      </c>
      <c r="B331" s="207">
        <f>VLOOKUP(A331,pravidla_SDcast!$A$1:$D$458,4,FALSE)</f>
        <v>9</v>
      </c>
      <c r="C331" s="69" t="s">
        <v>430</v>
      </c>
      <c r="D331" s="69"/>
      <c r="E331" s="69"/>
      <c r="F331" s="69"/>
      <c r="G331" s="69"/>
      <c r="H331" s="69"/>
      <c r="I331" s="69"/>
      <c r="J331" s="69"/>
      <c r="K331" s="208"/>
      <c r="L331" s="69"/>
      <c r="M331" s="69"/>
      <c r="N331" s="69"/>
      <c r="O331" s="69"/>
      <c r="P331" s="69"/>
    </row>
    <row r="332" spans="1:16" x14ac:dyDescent="0.25">
      <c r="A332" s="69">
        <v>637026</v>
      </c>
      <c r="B332" s="207">
        <f>VLOOKUP(A332,pravidla_SDcast!$A$1:$D$458,4,FALSE)</f>
        <v>39</v>
      </c>
      <c r="C332" s="69" t="s">
        <v>833</v>
      </c>
      <c r="D332" s="69"/>
      <c r="E332" s="69"/>
      <c r="F332" s="69"/>
      <c r="G332" s="69"/>
      <c r="H332" s="69"/>
      <c r="I332" s="69"/>
      <c r="J332" s="69"/>
      <c r="K332" s="208"/>
      <c r="L332" s="69"/>
      <c r="M332" s="69"/>
      <c r="N332" s="69"/>
      <c r="O332" s="69"/>
      <c r="P332" s="69"/>
    </row>
    <row r="333" spans="1:16" x14ac:dyDescent="0.25">
      <c r="A333" s="69">
        <v>637027</v>
      </c>
      <c r="B333" s="207">
        <f>VLOOKUP(A333,pravidla_SDcast!$A$1:$D$458,4,FALSE)</f>
        <v>39</v>
      </c>
      <c r="C333" s="69" t="s">
        <v>432</v>
      </c>
      <c r="D333" s="69"/>
      <c r="E333" s="69"/>
      <c r="F333" s="69"/>
      <c r="G333" s="69"/>
      <c r="H333" s="69"/>
      <c r="I333" s="69"/>
      <c r="J333" s="69"/>
      <c r="K333" s="208"/>
      <c r="L333" s="69"/>
      <c r="M333" s="69"/>
      <c r="N333" s="69"/>
      <c r="O333" s="69"/>
      <c r="P333" s="69"/>
    </row>
    <row r="334" spans="1:16" x14ac:dyDescent="0.25">
      <c r="A334" s="69">
        <v>637028</v>
      </c>
      <c r="B334" s="207">
        <f>VLOOKUP(A334,pravidla_SDcast!$A$1:$D$458,4,FALSE)</f>
        <v>9</v>
      </c>
      <c r="C334" s="69" t="s">
        <v>433</v>
      </c>
      <c r="D334" s="69"/>
      <c r="E334" s="69"/>
      <c r="F334" s="69"/>
      <c r="G334" s="69"/>
      <c r="H334" s="69"/>
      <c r="I334" s="69"/>
      <c r="J334" s="69"/>
      <c r="K334" s="208"/>
      <c r="L334" s="69"/>
      <c r="M334" s="69"/>
      <c r="N334" s="69"/>
      <c r="O334" s="69"/>
      <c r="P334" s="69"/>
    </row>
    <row r="335" spans="1:16" x14ac:dyDescent="0.25">
      <c r="A335" s="69">
        <v>637029</v>
      </c>
      <c r="B335" s="207">
        <f>VLOOKUP(A335,pravidla_SDcast!$A$1:$D$458,4,FALSE)</f>
        <v>9</v>
      </c>
      <c r="C335" s="69" t="s">
        <v>434</v>
      </c>
      <c r="D335" s="69"/>
      <c r="E335" s="69"/>
      <c r="F335" s="69"/>
      <c r="G335" s="69"/>
      <c r="H335" s="69"/>
      <c r="I335" s="69"/>
      <c r="J335" s="69"/>
      <c r="K335" s="208"/>
      <c r="L335" s="69"/>
      <c r="M335" s="69"/>
      <c r="N335" s="69"/>
      <c r="O335" s="69"/>
      <c r="P335" s="69"/>
    </row>
    <row r="336" spans="1:16" x14ac:dyDescent="0.25">
      <c r="A336" s="69">
        <v>637030</v>
      </c>
      <c r="B336" s="207">
        <f>VLOOKUP(A336,pravidla_SDcast!$A$1:$D$458,4,FALSE)</f>
        <v>9</v>
      </c>
      <c r="C336" s="69" t="s">
        <v>435</v>
      </c>
      <c r="D336" s="69"/>
      <c r="E336" s="69"/>
      <c r="F336" s="69"/>
      <c r="G336" s="69"/>
      <c r="H336" s="69"/>
      <c r="I336" s="69"/>
      <c r="J336" s="69"/>
      <c r="K336" s="208"/>
      <c r="L336" s="69"/>
      <c r="M336" s="69"/>
      <c r="N336" s="69"/>
      <c r="O336" s="69"/>
      <c r="P336" s="69"/>
    </row>
    <row r="337" spans="1:16" x14ac:dyDescent="0.25">
      <c r="A337" s="69">
        <v>637031</v>
      </c>
      <c r="B337" s="207">
        <f>VLOOKUP(A337,pravidla_SDcast!$A$1:$D$458,4,FALSE)</f>
        <v>9</v>
      </c>
      <c r="C337" s="69" t="s">
        <v>436</v>
      </c>
      <c r="D337" s="69"/>
      <c r="E337" s="69"/>
      <c r="F337" s="69"/>
      <c r="G337" s="69"/>
      <c r="H337" s="69"/>
      <c r="I337" s="69"/>
      <c r="J337" s="69"/>
      <c r="K337" s="208"/>
      <c r="L337" s="69"/>
      <c r="M337" s="69"/>
      <c r="N337" s="69"/>
      <c r="O337" s="69"/>
      <c r="P337" s="69"/>
    </row>
    <row r="338" spans="1:16" x14ac:dyDescent="0.25">
      <c r="A338" s="69">
        <v>637032</v>
      </c>
      <c r="B338" s="207">
        <f>VLOOKUP(A338,pravidla_SDcast!$A$1:$D$458,4,FALSE)</f>
        <v>9</v>
      </c>
      <c r="C338" s="69" t="s">
        <v>437</v>
      </c>
      <c r="D338" s="69"/>
      <c r="E338" s="69"/>
      <c r="F338" s="69"/>
      <c r="G338" s="69"/>
      <c r="H338" s="69"/>
      <c r="I338" s="69"/>
      <c r="J338" s="69"/>
      <c r="K338" s="208"/>
      <c r="L338" s="69"/>
      <c r="M338" s="69"/>
      <c r="N338" s="69"/>
      <c r="O338" s="69"/>
      <c r="P338" s="69"/>
    </row>
    <row r="339" spans="1:16" x14ac:dyDescent="0.25">
      <c r="A339" s="69">
        <v>637033</v>
      </c>
      <c r="B339" s="207">
        <f>VLOOKUP(A339,pravidla_SDcast!$A$1:$D$458,4,FALSE)</f>
        <v>9</v>
      </c>
      <c r="C339" s="69" t="s">
        <v>438</v>
      </c>
      <c r="D339" s="69"/>
      <c r="E339" s="69"/>
      <c r="F339" s="69"/>
      <c r="G339" s="69"/>
      <c r="H339" s="69"/>
      <c r="I339" s="69"/>
      <c r="J339" s="69"/>
      <c r="K339" s="208"/>
      <c r="L339" s="69"/>
      <c r="M339" s="69"/>
      <c r="N339" s="69"/>
      <c r="O339" s="69"/>
      <c r="P339" s="69"/>
    </row>
    <row r="340" spans="1:16" x14ac:dyDescent="0.25">
      <c r="A340" s="69">
        <v>637034</v>
      </c>
      <c r="B340" s="207" t="str">
        <f>VLOOKUP(A340,pravidla_SDcast!$A$1:$D$458,4,FALSE)</f>
        <v>data</v>
      </c>
      <c r="C340" s="69" t="s">
        <v>143</v>
      </c>
      <c r="D340" s="69"/>
      <c r="E340" s="69"/>
      <c r="F340" s="69"/>
      <c r="G340" s="69"/>
      <c r="H340" s="69"/>
      <c r="I340" s="69"/>
      <c r="J340" s="69"/>
      <c r="K340" s="208"/>
      <c r="L340" s="69"/>
      <c r="M340" s="69"/>
      <c r="N340" s="69"/>
      <c r="O340" s="69"/>
      <c r="P340" s="69"/>
    </row>
    <row r="341" spans="1:16" x14ac:dyDescent="0.25">
      <c r="A341" s="69">
        <v>637035</v>
      </c>
      <c r="B341" s="207">
        <f>VLOOKUP(A341,pravidla_SDcast!$A$1:$D$458,4,FALSE)</f>
        <v>25</v>
      </c>
      <c r="C341" s="69" t="s">
        <v>439</v>
      </c>
      <c r="D341" s="69"/>
      <c r="E341" s="69"/>
      <c r="F341" s="69"/>
      <c r="G341" s="69"/>
      <c r="H341" s="69"/>
      <c r="I341" s="69"/>
      <c r="J341" s="69"/>
      <c r="K341" s="208"/>
      <c r="L341" s="69"/>
      <c r="M341" s="69"/>
      <c r="N341" s="69"/>
      <c r="O341" s="69"/>
      <c r="P341" s="69"/>
    </row>
    <row r="342" spans="1:16" x14ac:dyDescent="0.25">
      <c r="A342" s="69">
        <v>637036</v>
      </c>
      <c r="B342" s="207">
        <f>VLOOKUP(A342,pravidla_SDcast!$A$1:$D$458,4,FALSE)</f>
        <v>25</v>
      </c>
      <c r="C342" s="69" t="s">
        <v>440</v>
      </c>
      <c r="D342" s="69"/>
      <c r="E342" s="69"/>
      <c r="F342" s="69"/>
      <c r="G342" s="69"/>
      <c r="H342" s="69"/>
      <c r="I342" s="69"/>
      <c r="J342" s="69"/>
      <c r="K342" s="208"/>
      <c r="L342" s="69"/>
      <c r="M342" s="69"/>
      <c r="N342" s="69"/>
      <c r="O342" s="69"/>
      <c r="P342" s="69"/>
    </row>
    <row r="343" spans="1:16" x14ac:dyDescent="0.25">
      <c r="A343" s="69">
        <v>637037</v>
      </c>
      <c r="B343" s="207">
        <f>VLOOKUP(A343,pravidla_SDcast!$A$1:$D$458,4,FALSE)</f>
        <v>9</v>
      </c>
      <c r="C343" s="69" t="s">
        <v>441</v>
      </c>
      <c r="D343" s="69"/>
      <c r="E343" s="69"/>
      <c r="F343" s="69"/>
      <c r="G343" s="69"/>
      <c r="H343" s="69"/>
      <c r="I343" s="69"/>
      <c r="J343" s="69"/>
      <c r="K343" s="208"/>
      <c r="L343" s="69"/>
      <c r="M343" s="69"/>
      <c r="N343" s="69"/>
      <c r="O343" s="69"/>
      <c r="P343" s="69"/>
    </row>
    <row r="344" spans="1:16" x14ac:dyDescent="0.25">
      <c r="A344" s="69">
        <v>637200</v>
      </c>
      <c r="B344" s="207">
        <f>VLOOKUP(A344,pravidla_SDcast!$A$1:$D$458,4,FALSE)</f>
        <v>9</v>
      </c>
      <c r="C344" s="69" t="s">
        <v>146</v>
      </c>
      <c r="D344" s="69"/>
      <c r="E344" s="69"/>
      <c r="F344" s="69"/>
      <c r="G344" s="69"/>
      <c r="H344" s="69"/>
      <c r="I344" s="69"/>
      <c r="J344" s="69"/>
      <c r="K344" s="208"/>
      <c r="L344" s="69"/>
      <c r="M344" s="69"/>
      <c r="N344" s="69"/>
      <c r="O344" s="69"/>
      <c r="P344" s="69"/>
    </row>
    <row r="345" spans="1:16" x14ac:dyDescent="0.25">
      <c r="A345" s="69">
        <v>640000</v>
      </c>
      <c r="B345" s="207" t="e">
        <f>VLOOKUP(A345,pravidla_SDcast!$A$1:$D$458,4,FALSE)</f>
        <v>#N/A</v>
      </c>
      <c r="C345" s="69" t="s">
        <v>834</v>
      </c>
      <c r="D345" s="69"/>
      <c r="E345" s="69"/>
      <c r="F345" s="69"/>
      <c r="G345" s="69"/>
      <c r="H345" s="69"/>
      <c r="I345" s="69"/>
      <c r="J345" s="69"/>
      <c r="K345" s="208"/>
      <c r="L345" s="69"/>
      <c r="M345" s="69"/>
      <c r="N345" s="69"/>
      <c r="O345" s="69"/>
      <c r="P345" s="69"/>
    </row>
    <row r="346" spans="1:16" x14ac:dyDescent="0.25">
      <c r="A346" s="69">
        <v>641000</v>
      </c>
      <c r="B346" s="207">
        <f>VLOOKUP(A346,pravidla_SDcast!$A$1:$D$458,4,FALSE)</f>
        <v>2</v>
      </c>
      <c r="C346" s="69" t="s">
        <v>328</v>
      </c>
      <c r="D346" s="69"/>
      <c r="E346" s="69"/>
      <c r="F346" s="69"/>
      <c r="G346" s="69"/>
      <c r="H346" s="69"/>
      <c r="I346" s="69"/>
      <c r="J346" s="69"/>
      <c r="K346" s="208"/>
      <c r="L346" s="69"/>
      <c r="M346" s="69"/>
      <c r="N346" s="69"/>
      <c r="O346" s="69"/>
      <c r="P346" s="69"/>
    </row>
    <row r="347" spans="1:16" x14ac:dyDescent="0.25">
      <c r="A347" s="69">
        <v>641001</v>
      </c>
      <c r="B347" s="207">
        <f>VLOOKUP(A347,pravidla_SDcast!$A$1:$D$458,4,FALSE)</f>
        <v>2</v>
      </c>
      <c r="C347" s="69" t="s">
        <v>610</v>
      </c>
      <c r="D347" s="69"/>
      <c r="E347" s="69"/>
      <c r="F347" s="69"/>
      <c r="G347" s="69"/>
      <c r="H347" s="69"/>
      <c r="I347" s="69"/>
      <c r="J347" s="69"/>
      <c r="K347" s="208"/>
      <c r="L347" s="69"/>
      <c r="M347" s="69"/>
      <c r="N347" s="69"/>
      <c r="O347" s="69"/>
      <c r="P347" s="69"/>
    </row>
    <row r="348" spans="1:16" x14ac:dyDescent="0.25">
      <c r="A348" s="69">
        <v>641002</v>
      </c>
      <c r="B348" s="207">
        <f>VLOOKUP(A348,pravidla_SDcast!$A$1:$D$458,4,FALSE)</f>
        <v>2</v>
      </c>
      <c r="C348" s="69" t="s">
        <v>611</v>
      </c>
      <c r="D348" s="69"/>
      <c r="E348" s="69"/>
      <c r="F348" s="69"/>
      <c r="G348" s="69"/>
      <c r="H348" s="69"/>
      <c r="I348" s="69"/>
      <c r="J348" s="69"/>
      <c r="K348" s="208"/>
      <c r="L348" s="69"/>
      <c r="M348" s="69"/>
      <c r="N348" s="69"/>
      <c r="O348" s="69"/>
      <c r="P348" s="69"/>
    </row>
    <row r="349" spans="1:16" x14ac:dyDescent="0.25">
      <c r="A349" s="69">
        <v>641003</v>
      </c>
      <c r="B349" s="207">
        <f>VLOOKUP(A349,pravidla_SDcast!$A$1:$D$458,4,FALSE)</f>
        <v>2</v>
      </c>
      <c r="C349" s="69" t="s">
        <v>612</v>
      </c>
      <c r="D349" s="69"/>
      <c r="E349" s="69"/>
      <c r="F349" s="69"/>
      <c r="G349" s="69"/>
      <c r="H349" s="69"/>
      <c r="I349" s="69"/>
      <c r="J349" s="69"/>
      <c r="K349" s="208"/>
      <c r="L349" s="69"/>
      <c r="M349" s="69"/>
      <c r="N349" s="69"/>
      <c r="O349" s="69"/>
      <c r="P349" s="69"/>
    </row>
    <row r="350" spans="1:16" x14ac:dyDescent="0.25">
      <c r="A350" s="69">
        <v>641006</v>
      </c>
      <c r="B350" s="207">
        <f>VLOOKUP(A350,pravidla_SDcast!$A$1:$D$458,4,FALSE)</f>
        <v>2</v>
      </c>
      <c r="C350" s="69" t="s">
        <v>613</v>
      </c>
      <c r="D350" s="69"/>
      <c r="E350" s="69"/>
      <c r="F350" s="69"/>
      <c r="G350" s="69"/>
      <c r="H350" s="69"/>
      <c r="I350" s="69"/>
      <c r="J350" s="69"/>
      <c r="K350" s="208"/>
      <c r="L350" s="69"/>
      <c r="M350" s="69"/>
      <c r="N350" s="69"/>
      <c r="O350" s="69"/>
      <c r="P350" s="69"/>
    </row>
    <row r="351" spans="1:16" x14ac:dyDescent="0.25">
      <c r="A351" s="69">
        <v>641008</v>
      </c>
      <c r="B351" s="207">
        <f>VLOOKUP(A351,pravidla_SDcast!$A$1:$D$458,4,FALSE)</f>
        <v>2</v>
      </c>
      <c r="C351" s="69" t="s">
        <v>614</v>
      </c>
      <c r="D351" s="69"/>
      <c r="E351" s="69"/>
      <c r="F351" s="69"/>
      <c r="G351" s="69"/>
      <c r="H351" s="69"/>
      <c r="I351" s="69"/>
      <c r="J351" s="69"/>
      <c r="K351" s="208"/>
      <c r="L351" s="69"/>
      <c r="M351" s="69"/>
      <c r="N351" s="69"/>
      <c r="O351" s="69"/>
      <c r="P351" s="69"/>
    </row>
    <row r="352" spans="1:16" x14ac:dyDescent="0.25">
      <c r="A352" s="69">
        <v>641009</v>
      </c>
      <c r="B352" s="207">
        <f>VLOOKUP(A352,pravidla_SDcast!$A$1:$D$458,4,FALSE)</f>
        <v>2</v>
      </c>
      <c r="C352" s="69" t="s">
        <v>615</v>
      </c>
      <c r="D352" s="69"/>
      <c r="E352" s="69"/>
      <c r="F352" s="69"/>
      <c r="G352" s="69"/>
      <c r="H352" s="69"/>
      <c r="I352" s="69"/>
      <c r="J352" s="69"/>
      <c r="K352" s="208"/>
      <c r="L352" s="69"/>
      <c r="M352" s="69"/>
      <c r="N352" s="69"/>
      <c r="O352" s="69"/>
      <c r="P352" s="69"/>
    </row>
    <row r="353" spans="1:16" x14ac:dyDescent="0.25">
      <c r="A353" s="69">
        <v>641010</v>
      </c>
      <c r="B353" s="207">
        <f>VLOOKUP(A353,pravidla_SDcast!$A$1:$D$458,4,FALSE)</f>
        <v>2</v>
      </c>
      <c r="C353" s="69" t="s">
        <v>616</v>
      </c>
      <c r="D353" s="69"/>
      <c r="E353" s="69"/>
      <c r="F353" s="69"/>
      <c r="G353" s="69"/>
      <c r="H353" s="69"/>
      <c r="I353" s="69"/>
      <c r="J353" s="69"/>
      <c r="K353" s="208"/>
      <c r="L353" s="69"/>
      <c r="M353" s="69"/>
      <c r="N353" s="69"/>
      <c r="O353" s="69"/>
      <c r="P353" s="69"/>
    </row>
    <row r="354" spans="1:16" x14ac:dyDescent="0.25">
      <c r="A354" s="69">
        <v>641011</v>
      </c>
      <c r="B354" s="207">
        <f>VLOOKUP(A354,pravidla_SDcast!$A$1:$D$458,4,FALSE)</f>
        <v>2</v>
      </c>
      <c r="C354" s="69" t="s">
        <v>617</v>
      </c>
      <c r="D354" s="69"/>
      <c r="E354" s="69"/>
      <c r="F354" s="69"/>
      <c r="G354" s="69"/>
      <c r="H354" s="69"/>
      <c r="I354" s="69"/>
      <c r="J354" s="69"/>
      <c r="K354" s="208"/>
      <c r="L354" s="69"/>
      <c r="M354" s="69"/>
      <c r="N354" s="69"/>
      <c r="O354" s="69"/>
      <c r="P354" s="69"/>
    </row>
    <row r="355" spans="1:16" x14ac:dyDescent="0.25">
      <c r="A355" s="69">
        <v>641012</v>
      </c>
      <c r="B355" s="207">
        <f>VLOOKUP(A355,pravidla_SDcast!$A$1:$D$458,4,FALSE)</f>
        <v>2</v>
      </c>
      <c r="C355" s="69" t="s">
        <v>618</v>
      </c>
      <c r="D355" s="69"/>
      <c r="E355" s="69"/>
      <c r="F355" s="69"/>
      <c r="G355" s="69"/>
      <c r="H355" s="69"/>
      <c r="I355" s="69"/>
      <c r="J355" s="69"/>
      <c r="K355" s="208"/>
      <c r="L355" s="69"/>
      <c r="M355" s="69"/>
      <c r="N355" s="69"/>
      <c r="O355" s="69"/>
      <c r="P355" s="69"/>
    </row>
    <row r="356" spans="1:16" x14ac:dyDescent="0.25">
      <c r="A356" s="69">
        <v>641013</v>
      </c>
      <c r="B356" s="207">
        <f>VLOOKUP(A356,pravidla_SDcast!$A$1:$D$458,4,FALSE)</f>
        <v>2</v>
      </c>
      <c r="C356" s="69" t="s">
        <v>619</v>
      </c>
      <c r="D356" s="69"/>
      <c r="E356" s="69"/>
      <c r="F356" s="69"/>
      <c r="G356" s="69"/>
      <c r="H356" s="69"/>
      <c r="I356" s="69"/>
      <c r="J356" s="69"/>
      <c r="K356" s="208"/>
      <c r="L356" s="69"/>
      <c r="M356" s="69"/>
      <c r="N356" s="69"/>
      <c r="O356" s="69"/>
      <c r="P356" s="69"/>
    </row>
    <row r="357" spans="1:16" x14ac:dyDescent="0.25">
      <c r="A357" s="69">
        <v>641014</v>
      </c>
      <c r="B357" s="207">
        <f>VLOOKUP(A357,pravidla_SDcast!$A$1:$D$458,4,FALSE)</f>
        <v>2</v>
      </c>
      <c r="C357" s="69" t="s">
        <v>620</v>
      </c>
      <c r="D357" s="69"/>
      <c r="E357" s="69"/>
      <c r="F357" s="69"/>
      <c r="G357" s="69"/>
      <c r="H357" s="69"/>
      <c r="I357" s="69"/>
      <c r="J357" s="69"/>
      <c r="K357" s="208"/>
      <c r="L357" s="69"/>
      <c r="M357" s="69"/>
      <c r="N357" s="69"/>
      <c r="O357" s="69"/>
      <c r="P357" s="69"/>
    </row>
    <row r="358" spans="1:16" x14ac:dyDescent="0.25">
      <c r="A358" s="69">
        <v>642000</v>
      </c>
      <c r="B358" s="207">
        <f>VLOOKUP(A358,pravidla_SDcast!$A$1:$D$458,4,FALSE)</f>
        <v>25</v>
      </c>
      <c r="C358" s="69" t="s">
        <v>835</v>
      </c>
      <c r="D358" s="69"/>
      <c r="E358" s="69"/>
      <c r="F358" s="69"/>
      <c r="G358" s="69"/>
      <c r="H358" s="69"/>
      <c r="I358" s="69"/>
      <c r="J358" s="69"/>
      <c r="K358" s="208"/>
      <c r="L358" s="69"/>
      <c r="M358" s="69"/>
      <c r="N358" s="69"/>
      <c r="O358" s="69"/>
      <c r="P358" s="69"/>
    </row>
    <row r="359" spans="1:16" x14ac:dyDescent="0.25">
      <c r="A359" s="69">
        <v>642001</v>
      </c>
      <c r="B359" s="207">
        <f>VLOOKUP(A359,pravidla_SDcast!$A$1:$D$458,4,FALSE)</f>
        <v>6</v>
      </c>
      <c r="C359" s="69" t="s">
        <v>442</v>
      </c>
      <c r="D359" s="69"/>
      <c r="E359" s="69"/>
      <c r="F359" s="69"/>
      <c r="G359" s="69"/>
      <c r="H359" s="69"/>
      <c r="I359" s="69"/>
      <c r="J359" s="69"/>
      <c r="K359" s="208"/>
      <c r="L359" s="69"/>
      <c r="M359" s="69"/>
      <c r="N359" s="69"/>
      <c r="O359" s="69"/>
      <c r="P359" s="69"/>
    </row>
    <row r="360" spans="1:16" x14ac:dyDescent="0.25">
      <c r="A360" s="69">
        <v>642002</v>
      </c>
      <c r="B360" s="207">
        <f>VLOOKUP(A360,pravidla_SDcast!$A$1:$D$458,4,FALSE)</f>
        <v>6</v>
      </c>
      <c r="C360" s="69" t="s">
        <v>836</v>
      </c>
      <c r="D360" s="69"/>
      <c r="E360" s="69"/>
      <c r="F360" s="69"/>
      <c r="G360" s="69"/>
      <c r="H360" s="69"/>
      <c r="I360" s="69"/>
      <c r="J360" s="69"/>
      <c r="K360" s="208"/>
      <c r="L360" s="69"/>
      <c r="M360" s="69"/>
      <c r="N360" s="69"/>
      <c r="O360" s="69"/>
      <c r="P360" s="69"/>
    </row>
    <row r="361" spans="1:16" x14ac:dyDescent="0.25">
      <c r="A361" s="69">
        <v>642004</v>
      </c>
      <c r="B361" s="207">
        <f>VLOOKUP(A361,pravidla_SDcast!$A$1:$D$458,4,FALSE)</f>
        <v>24</v>
      </c>
      <c r="C361" s="69" t="s">
        <v>444</v>
      </c>
      <c r="D361" s="69"/>
      <c r="E361" s="69"/>
      <c r="F361" s="69"/>
      <c r="G361" s="69"/>
      <c r="H361" s="69"/>
      <c r="I361" s="69"/>
      <c r="J361" s="69"/>
      <c r="K361" s="208"/>
      <c r="L361" s="69"/>
      <c r="M361" s="69"/>
      <c r="N361" s="69"/>
      <c r="O361" s="69"/>
      <c r="P361" s="69"/>
    </row>
    <row r="362" spans="1:16" x14ac:dyDescent="0.25">
      <c r="A362" s="69">
        <v>642005</v>
      </c>
      <c r="B362" s="207">
        <f>VLOOKUP(A362,pravidla_SDcast!$A$1:$D$458,4,FALSE)</f>
        <v>24</v>
      </c>
      <c r="C362" s="69" t="s">
        <v>445</v>
      </c>
      <c r="D362" s="69"/>
      <c r="E362" s="69"/>
      <c r="F362" s="69"/>
      <c r="G362" s="69"/>
      <c r="H362" s="69"/>
      <c r="I362" s="69"/>
      <c r="J362" s="69"/>
      <c r="K362" s="208"/>
      <c r="L362" s="69"/>
      <c r="M362" s="69"/>
      <c r="N362" s="69"/>
      <c r="O362" s="69"/>
      <c r="P362" s="69"/>
    </row>
    <row r="363" spans="1:16" x14ac:dyDescent="0.25">
      <c r="A363" s="69">
        <v>642006</v>
      </c>
      <c r="B363" s="207">
        <f>VLOOKUP(A363,pravidla_SDcast!$A$1:$D$458,4,FALSE)</f>
        <v>25</v>
      </c>
      <c r="C363" s="69" t="s">
        <v>446</v>
      </c>
      <c r="D363" s="69"/>
      <c r="E363" s="69"/>
      <c r="F363" s="69"/>
      <c r="G363" s="69"/>
      <c r="H363" s="69"/>
      <c r="I363" s="69"/>
      <c r="J363" s="69"/>
      <c r="K363" s="208"/>
      <c r="L363" s="69"/>
      <c r="M363" s="69"/>
      <c r="N363" s="69"/>
      <c r="O363" s="69"/>
      <c r="P363" s="69"/>
    </row>
    <row r="364" spans="1:16" x14ac:dyDescent="0.25">
      <c r="A364" s="69">
        <v>642007</v>
      </c>
      <c r="B364" s="207">
        <f>VLOOKUP(A364,pravidla_SDcast!$A$1:$D$458,4,FALSE)</f>
        <v>6</v>
      </c>
      <c r="C364" s="69" t="s">
        <v>447</v>
      </c>
      <c r="D364" s="69"/>
      <c r="E364" s="69"/>
      <c r="F364" s="69"/>
      <c r="G364" s="69"/>
      <c r="H364" s="69"/>
      <c r="I364" s="69"/>
      <c r="J364" s="69"/>
      <c r="K364" s="208"/>
      <c r="L364" s="69"/>
      <c r="M364" s="69"/>
      <c r="N364" s="69"/>
      <c r="O364" s="69"/>
      <c r="P364" s="69"/>
    </row>
    <row r="365" spans="1:16" x14ac:dyDescent="0.25">
      <c r="A365" s="69">
        <v>642008</v>
      </c>
      <c r="B365" s="207" t="str">
        <f>VLOOKUP(A365,pravidla_SDcast!$A$1:$D$458,4,FALSE)</f>
        <v>data</v>
      </c>
      <c r="C365" s="69" t="s">
        <v>163</v>
      </c>
      <c r="D365" s="69"/>
      <c r="E365" s="69"/>
      <c r="F365" s="69"/>
      <c r="G365" s="69"/>
      <c r="H365" s="69"/>
      <c r="I365" s="69"/>
      <c r="J365" s="69"/>
      <c r="K365" s="208"/>
      <c r="L365" s="69"/>
      <c r="M365" s="69"/>
      <c r="N365" s="69"/>
      <c r="O365" s="69"/>
      <c r="P365" s="69"/>
    </row>
    <row r="366" spans="1:16" x14ac:dyDescent="0.25">
      <c r="A366" s="69">
        <v>642009</v>
      </c>
      <c r="B366" s="207">
        <f>VLOOKUP(A366,pravidla_SDcast!$A$1:$D$458,4,FALSE)</f>
        <v>6</v>
      </c>
      <c r="C366" s="69" t="s">
        <v>448</v>
      </c>
      <c r="D366" s="69"/>
      <c r="E366" s="69"/>
      <c r="F366" s="69"/>
      <c r="G366" s="69"/>
      <c r="H366" s="69"/>
      <c r="I366" s="69"/>
      <c r="J366" s="69"/>
      <c r="K366" s="208"/>
      <c r="L366" s="69"/>
      <c r="M366" s="69"/>
      <c r="N366" s="69"/>
      <c r="O366" s="69"/>
      <c r="P366" s="69"/>
    </row>
    <row r="367" spans="1:16" x14ac:dyDescent="0.25">
      <c r="A367" s="69">
        <v>642010</v>
      </c>
      <c r="B367" s="207" t="str">
        <f>VLOOKUP(A367,pravidla_SDcast!$A$1:$D$458,4,FALSE)</f>
        <v>data</v>
      </c>
      <c r="C367" s="69" t="s">
        <v>449</v>
      </c>
      <c r="D367" s="69"/>
      <c r="E367" s="69"/>
      <c r="F367" s="69"/>
      <c r="G367" s="69"/>
      <c r="H367" s="69"/>
      <c r="I367" s="69"/>
      <c r="J367" s="69"/>
      <c r="K367" s="208"/>
      <c r="L367" s="69"/>
      <c r="M367" s="69"/>
      <c r="N367" s="69"/>
      <c r="O367" s="69"/>
      <c r="P367" s="69"/>
    </row>
    <row r="368" spans="1:16" x14ac:dyDescent="0.25">
      <c r="A368" s="69">
        <v>642011</v>
      </c>
      <c r="B368" s="207">
        <f>VLOOKUP(A368,pravidla_SDcast!$A$1:$D$458,4,FALSE)</f>
        <v>25</v>
      </c>
      <c r="C368" s="69" t="s">
        <v>450</v>
      </c>
      <c r="D368" s="69"/>
      <c r="E368" s="69"/>
      <c r="F368" s="69"/>
      <c r="G368" s="69"/>
      <c r="H368" s="69"/>
      <c r="I368" s="69"/>
      <c r="J368" s="69"/>
      <c r="K368" s="208"/>
      <c r="L368" s="69"/>
      <c r="M368" s="69"/>
      <c r="N368" s="69"/>
      <c r="O368" s="69"/>
      <c r="P368" s="69"/>
    </row>
    <row r="369" spans="1:16" x14ac:dyDescent="0.25">
      <c r="A369" s="69">
        <v>642012</v>
      </c>
      <c r="B369" s="207">
        <f>VLOOKUP(A369,pravidla_SDcast!$A$1:$D$458,4,FALSE)</f>
        <v>43</v>
      </c>
      <c r="C369" s="69" t="s">
        <v>451</v>
      </c>
      <c r="D369" s="69"/>
      <c r="E369" s="69"/>
      <c r="F369" s="69"/>
      <c r="G369" s="69"/>
      <c r="H369" s="69"/>
      <c r="I369" s="69"/>
      <c r="J369" s="69"/>
      <c r="K369" s="208"/>
      <c r="L369" s="69"/>
      <c r="M369" s="69"/>
      <c r="N369" s="69"/>
      <c r="O369" s="69"/>
      <c r="P369" s="69"/>
    </row>
    <row r="370" spans="1:16" x14ac:dyDescent="0.25">
      <c r="A370" s="69">
        <v>642013</v>
      </c>
      <c r="B370" s="207">
        <f>VLOOKUP(A370,pravidla_SDcast!$A$1:$D$458,4,FALSE)</f>
        <v>43</v>
      </c>
      <c r="C370" s="69" t="s">
        <v>452</v>
      </c>
      <c r="D370" s="69"/>
      <c r="E370" s="69"/>
      <c r="F370" s="69"/>
      <c r="G370" s="69"/>
      <c r="H370" s="69"/>
      <c r="I370" s="69"/>
      <c r="J370" s="69"/>
      <c r="K370" s="208"/>
      <c r="L370" s="69"/>
      <c r="M370" s="69"/>
      <c r="N370" s="69"/>
      <c r="O370" s="69"/>
      <c r="P370" s="69"/>
    </row>
    <row r="371" spans="1:16" x14ac:dyDescent="0.25">
      <c r="A371" s="69">
        <v>642014</v>
      </c>
      <c r="B371" s="207">
        <f>VLOOKUP(A371,pravidla_SDcast!$A$1:$D$458,4,FALSE)</f>
        <v>25</v>
      </c>
      <c r="C371" s="69" t="s">
        <v>453</v>
      </c>
      <c r="D371" s="69"/>
      <c r="E371" s="69"/>
      <c r="F371" s="69"/>
      <c r="G371" s="69"/>
      <c r="H371" s="69"/>
      <c r="I371" s="69"/>
      <c r="J371" s="69"/>
      <c r="K371" s="208"/>
      <c r="L371" s="69"/>
      <c r="M371" s="69"/>
      <c r="N371" s="69"/>
      <c r="O371" s="69"/>
      <c r="P371" s="69"/>
    </row>
    <row r="372" spans="1:16" x14ac:dyDescent="0.25">
      <c r="A372" s="69">
        <v>642015</v>
      </c>
      <c r="B372" s="207" t="str">
        <f>VLOOKUP(A372,pravidla_SDcast!$A$1:$D$458,4,FALSE)</f>
        <v>data</v>
      </c>
      <c r="C372" s="69" t="s">
        <v>167</v>
      </c>
      <c r="D372" s="69"/>
      <c r="E372" s="69"/>
      <c r="F372" s="69"/>
      <c r="G372" s="69"/>
      <c r="H372" s="69"/>
      <c r="I372" s="69"/>
      <c r="J372" s="69"/>
      <c r="K372" s="208"/>
      <c r="L372" s="69"/>
      <c r="M372" s="69"/>
      <c r="N372" s="69"/>
      <c r="O372" s="69"/>
      <c r="P372" s="69"/>
    </row>
    <row r="373" spans="1:16" x14ac:dyDescent="0.25">
      <c r="A373" s="69">
        <v>642016</v>
      </c>
      <c r="B373" s="207" t="str">
        <f>VLOOKUP(A373,pravidla_SDcast!$A$1:$D$458,4,FALSE)</f>
        <v>data</v>
      </c>
      <c r="C373" s="69" t="s">
        <v>137</v>
      </c>
      <c r="D373" s="69"/>
      <c r="E373" s="69"/>
      <c r="F373" s="69"/>
      <c r="G373" s="69"/>
      <c r="H373" s="69"/>
      <c r="I373" s="69"/>
      <c r="J373" s="69"/>
      <c r="K373" s="208"/>
      <c r="L373" s="69"/>
      <c r="M373" s="69"/>
      <c r="N373" s="69"/>
      <c r="O373" s="69"/>
      <c r="P373" s="69"/>
    </row>
    <row r="374" spans="1:16" x14ac:dyDescent="0.25">
      <c r="A374" s="69">
        <v>642017</v>
      </c>
      <c r="B374" s="207">
        <f>VLOOKUP(A374,pravidla_SDcast!$A$1:$D$458,4,FALSE)</f>
        <v>6</v>
      </c>
      <c r="C374" s="69" t="s">
        <v>454</v>
      </c>
      <c r="D374" s="69"/>
      <c r="E374" s="69"/>
      <c r="F374" s="69"/>
      <c r="G374" s="69"/>
      <c r="H374" s="69"/>
      <c r="I374" s="69"/>
      <c r="J374" s="69"/>
      <c r="K374" s="208"/>
      <c r="L374" s="69"/>
      <c r="M374" s="69"/>
      <c r="N374" s="69"/>
      <c r="O374" s="69"/>
      <c r="P374" s="69"/>
    </row>
    <row r="375" spans="1:16" x14ac:dyDescent="0.25">
      <c r="A375" s="69">
        <v>642018</v>
      </c>
      <c r="B375" s="207" t="str">
        <f>VLOOKUP(A375,pravidla_SDcast!$A$1:$D$458,4,FALSE)</f>
        <v>data</v>
      </c>
      <c r="C375" s="69" t="s">
        <v>173</v>
      </c>
      <c r="D375" s="69"/>
      <c r="E375" s="69"/>
      <c r="F375" s="69"/>
      <c r="G375" s="69"/>
      <c r="H375" s="69"/>
      <c r="I375" s="69"/>
      <c r="J375" s="69"/>
      <c r="K375" s="208"/>
      <c r="L375" s="69"/>
      <c r="M375" s="69"/>
      <c r="N375" s="69"/>
      <c r="O375" s="69"/>
      <c r="P375" s="69"/>
    </row>
    <row r="376" spans="1:16" x14ac:dyDescent="0.25">
      <c r="A376" s="69">
        <v>642019</v>
      </c>
      <c r="B376" s="207">
        <f>VLOOKUP(A376,pravidla_SDcast!$A$1:$D$458,4,FALSE)</f>
        <v>50</v>
      </c>
      <c r="C376" s="69" t="s">
        <v>455</v>
      </c>
      <c r="D376" s="69"/>
      <c r="E376" s="69"/>
      <c r="F376" s="69"/>
      <c r="G376" s="69"/>
      <c r="H376" s="69"/>
      <c r="I376" s="69"/>
      <c r="J376" s="69"/>
      <c r="K376" s="208"/>
      <c r="L376" s="69"/>
      <c r="M376" s="69"/>
      <c r="N376" s="69"/>
      <c r="O376" s="69"/>
      <c r="P376" s="69"/>
    </row>
    <row r="377" spans="1:16" x14ac:dyDescent="0.25">
      <c r="A377" s="69">
        <v>642020</v>
      </c>
      <c r="B377" s="207" t="str">
        <f>VLOOKUP(A377,pravidla_SDcast!$A$1:$D$458,4,FALSE)</f>
        <v>data</v>
      </c>
      <c r="C377" s="69" t="s">
        <v>140</v>
      </c>
      <c r="D377" s="69"/>
      <c r="E377" s="69"/>
      <c r="F377" s="69"/>
      <c r="G377" s="69"/>
      <c r="H377" s="69"/>
      <c r="I377" s="69"/>
      <c r="J377" s="69"/>
      <c r="K377" s="208"/>
      <c r="L377" s="69"/>
      <c r="M377" s="69"/>
      <c r="N377" s="69"/>
      <c r="O377" s="69"/>
      <c r="P377" s="69"/>
    </row>
    <row r="378" spans="1:16" x14ac:dyDescent="0.25">
      <c r="A378" s="69">
        <v>642022</v>
      </c>
      <c r="B378" s="207">
        <f>VLOOKUP(A378,pravidla_SDcast!$A$1:$D$458,4,FALSE)</f>
        <v>53</v>
      </c>
      <c r="C378" s="69" t="s">
        <v>456</v>
      </c>
      <c r="D378" s="69"/>
      <c r="E378" s="69"/>
      <c r="F378" s="69"/>
      <c r="G378" s="69"/>
      <c r="H378" s="69"/>
      <c r="I378" s="69"/>
      <c r="J378" s="69"/>
      <c r="K378" s="208"/>
      <c r="L378" s="69"/>
      <c r="M378" s="69"/>
      <c r="N378" s="69"/>
      <c r="O378" s="69"/>
      <c r="P378" s="69"/>
    </row>
    <row r="379" spans="1:16" x14ac:dyDescent="0.25">
      <c r="A379" s="69">
        <v>642023</v>
      </c>
      <c r="B379" s="207">
        <f>VLOOKUP(A379,pravidla_SDcast!$A$1:$D$458,4,FALSE)</f>
        <v>54</v>
      </c>
      <c r="C379" s="69" t="s">
        <v>457</v>
      </c>
      <c r="D379" s="69"/>
      <c r="E379" s="69"/>
      <c r="F379" s="69"/>
      <c r="G379" s="69"/>
      <c r="H379" s="69"/>
      <c r="I379" s="69"/>
      <c r="J379" s="69"/>
      <c r="K379" s="208"/>
      <c r="L379" s="69"/>
      <c r="M379" s="69"/>
      <c r="N379" s="69"/>
      <c r="O379" s="69"/>
      <c r="P379" s="69"/>
    </row>
    <row r="380" spans="1:16" x14ac:dyDescent="0.25">
      <c r="A380" s="69">
        <v>642024</v>
      </c>
      <c r="B380" s="207">
        <f>VLOOKUP(A380,pravidla_SDcast!$A$1:$D$458,4,FALSE)</f>
        <v>50</v>
      </c>
      <c r="C380" s="69" t="s">
        <v>458</v>
      </c>
      <c r="D380" s="69"/>
      <c r="E380" s="69"/>
      <c r="F380" s="69"/>
      <c r="G380" s="69"/>
      <c r="H380" s="69"/>
      <c r="I380" s="69"/>
      <c r="J380" s="69"/>
      <c r="K380" s="208"/>
      <c r="L380" s="69"/>
      <c r="M380" s="69"/>
      <c r="N380" s="69"/>
      <c r="O380" s="69"/>
      <c r="P380" s="69"/>
    </row>
    <row r="381" spans="1:16" x14ac:dyDescent="0.25">
      <c r="A381" s="69">
        <v>642026</v>
      </c>
      <c r="B381" s="207" t="str">
        <f>VLOOKUP(A381,pravidla_SDcast!$A$1:$D$458,4,FALSE)</f>
        <v>data</v>
      </c>
      <c r="C381" s="69" t="s">
        <v>183</v>
      </c>
      <c r="D381" s="69"/>
      <c r="E381" s="69"/>
      <c r="F381" s="69"/>
      <c r="G381" s="69"/>
      <c r="H381" s="69"/>
      <c r="I381" s="69"/>
      <c r="J381" s="69"/>
      <c r="K381" s="208"/>
      <c r="L381" s="69"/>
      <c r="M381" s="69"/>
      <c r="N381" s="69"/>
      <c r="O381" s="69"/>
      <c r="P381" s="69"/>
    </row>
    <row r="382" spans="1:16" x14ac:dyDescent="0.25">
      <c r="A382" s="69">
        <v>642027</v>
      </c>
      <c r="B382" s="207">
        <f>VLOOKUP(A382,pravidla_SDcast!$A$1:$D$458,4,FALSE)</f>
        <v>30</v>
      </c>
      <c r="C382" s="69" t="s">
        <v>459</v>
      </c>
      <c r="D382" s="69"/>
      <c r="E382" s="69"/>
      <c r="F382" s="69"/>
      <c r="G382" s="69"/>
      <c r="H382" s="69"/>
      <c r="I382" s="69"/>
      <c r="J382" s="69"/>
      <c r="K382" s="208"/>
      <c r="L382" s="69"/>
      <c r="M382" s="69"/>
      <c r="N382" s="69"/>
      <c r="O382" s="69"/>
      <c r="P382" s="69"/>
    </row>
    <row r="383" spans="1:16" x14ac:dyDescent="0.25">
      <c r="A383" s="69">
        <v>642028</v>
      </c>
      <c r="B383" s="207">
        <f>VLOOKUP(A383,pravidla_SDcast!$A$1:$D$458,4,FALSE)</f>
        <v>39</v>
      </c>
      <c r="C383" s="69" t="s">
        <v>460</v>
      </c>
      <c r="D383" s="69"/>
      <c r="E383" s="69"/>
      <c r="F383" s="69"/>
      <c r="G383" s="69"/>
      <c r="H383" s="69"/>
      <c r="I383" s="69"/>
      <c r="J383" s="69"/>
      <c r="K383" s="208"/>
      <c r="L383" s="69"/>
      <c r="M383" s="69"/>
      <c r="N383" s="69"/>
      <c r="O383" s="69"/>
      <c r="P383" s="69"/>
    </row>
    <row r="384" spans="1:16" x14ac:dyDescent="0.25">
      <c r="A384" s="69">
        <v>642029</v>
      </c>
      <c r="B384" s="207">
        <f>VLOOKUP(A384,pravidla_SDcast!$A$1:$D$458,4,FALSE)</f>
        <v>9</v>
      </c>
      <c r="C384" s="69" t="s">
        <v>461</v>
      </c>
      <c r="D384" s="69"/>
      <c r="E384" s="69"/>
      <c r="F384" s="69"/>
      <c r="G384" s="69"/>
      <c r="H384" s="69"/>
      <c r="I384" s="69"/>
      <c r="J384" s="69"/>
      <c r="K384" s="208"/>
      <c r="L384" s="69"/>
      <c r="M384" s="69"/>
      <c r="N384" s="69"/>
      <c r="O384" s="69"/>
      <c r="P384" s="69"/>
    </row>
    <row r="385" spans="1:16" x14ac:dyDescent="0.25">
      <c r="A385" s="69">
        <v>642030</v>
      </c>
      <c r="B385" s="207">
        <f>VLOOKUP(A385,pravidla_SDcast!$A$1:$D$458,4,FALSE)</f>
        <v>6</v>
      </c>
      <c r="C385" s="69" t="s">
        <v>462</v>
      </c>
      <c r="D385" s="69"/>
      <c r="E385" s="69"/>
      <c r="F385" s="69"/>
      <c r="G385" s="69"/>
      <c r="H385" s="69"/>
      <c r="I385" s="69"/>
      <c r="J385" s="69"/>
      <c r="K385" s="208"/>
      <c r="L385" s="69"/>
      <c r="M385" s="69"/>
      <c r="N385" s="69"/>
      <c r="O385" s="69"/>
      <c r="P385" s="69"/>
    </row>
    <row r="386" spans="1:16" x14ac:dyDescent="0.25">
      <c r="A386" s="69">
        <v>642031</v>
      </c>
      <c r="B386" s="207" t="str">
        <f>VLOOKUP(A386,pravidla_SDcast!$A$1:$D$458,4,FALSE)</f>
        <v>data</v>
      </c>
      <c r="C386" s="69" t="s">
        <v>176</v>
      </c>
      <c r="D386" s="69"/>
      <c r="E386" s="69"/>
      <c r="F386" s="69"/>
      <c r="G386" s="69"/>
      <c r="H386" s="69"/>
      <c r="I386" s="69"/>
      <c r="J386" s="69"/>
      <c r="K386" s="208"/>
      <c r="L386" s="69"/>
      <c r="M386" s="69"/>
      <c r="N386" s="69"/>
      <c r="O386" s="69"/>
      <c r="P386" s="69"/>
    </row>
    <row r="387" spans="1:16" x14ac:dyDescent="0.25">
      <c r="A387" s="69">
        <v>642032</v>
      </c>
      <c r="B387" s="207">
        <f>VLOOKUP(A387,pravidla_SDcast!$A$1:$D$458,4,FALSE)</f>
        <v>44</v>
      </c>
      <c r="C387" s="69" t="s">
        <v>837</v>
      </c>
      <c r="D387" s="69"/>
      <c r="E387" s="69"/>
      <c r="F387" s="69"/>
      <c r="G387" s="69"/>
      <c r="H387" s="69"/>
      <c r="I387" s="69"/>
      <c r="J387" s="69"/>
      <c r="K387" s="208"/>
      <c r="L387" s="69"/>
      <c r="M387" s="69"/>
      <c r="N387" s="69"/>
      <c r="O387" s="69"/>
      <c r="P387" s="69"/>
    </row>
    <row r="388" spans="1:16" x14ac:dyDescent="0.25">
      <c r="A388" s="69">
        <v>642033</v>
      </c>
      <c r="B388" s="207">
        <f>VLOOKUP(A388,pravidla_SDcast!$A$1:$D$458,4,FALSE)</f>
        <v>44</v>
      </c>
      <c r="C388" s="69" t="s">
        <v>464</v>
      </c>
      <c r="D388" s="69"/>
      <c r="E388" s="69"/>
      <c r="F388" s="69"/>
      <c r="G388" s="69"/>
      <c r="H388" s="69"/>
      <c r="I388" s="69"/>
      <c r="J388" s="69"/>
      <c r="K388" s="208"/>
      <c r="L388" s="69"/>
      <c r="M388" s="69"/>
      <c r="N388" s="69"/>
      <c r="O388" s="69"/>
      <c r="P388" s="69"/>
    </row>
    <row r="389" spans="1:16" x14ac:dyDescent="0.25">
      <c r="A389" s="69">
        <v>642035</v>
      </c>
      <c r="B389" s="207">
        <f>VLOOKUP(A389,pravidla_SDcast!$A$1:$D$458,4,FALSE)</f>
        <v>6</v>
      </c>
      <c r="C389" s="69" t="s">
        <v>465</v>
      </c>
      <c r="D389" s="69"/>
      <c r="E389" s="69"/>
      <c r="F389" s="69"/>
      <c r="G389" s="69"/>
      <c r="H389" s="69"/>
      <c r="I389" s="69"/>
      <c r="J389" s="69"/>
      <c r="K389" s="208"/>
      <c r="L389" s="69"/>
      <c r="M389" s="69"/>
      <c r="N389" s="69"/>
      <c r="O389" s="69"/>
      <c r="P389" s="69"/>
    </row>
    <row r="390" spans="1:16" x14ac:dyDescent="0.25">
      <c r="A390" s="69">
        <v>642036</v>
      </c>
      <c r="B390" s="207">
        <f>VLOOKUP(A390,pravidla_SDcast!$A$1:$D$458,4,FALSE)</f>
        <v>27</v>
      </c>
      <c r="C390" s="69" t="s">
        <v>466</v>
      </c>
      <c r="D390" s="69"/>
      <c r="E390" s="69"/>
      <c r="F390" s="69"/>
      <c r="G390" s="69"/>
      <c r="H390" s="69"/>
      <c r="I390" s="69"/>
      <c r="J390" s="69"/>
      <c r="K390" s="208"/>
      <c r="L390" s="69"/>
      <c r="M390" s="69"/>
      <c r="N390" s="69"/>
      <c r="O390" s="69"/>
      <c r="P390" s="69"/>
    </row>
    <row r="391" spans="1:16" x14ac:dyDescent="0.25">
      <c r="A391" s="69">
        <v>642037</v>
      </c>
      <c r="B391" s="207">
        <f>VLOOKUP(A391,pravidla_SDcast!$A$1:$D$458,4,FALSE)</f>
        <v>50</v>
      </c>
      <c r="C391" s="69" t="s">
        <v>467</v>
      </c>
      <c r="D391" s="69"/>
      <c r="E391" s="69"/>
      <c r="F391" s="69"/>
      <c r="G391" s="69"/>
      <c r="H391" s="69"/>
      <c r="I391" s="69"/>
      <c r="J391" s="69"/>
      <c r="K391" s="208"/>
      <c r="L391" s="69"/>
      <c r="M391" s="69"/>
      <c r="N391" s="69"/>
      <c r="O391" s="69"/>
      <c r="P391" s="69"/>
    </row>
    <row r="392" spans="1:16" x14ac:dyDescent="0.25">
      <c r="A392" s="69">
        <v>642038</v>
      </c>
      <c r="B392" s="207">
        <f>VLOOKUP(A392,pravidla_SDcast!$A$1:$D$458,4,FALSE)</f>
        <v>50</v>
      </c>
      <c r="C392" s="69" t="s">
        <v>468</v>
      </c>
      <c r="D392" s="69"/>
      <c r="E392" s="69"/>
      <c r="F392" s="69"/>
      <c r="G392" s="69"/>
      <c r="H392" s="69"/>
      <c r="I392" s="69"/>
      <c r="J392" s="69"/>
      <c r="K392" s="208"/>
      <c r="L392" s="69"/>
      <c r="M392" s="69"/>
      <c r="N392" s="69"/>
      <c r="O392" s="69"/>
      <c r="P392" s="69"/>
    </row>
    <row r="393" spans="1:16" x14ac:dyDescent="0.25">
      <c r="A393" s="69">
        <v>642039</v>
      </c>
      <c r="B393" s="207">
        <f>VLOOKUP(A393,pravidla_SDcast!$A$1:$D$458,4,FALSE)</f>
        <v>53</v>
      </c>
      <c r="C393" s="69" t="s">
        <v>469</v>
      </c>
      <c r="D393" s="69"/>
      <c r="E393" s="69"/>
      <c r="F393" s="69"/>
      <c r="G393" s="69"/>
      <c r="H393" s="69"/>
      <c r="I393" s="69"/>
      <c r="J393" s="69"/>
      <c r="K393" s="208"/>
      <c r="L393" s="69"/>
      <c r="M393" s="69"/>
      <c r="N393" s="69"/>
      <c r="O393" s="69"/>
      <c r="P393" s="69"/>
    </row>
    <row r="394" spans="1:16" x14ac:dyDescent="0.25">
      <c r="A394" s="69">
        <v>642040</v>
      </c>
      <c r="B394" s="207">
        <f>VLOOKUP(A394,pravidla_SDcast!$A$1:$D$458,4,FALSE)</f>
        <v>51</v>
      </c>
      <c r="C394" s="69" t="s">
        <v>470</v>
      </c>
      <c r="D394" s="69"/>
      <c r="E394" s="69"/>
      <c r="F394" s="69"/>
      <c r="G394" s="69"/>
      <c r="H394" s="69"/>
      <c r="I394" s="69"/>
      <c r="J394" s="69"/>
      <c r="K394" s="208"/>
      <c r="L394" s="69"/>
      <c r="M394" s="69"/>
      <c r="N394" s="69"/>
      <c r="O394" s="69"/>
      <c r="P394" s="69"/>
    </row>
    <row r="395" spans="1:16" x14ac:dyDescent="0.25">
      <c r="A395" s="69">
        <v>642041</v>
      </c>
      <c r="B395" s="207">
        <f>VLOOKUP(A395,pravidla_SDcast!$A$1:$D$458,4,FALSE)</f>
        <v>52</v>
      </c>
      <c r="C395" s="69" t="s">
        <v>471</v>
      </c>
      <c r="D395" s="69"/>
      <c r="E395" s="69"/>
      <c r="F395" s="69"/>
      <c r="G395" s="69"/>
      <c r="H395" s="69"/>
      <c r="I395" s="69"/>
      <c r="J395" s="69"/>
      <c r="K395" s="208"/>
      <c r="L395" s="69"/>
      <c r="M395" s="69"/>
      <c r="N395" s="69"/>
      <c r="O395" s="69"/>
      <c r="P395" s="69"/>
    </row>
    <row r="396" spans="1:16" x14ac:dyDescent="0.25">
      <c r="A396" s="69">
        <v>642042</v>
      </c>
      <c r="B396" s="207">
        <f>VLOOKUP(A396,pravidla_SDcast!$A$1:$D$458,4,FALSE)</f>
        <v>52</v>
      </c>
      <c r="C396" s="69" t="s">
        <v>472</v>
      </c>
      <c r="D396" s="69"/>
      <c r="E396" s="69"/>
      <c r="F396" s="69"/>
      <c r="G396" s="69"/>
      <c r="H396" s="69"/>
      <c r="I396" s="69"/>
      <c r="J396" s="69"/>
      <c r="K396" s="208"/>
      <c r="L396" s="69"/>
      <c r="M396" s="69"/>
      <c r="N396" s="69"/>
      <c r="O396" s="69"/>
      <c r="P396" s="69"/>
    </row>
    <row r="397" spans="1:16" x14ac:dyDescent="0.25">
      <c r="A397" s="69">
        <v>642200</v>
      </c>
      <c r="B397" s="207">
        <f>VLOOKUP(A397,pravidla_SDcast!$A$1:$D$458,4,FALSE)</f>
        <v>25</v>
      </c>
      <c r="C397" s="69" t="s">
        <v>146</v>
      </c>
      <c r="D397" s="69"/>
      <c r="E397" s="69"/>
      <c r="F397" s="69"/>
      <c r="G397" s="69"/>
      <c r="H397" s="69"/>
      <c r="I397" s="69"/>
      <c r="J397" s="69"/>
      <c r="K397" s="208"/>
      <c r="L397" s="69"/>
      <c r="M397" s="69"/>
      <c r="N397" s="69"/>
      <c r="O397" s="69"/>
      <c r="P397" s="69"/>
    </row>
    <row r="398" spans="1:16" x14ac:dyDescent="0.25">
      <c r="A398" s="69">
        <v>644000</v>
      </c>
      <c r="B398" s="207">
        <f>VLOOKUP(A398,pravidla_SDcast!$A$1:$D$458,4,FALSE)</f>
        <v>25</v>
      </c>
      <c r="C398" s="69" t="s">
        <v>838</v>
      </c>
      <c r="D398" s="69"/>
      <c r="E398" s="69"/>
      <c r="F398" s="69"/>
      <c r="G398" s="69"/>
      <c r="H398" s="69"/>
      <c r="I398" s="69"/>
      <c r="J398" s="69"/>
      <c r="K398" s="208"/>
      <c r="L398" s="69"/>
      <c r="M398" s="69"/>
      <c r="N398" s="69"/>
      <c r="O398" s="69"/>
      <c r="P398" s="69"/>
    </row>
    <row r="399" spans="1:16" x14ac:dyDescent="0.25">
      <c r="A399" s="69">
        <v>644001</v>
      </c>
      <c r="B399" s="207" t="str">
        <f>VLOOKUP(A399,pravidla_SDcast!$A$1:$D$458,4,FALSE)</f>
        <v>data</v>
      </c>
      <c r="C399" s="69" t="s">
        <v>180</v>
      </c>
      <c r="D399" s="69"/>
      <c r="E399" s="69"/>
      <c r="F399" s="69"/>
      <c r="G399" s="69"/>
      <c r="H399" s="69"/>
      <c r="I399" s="69"/>
      <c r="J399" s="69"/>
      <c r="K399" s="208"/>
      <c r="L399" s="69"/>
      <c r="M399" s="69"/>
      <c r="N399" s="69"/>
      <c r="O399" s="69"/>
      <c r="P399" s="69"/>
    </row>
    <row r="400" spans="1:16" x14ac:dyDescent="0.25">
      <c r="A400" s="69">
        <v>644002</v>
      </c>
      <c r="B400" s="207" t="str">
        <f>VLOOKUP(A400,pravidla_SDcast!$A$1:$D$458,4,FALSE)</f>
        <v>data</v>
      </c>
      <c r="C400" s="69" t="s">
        <v>182</v>
      </c>
      <c r="D400" s="69"/>
      <c r="E400" s="69"/>
      <c r="F400" s="69"/>
      <c r="G400" s="69"/>
      <c r="H400" s="69"/>
      <c r="I400" s="69"/>
      <c r="J400" s="69"/>
      <c r="K400" s="208"/>
      <c r="L400" s="69"/>
      <c r="M400" s="69"/>
      <c r="N400" s="69"/>
      <c r="O400" s="69"/>
      <c r="P400" s="69"/>
    </row>
    <row r="401" spans="1:16" x14ac:dyDescent="0.25">
      <c r="A401" s="69">
        <v>644003</v>
      </c>
      <c r="B401" s="207">
        <f>VLOOKUP(A401,pravidla_SDcast!$A$1:$D$458,4,FALSE)</f>
        <v>25</v>
      </c>
      <c r="C401" s="69" t="s">
        <v>839</v>
      </c>
      <c r="D401" s="69"/>
      <c r="E401" s="69"/>
      <c r="F401" s="69"/>
      <c r="G401" s="69"/>
      <c r="H401" s="69"/>
      <c r="I401" s="69"/>
      <c r="J401" s="69"/>
      <c r="K401" s="208"/>
      <c r="L401" s="69"/>
      <c r="M401" s="69"/>
      <c r="N401" s="69"/>
      <c r="O401" s="69"/>
      <c r="P401" s="69"/>
    </row>
    <row r="402" spans="1:16" x14ac:dyDescent="0.25">
      <c r="A402" s="69">
        <v>644004</v>
      </c>
      <c r="B402" s="207">
        <f>VLOOKUP(A402,pravidla_SDcast!$A$1:$D$458,4,FALSE)</f>
        <v>25</v>
      </c>
      <c r="C402" s="69" t="s">
        <v>840</v>
      </c>
      <c r="D402" s="69"/>
      <c r="E402" s="69"/>
      <c r="F402" s="69"/>
      <c r="G402" s="69"/>
      <c r="H402" s="69"/>
      <c r="I402" s="69"/>
      <c r="J402" s="69"/>
      <c r="K402" s="208"/>
      <c r="L402" s="69"/>
      <c r="M402" s="69"/>
      <c r="N402" s="69"/>
      <c r="O402" s="69"/>
      <c r="P402" s="69"/>
    </row>
    <row r="403" spans="1:16" x14ac:dyDescent="0.25">
      <c r="A403" s="69">
        <v>645000</v>
      </c>
      <c r="B403" s="207">
        <f>VLOOKUP(A403,pravidla_SDcast!$A$1:$D$458,4,FALSE)</f>
        <v>9</v>
      </c>
      <c r="C403" s="69" t="s">
        <v>476</v>
      </c>
      <c r="D403" s="69"/>
      <c r="E403" s="69"/>
      <c r="F403" s="69"/>
      <c r="G403" s="69"/>
      <c r="H403" s="69"/>
      <c r="I403" s="69"/>
      <c r="J403" s="69"/>
      <c r="K403" s="208"/>
      <c r="L403" s="69"/>
      <c r="M403" s="69"/>
      <c r="N403" s="69"/>
      <c r="O403" s="69"/>
      <c r="P403" s="69"/>
    </row>
    <row r="404" spans="1:16" x14ac:dyDescent="0.25">
      <c r="A404" s="69">
        <v>646000</v>
      </c>
      <c r="B404" s="207">
        <f>VLOOKUP(A404,pravidla_SDcast!$A$1:$D$458,4,FALSE)</f>
        <v>9</v>
      </c>
      <c r="C404" s="69" t="s">
        <v>841</v>
      </c>
      <c r="D404" s="69"/>
      <c r="E404" s="69"/>
      <c r="F404" s="69"/>
      <c r="G404" s="69"/>
      <c r="H404" s="69"/>
      <c r="I404" s="69"/>
      <c r="J404" s="69"/>
      <c r="K404" s="208"/>
      <c r="L404" s="69"/>
      <c r="M404" s="69"/>
      <c r="N404" s="69"/>
      <c r="O404" s="69"/>
      <c r="P404" s="69"/>
    </row>
    <row r="405" spans="1:16" x14ac:dyDescent="0.25">
      <c r="A405" s="69">
        <v>647000</v>
      </c>
      <c r="B405" s="207" t="e">
        <f>VLOOKUP(A405,pravidla_SDcast!$A$1:$D$458,4,FALSE)</f>
        <v>#N/A</v>
      </c>
      <c r="C405" s="69" t="s">
        <v>842</v>
      </c>
      <c r="D405" s="69"/>
      <c r="E405" s="69"/>
      <c r="F405" s="69"/>
      <c r="G405" s="69"/>
      <c r="H405" s="69"/>
      <c r="I405" s="69"/>
      <c r="J405" s="69"/>
      <c r="K405" s="208"/>
      <c r="L405" s="69"/>
      <c r="M405" s="69"/>
      <c r="N405" s="69"/>
      <c r="O405" s="69"/>
      <c r="P405" s="69"/>
    </row>
    <row r="406" spans="1:16" x14ac:dyDescent="0.25">
      <c r="A406" s="69">
        <v>647001</v>
      </c>
      <c r="B406" s="207">
        <f>VLOOKUP(A406,pravidla_SDcast!$A$1:$D$458,4,FALSE)</f>
        <v>9</v>
      </c>
      <c r="C406" s="69" t="s">
        <v>478</v>
      </c>
      <c r="D406" s="69"/>
      <c r="E406" s="69"/>
      <c r="F406" s="69"/>
      <c r="G406" s="69"/>
      <c r="H406" s="69"/>
      <c r="I406" s="69"/>
      <c r="J406" s="69"/>
      <c r="K406" s="208"/>
      <c r="L406" s="69"/>
      <c r="M406" s="69"/>
      <c r="N406" s="69"/>
      <c r="O406" s="69"/>
      <c r="P406" s="69"/>
    </row>
    <row r="407" spans="1:16" x14ac:dyDescent="0.25">
      <c r="A407" s="69">
        <v>647002</v>
      </c>
      <c r="B407" s="207">
        <f>VLOOKUP(A407,pravidla_SDcast!$A$1:$D$458,4,FALSE)</f>
        <v>9</v>
      </c>
      <c r="C407" s="69" t="s">
        <v>479</v>
      </c>
      <c r="D407" s="69"/>
      <c r="E407" s="69"/>
      <c r="F407" s="69"/>
      <c r="G407" s="69"/>
      <c r="H407" s="69"/>
      <c r="I407" s="69"/>
      <c r="J407" s="69"/>
      <c r="K407" s="208"/>
      <c r="L407" s="69"/>
      <c r="M407" s="69"/>
      <c r="N407" s="69"/>
      <c r="O407" s="69"/>
      <c r="P407" s="69"/>
    </row>
    <row r="408" spans="1:16" x14ac:dyDescent="0.25">
      <c r="A408" s="69">
        <v>647003</v>
      </c>
      <c r="B408" s="207">
        <f>VLOOKUP(A408,pravidla_SDcast!$A$1:$D$458,4,FALSE)</f>
        <v>9</v>
      </c>
      <c r="C408" s="69" t="s">
        <v>480</v>
      </c>
      <c r="D408" s="69"/>
      <c r="E408" s="69"/>
      <c r="F408" s="69"/>
      <c r="G408" s="69"/>
      <c r="H408" s="69"/>
      <c r="I408" s="69"/>
      <c r="J408" s="69"/>
      <c r="K408" s="208"/>
      <c r="L408" s="69"/>
      <c r="M408" s="69"/>
      <c r="N408" s="69"/>
      <c r="O408" s="69"/>
      <c r="P408" s="69"/>
    </row>
    <row r="409" spans="1:16" x14ac:dyDescent="0.25">
      <c r="A409" s="69">
        <v>647004</v>
      </c>
      <c r="B409" s="207">
        <f>VLOOKUP(A409,pravidla_SDcast!$A$1:$D$458,4,FALSE)</f>
        <v>9</v>
      </c>
      <c r="C409" s="69" t="s">
        <v>481</v>
      </c>
      <c r="D409" s="69"/>
      <c r="E409" s="69"/>
      <c r="F409" s="69"/>
      <c r="G409" s="69"/>
      <c r="H409" s="69"/>
      <c r="I409" s="69"/>
      <c r="J409" s="69"/>
      <c r="K409" s="208"/>
      <c r="L409" s="69"/>
      <c r="M409" s="69"/>
      <c r="N409" s="69"/>
      <c r="O409" s="69"/>
      <c r="P409" s="69"/>
    </row>
    <row r="410" spans="1:16" x14ac:dyDescent="0.25">
      <c r="A410" s="69">
        <v>649000</v>
      </c>
      <c r="B410" s="207">
        <f>VLOOKUP(A410,pravidla_SDcast!$A$1:$D$458,4,FALSE)</f>
        <v>25</v>
      </c>
      <c r="C410" s="69" t="s">
        <v>843</v>
      </c>
      <c r="D410" s="69"/>
      <c r="E410" s="69"/>
      <c r="F410" s="69"/>
      <c r="G410" s="69"/>
      <c r="H410" s="69"/>
      <c r="I410" s="69"/>
      <c r="J410" s="69"/>
      <c r="K410" s="208"/>
      <c r="L410" s="69"/>
      <c r="M410" s="69"/>
      <c r="N410" s="69"/>
      <c r="O410" s="69"/>
      <c r="P410" s="69"/>
    </row>
    <row r="411" spans="1:16" x14ac:dyDescent="0.25">
      <c r="A411" s="69">
        <v>649001</v>
      </c>
      <c r="B411" s="207">
        <f>VLOOKUP(A411,pravidla_SDcast!$A$1:$D$458,4,FALSE)</f>
        <v>25</v>
      </c>
      <c r="C411" s="69" t="s">
        <v>483</v>
      </c>
      <c r="D411" s="69"/>
      <c r="E411" s="69"/>
      <c r="F411" s="69"/>
      <c r="G411" s="69"/>
      <c r="H411" s="69"/>
      <c r="I411" s="69"/>
      <c r="J411" s="69"/>
      <c r="K411" s="208"/>
      <c r="L411" s="69"/>
      <c r="M411" s="69"/>
      <c r="N411" s="69"/>
      <c r="O411" s="69"/>
      <c r="P411" s="69"/>
    </row>
    <row r="412" spans="1:16" x14ac:dyDescent="0.25">
      <c r="A412" s="69">
        <v>649002</v>
      </c>
      <c r="B412" s="207">
        <f>VLOOKUP(A412,pravidla_SDcast!$A$1:$D$458,4,FALSE)</f>
        <v>25</v>
      </c>
      <c r="C412" s="69" t="s">
        <v>484</v>
      </c>
      <c r="D412" s="69"/>
      <c r="E412" s="69"/>
      <c r="F412" s="69"/>
      <c r="G412" s="69"/>
      <c r="H412" s="69"/>
      <c r="I412" s="69"/>
      <c r="J412" s="69"/>
      <c r="K412" s="208"/>
      <c r="L412" s="69"/>
      <c r="M412" s="69"/>
      <c r="N412" s="69"/>
      <c r="O412" s="69"/>
      <c r="P412" s="69"/>
    </row>
    <row r="413" spans="1:16" x14ac:dyDescent="0.25">
      <c r="A413" s="69">
        <v>649003</v>
      </c>
      <c r="B413" s="207">
        <f>VLOOKUP(A413,pravidla_SDcast!$A$1:$D$458,4,FALSE)</f>
        <v>25</v>
      </c>
      <c r="C413" s="69" t="s">
        <v>485</v>
      </c>
      <c r="D413" s="69"/>
      <c r="E413" s="69"/>
      <c r="F413" s="69"/>
      <c r="G413" s="69"/>
      <c r="H413" s="69"/>
      <c r="I413" s="69"/>
      <c r="J413" s="69"/>
      <c r="K413" s="208"/>
      <c r="L413" s="69"/>
      <c r="M413" s="69"/>
      <c r="N413" s="69"/>
      <c r="O413" s="69"/>
      <c r="P413" s="69"/>
    </row>
    <row r="414" spans="1:16" x14ac:dyDescent="0.25">
      <c r="A414" s="69">
        <v>649005</v>
      </c>
      <c r="B414" s="207">
        <f>VLOOKUP(A414,pravidla_SDcast!$A$1:$D$458,4,FALSE)</f>
        <v>37</v>
      </c>
      <c r="C414" s="69" t="s">
        <v>844</v>
      </c>
      <c r="D414" s="69"/>
      <c r="E414" s="69"/>
      <c r="F414" s="69"/>
      <c r="G414" s="69"/>
      <c r="H414" s="69"/>
      <c r="I414" s="69"/>
      <c r="J414" s="69"/>
      <c r="K414" s="208"/>
      <c r="L414" s="69"/>
      <c r="M414" s="69"/>
      <c r="N414" s="69"/>
      <c r="O414" s="69"/>
      <c r="P414" s="69"/>
    </row>
    <row r="415" spans="1:16" x14ac:dyDescent="0.25">
      <c r="A415" s="69">
        <v>650000</v>
      </c>
      <c r="B415" s="207" t="e">
        <f>VLOOKUP(A415,pravidla_SDcast!$A$1:$D$458,4,FALSE)</f>
        <v>#N/A</v>
      </c>
      <c r="C415" s="69" t="s">
        <v>487</v>
      </c>
      <c r="D415" s="69"/>
      <c r="E415" s="69"/>
      <c r="F415" s="69"/>
      <c r="G415" s="69"/>
      <c r="H415" s="69"/>
      <c r="I415" s="69"/>
      <c r="J415" s="69"/>
      <c r="K415" s="208"/>
      <c r="L415" s="69"/>
      <c r="M415" s="69"/>
      <c r="N415" s="69"/>
      <c r="O415" s="69"/>
      <c r="P415" s="69"/>
    </row>
    <row r="416" spans="1:16" x14ac:dyDescent="0.25">
      <c r="A416" s="69">
        <v>651000</v>
      </c>
      <c r="B416" s="207" t="str">
        <f>VLOOKUP(A416,pravidla_SDcast!$A$1:$D$458,4,FALSE)</f>
        <v>data</v>
      </c>
      <c r="C416" s="69" t="s">
        <v>845</v>
      </c>
      <c r="D416" s="69"/>
      <c r="E416" s="69"/>
      <c r="F416" s="69"/>
      <c r="G416" s="69"/>
      <c r="H416" s="69"/>
      <c r="I416" s="69"/>
      <c r="J416" s="69"/>
      <c r="K416" s="208"/>
      <c r="L416" s="69"/>
      <c r="M416" s="69"/>
      <c r="N416" s="69"/>
      <c r="O416" s="69"/>
      <c r="P416" s="69"/>
    </row>
    <row r="417" spans="1:16" x14ac:dyDescent="0.25">
      <c r="A417" s="69">
        <v>651001</v>
      </c>
      <c r="B417" s="207">
        <f>VLOOKUP(A417,pravidla_SDcast!$A$1:$D$458,4,FALSE)</f>
        <v>2</v>
      </c>
      <c r="C417" s="69" t="s">
        <v>663</v>
      </c>
      <c r="D417" s="69"/>
      <c r="E417" s="69"/>
      <c r="F417" s="69"/>
      <c r="G417" s="69"/>
      <c r="H417" s="69"/>
      <c r="I417" s="69"/>
      <c r="J417" s="69"/>
      <c r="K417" s="208"/>
      <c r="L417" s="69"/>
      <c r="M417" s="69"/>
      <c r="N417" s="69"/>
      <c r="O417" s="69"/>
      <c r="P417" s="69"/>
    </row>
    <row r="418" spans="1:16" x14ac:dyDescent="0.25">
      <c r="A418" s="69">
        <v>651002</v>
      </c>
      <c r="B418" s="207">
        <f>VLOOKUP(A418,pravidla_SDcast!$A$1:$D$458,4,FALSE)</f>
        <v>2</v>
      </c>
      <c r="C418" s="69" t="s">
        <v>664</v>
      </c>
      <c r="D418" s="69"/>
      <c r="E418" s="69"/>
      <c r="F418" s="69"/>
      <c r="G418" s="69"/>
      <c r="H418" s="69"/>
      <c r="I418" s="69"/>
      <c r="J418" s="69"/>
      <c r="K418" s="208"/>
      <c r="L418" s="69"/>
      <c r="M418" s="69"/>
      <c r="N418" s="69"/>
      <c r="O418" s="69"/>
      <c r="P418" s="69"/>
    </row>
    <row r="419" spans="1:16" x14ac:dyDescent="0.25">
      <c r="A419" s="69">
        <v>651003</v>
      </c>
      <c r="B419" s="207">
        <f>VLOOKUP(A419,pravidla_SDcast!$A$1:$D$458,4,FALSE)</f>
        <v>2</v>
      </c>
      <c r="C419" s="69" t="s">
        <v>665</v>
      </c>
      <c r="D419" s="69"/>
      <c r="E419" s="69"/>
      <c r="F419" s="69"/>
      <c r="G419" s="69"/>
      <c r="H419" s="69"/>
      <c r="I419" s="69"/>
      <c r="J419" s="69"/>
      <c r="K419" s="208"/>
      <c r="L419" s="69"/>
      <c r="M419" s="69"/>
      <c r="N419" s="69"/>
      <c r="O419" s="69"/>
      <c r="P419" s="69"/>
    </row>
    <row r="420" spans="1:16" x14ac:dyDescent="0.25">
      <c r="A420" s="69">
        <v>651004</v>
      </c>
      <c r="B420" s="207">
        <f>VLOOKUP(A420,pravidla_SDcast!$A$1:$D$458,4,FALSE)</f>
        <v>2</v>
      </c>
      <c r="C420" s="69" t="s">
        <v>666</v>
      </c>
      <c r="D420" s="69"/>
      <c r="E420" s="69"/>
      <c r="F420" s="69"/>
      <c r="G420" s="69"/>
      <c r="H420" s="69"/>
      <c r="I420" s="69"/>
      <c r="J420" s="69"/>
      <c r="K420" s="208"/>
      <c r="L420" s="69"/>
      <c r="M420" s="69"/>
      <c r="N420" s="69"/>
      <c r="O420" s="69"/>
      <c r="P420" s="69"/>
    </row>
    <row r="421" spans="1:16" x14ac:dyDescent="0.25">
      <c r="A421" s="69">
        <v>651005</v>
      </c>
      <c r="B421" s="207">
        <f>VLOOKUP(A421,pravidla_SDcast!$A$1:$D$458,4,FALSE)</f>
        <v>2</v>
      </c>
      <c r="C421" s="69" t="s">
        <v>667</v>
      </c>
      <c r="D421" s="69"/>
      <c r="E421" s="69"/>
      <c r="F421" s="69"/>
      <c r="G421" s="69"/>
      <c r="H421" s="69"/>
      <c r="I421" s="69"/>
      <c r="J421" s="69"/>
      <c r="K421" s="208"/>
      <c r="L421" s="69"/>
      <c r="M421" s="69"/>
      <c r="N421" s="69"/>
      <c r="O421" s="69"/>
      <c r="P421" s="69"/>
    </row>
    <row r="422" spans="1:16" x14ac:dyDescent="0.25">
      <c r="A422" s="69">
        <v>652000</v>
      </c>
      <c r="B422" s="207">
        <f>VLOOKUP(A422,pravidla_SDcast!$A$1:$D$458,4,FALSE)</f>
        <v>2</v>
      </c>
      <c r="C422" s="69" t="s">
        <v>670</v>
      </c>
      <c r="D422" s="69"/>
      <c r="E422" s="69"/>
      <c r="F422" s="69"/>
      <c r="G422" s="69"/>
      <c r="H422" s="69"/>
      <c r="I422" s="69"/>
      <c r="J422" s="69"/>
      <c r="K422" s="208"/>
      <c r="L422" s="69"/>
      <c r="M422" s="69"/>
      <c r="N422" s="69"/>
      <c r="O422" s="69"/>
      <c r="P422" s="69"/>
    </row>
    <row r="423" spans="1:16" x14ac:dyDescent="0.25">
      <c r="A423" s="69">
        <v>652001</v>
      </c>
      <c r="B423" s="207">
        <f>VLOOKUP(A423,pravidla_SDcast!$A$1:$D$458,4,FALSE)</f>
        <v>2</v>
      </c>
      <c r="C423" s="69" t="s">
        <v>483</v>
      </c>
      <c r="D423" s="69"/>
      <c r="E423" s="69"/>
      <c r="F423" s="69"/>
      <c r="G423" s="69"/>
      <c r="H423" s="69"/>
      <c r="I423" s="69"/>
      <c r="J423" s="69"/>
      <c r="K423" s="208"/>
      <c r="L423" s="69"/>
      <c r="M423" s="69"/>
      <c r="N423" s="69"/>
      <c r="O423" s="69"/>
      <c r="P423" s="69"/>
    </row>
    <row r="424" spans="1:16" x14ac:dyDescent="0.25">
      <c r="A424" s="69">
        <v>652002</v>
      </c>
      <c r="B424" s="207">
        <f>VLOOKUP(A424,pravidla_SDcast!$A$1:$D$458,4,FALSE)</f>
        <v>2</v>
      </c>
      <c r="C424" s="69" t="s">
        <v>668</v>
      </c>
      <c r="D424" s="69"/>
      <c r="E424" s="69"/>
      <c r="F424" s="69"/>
      <c r="G424" s="69"/>
      <c r="H424" s="69"/>
      <c r="I424" s="69"/>
      <c r="J424" s="69"/>
      <c r="K424" s="208"/>
      <c r="L424" s="69"/>
      <c r="M424" s="69"/>
      <c r="N424" s="69"/>
      <c r="O424" s="69"/>
      <c r="P424" s="69"/>
    </row>
    <row r="425" spans="1:16" x14ac:dyDescent="0.25">
      <c r="A425" s="69">
        <v>652003</v>
      </c>
      <c r="B425" s="207">
        <f>VLOOKUP(A425,pravidla_SDcast!$A$1:$D$458,4,FALSE)</f>
        <v>2</v>
      </c>
      <c r="C425" s="69" t="s">
        <v>669</v>
      </c>
      <c r="D425" s="69"/>
      <c r="E425" s="69"/>
      <c r="F425" s="69"/>
      <c r="G425" s="69"/>
      <c r="H425" s="69"/>
      <c r="I425" s="69"/>
      <c r="J425" s="69"/>
      <c r="K425" s="208"/>
      <c r="L425" s="69"/>
      <c r="M425" s="69"/>
      <c r="N425" s="69"/>
      <c r="O425" s="69"/>
      <c r="P425" s="69"/>
    </row>
    <row r="426" spans="1:16" x14ac:dyDescent="0.25">
      <c r="A426" s="69">
        <v>652004</v>
      </c>
      <c r="B426" s="207">
        <f>VLOOKUP(A426,pravidla_SDcast!$A$1:$D$458,4,FALSE)</f>
        <v>2</v>
      </c>
      <c r="C426" s="69" t="s">
        <v>485</v>
      </c>
      <c r="D426" s="69"/>
      <c r="E426" s="69"/>
      <c r="F426" s="69"/>
      <c r="G426" s="69"/>
      <c r="H426" s="69"/>
      <c r="I426" s="69"/>
      <c r="J426" s="69"/>
      <c r="K426" s="208"/>
      <c r="L426" s="69"/>
      <c r="M426" s="69"/>
      <c r="N426" s="69"/>
      <c r="O426" s="69"/>
      <c r="P426" s="69"/>
    </row>
    <row r="427" spans="1:16" x14ac:dyDescent="0.25">
      <c r="A427" s="69">
        <v>653000</v>
      </c>
      <c r="B427" s="207">
        <f>VLOOKUP(A427,pravidla_SDcast!$A$1:$D$458,4,FALSE)</f>
        <v>2</v>
      </c>
      <c r="C427" s="69" t="s">
        <v>671</v>
      </c>
      <c r="D427" s="69"/>
      <c r="E427" s="69"/>
      <c r="F427" s="69"/>
      <c r="G427" s="69"/>
      <c r="H427" s="69"/>
      <c r="I427" s="69"/>
      <c r="J427" s="69"/>
      <c r="K427" s="208"/>
      <c r="L427" s="69"/>
      <c r="M427" s="69"/>
      <c r="N427" s="69"/>
      <c r="O427" s="69"/>
      <c r="P427" s="69"/>
    </row>
    <row r="428" spans="1:16" x14ac:dyDescent="0.25">
      <c r="A428" s="69">
        <v>653001</v>
      </c>
      <c r="B428" s="207">
        <f>VLOOKUP(A428,pravidla_SDcast!$A$1:$D$458,4,FALSE)</f>
        <v>9</v>
      </c>
      <c r="C428" s="69" t="s">
        <v>488</v>
      </c>
      <c r="D428" s="69"/>
      <c r="E428" s="69"/>
      <c r="F428" s="69"/>
      <c r="G428" s="69"/>
      <c r="H428" s="69"/>
      <c r="I428" s="69"/>
      <c r="J428" s="69"/>
      <c r="K428" s="208"/>
      <c r="L428" s="69"/>
      <c r="M428" s="69"/>
      <c r="N428" s="69"/>
      <c r="O428" s="69"/>
      <c r="P428" s="69"/>
    </row>
    <row r="429" spans="1:16" x14ac:dyDescent="0.25">
      <c r="A429" s="69">
        <v>653002</v>
      </c>
      <c r="B429" s="207">
        <f>VLOOKUP(A429,pravidla_SDcast!$A$1:$D$458,4,FALSE)</f>
        <v>9</v>
      </c>
      <c r="C429" s="69" t="s">
        <v>489</v>
      </c>
      <c r="D429" s="69"/>
      <c r="E429" s="69"/>
      <c r="F429" s="69"/>
      <c r="G429" s="69"/>
      <c r="H429" s="69"/>
      <c r="I429" s="69"/>
      <c r="J429" s="69"/>
      <c r="K429" s="208"/>
      <c r="L429" s="69"/>
      <c r="M429" s="69"/>
      <c r="N429" s="69"/>
      <c r="O429" s="69"/>
      <c r="P429" s="69"/>
    </row>
    <row r="430" spans="1:16" x14ac:dyDescent="0.25">
      <c r="A430" s="69">
        <v>653003</v>
      </c>
      <c r="B430" s="207">
        <f>VLOOKUP(A430,pravidla_SDcast!$A$1:$D$458,4,FALSE)</f>
        <v>2</v>
      </c>
      <c r="C430" s="69" t="s">
        <v>672</v>
      </c>
      <c r="D430" s="69"/>
      <c r="E430" s="69"/>
      <c r="F430" s="69"/>
      <c r="G430" s="69"/>
      <c r="H430" s="69"/>
      <c r="I430" s="69"/>
      <c r="J430" s="69"/>
      <c r="K430" s="208"/>
      <c r="L430" s="69"/>
      <c r="M430" s="69"/>
      <c r="N430" s="69"/>
      <c r="O430" s="69"/>
      <c r="P430" s="69"/>
    </row>
    <row r="431" spans="1:16" x14ac:dyDescent="0.25">
      <c r="A431" s="69">
        <v>653004</v>
      </c>
      <c r="B431" s="207">
        <f>VLOOKUP(A431,pravidla_SDcast!$A$1:$D$458,4,FALSE)</f>
        <v>9</v>
      </c>
      <c r="C431" s="69" t="s">
        <v>490</v>
      </c>
      <c r="D431" s="69"/>
      <c r="E431" s="69"/>
      <c r="F431" s="69"/>
      <c r="G431" s="69"/>
      <c r="H431" s="69"/>
      <c r="I431" s="69"/>
      <c r="J431" s="69"/>
      <c r="K431" s="208"/>
      <c r="L431" s="69"/>
      <c r="M431" s="69"/>
      <c r="N431" s="69"/>
      <c r="O431" s="69"/>
      <c r="P431" s="69"/>
    </row>
    <row r="432" spans="1:16" x14ac:dyDescent="0.25">
      <c r="A432" s="69">
        <v>700000</v>
      </c>
      <c r="B432" s="207" t="e">
        <f>VLOOKUP(A432,pravidla_SDcast!$A$1:$D$458,4,FALSE)</f>
        <v>#N/A</v>
      </c>
      <c r="C432" s="69" t="s">
        <v>846</v>
      </c>
      <c r="D432" s="69"/>
      <c r="E432" s="69"/>
      <c r="F432" s="69"/>
      <c r="G432" s="69"/>
      <c r="H432" s="69"/>
      <c r="I432" s="69"/>
      <c r="J432" s="69"/>
      <c r="K432" s="208"/>
      <c r="L432" s="69"/>
      <c r="M432" s="69"/>
      <c r="N432" s="69"/>
      <c r="O432" s="69"/>
      <c r="P432" s="69"/>
    </row>
    <row r="433" spans="1:16" x14ac:dyDescent="0.25">
      <c r="A433" s="69">
        <v>710000</v>
      </c>
      <c r="B433" s="207" t="e">
        <f>VLOOKUP(A433,pravidla_SDcast!$A$1:$D$458,4,FALSE)</f>
        <v>#N/A</v>
      </c>
      <c r="C433" s="69" t="s">
        <v>847</v>
      </c>
      <c r="D433" s="69"/>
      <c r="E433" s="69"/>
      <c r="F433" s="69"/>
      <c r="G433" s="69"/>
      <c r="H433" s="69"/>
      <c r="I433" s="69"/>
      <c r="J433" s="69"/>
      <c r="K433" s="208"/>
      <c r="L433" s="69"/>
      <c r="M433" s="69"/>
      <c r="N433" s="69"/>
      <c r="O433" s="69"/>
      <c r="P433" s="69"/>
    </row>
    <row r="434" spans="1:16" x14ac:dyDescent="0.25">
      <c r="A434" s="69">
        <v>711000</v>
      </c>
      <c r="B434" s="207" t="e">
        <f>VLOOKUP(A434,pravidla_SDcast!$A$1:$D$458,4,FALSE)</f>
        <v>#N/A</v>
      </c>
      <c r="C434" s="69" t="s">
        <v>848</v>
      </c>
      <c r="D434" s="69"/>
      <c r="E434" s="69"/>
      <c r="F434" s="69"/>
      <c r="G434" s="69"/>
      <c r="H434" s="69"/>
      <c r="I434" s="69"/>
      <c r="J434" s="69"/>
      <c r="K434" s="208"/>
      <c r="L434" s="69"/>
      <c r="M434" s="69"/>
      <c r="N434" s="69"/>
      <c r="O434" s="69"/>
      <c r="P434" s="69"/>
    </row>
    <row r="435" spans="1:16" x14ac:dyDescent="0.25">
      <c r="A435" s="69">
        <v>711001</v>
      </c>
      <c r="B435" s="207">
        <f>VLOOKUP(A435,pravidla_SDcast!$A$1:$D$458,4,FALSE)</f>
        <v>37</v>
      </c>
      <c r="C435" s="69" t="s">
        <v>491</v>
      </c>
      <c r="D435" s="69"/>
      <c r="E435" s="69"/>
      <c r="F435" s="69"/>
      <c r="G435" s="69"/>
      <c r="H435" s="69"/>
      <c r="I435" s="69"/>
      <c r="J435" s="69"/>
      <c r="K435" s="208"/>
      <c r="L435" s="69"/>
      <c r="M435" s="69"/>
      <c r="N435" s="69"/>
      <c r="O435" s="69"/>
      <c r="P435" s="69"/>
    </row>
    <row r="436" spans="1:16" x14ac:dyDescent="0.25">
      <c r="A436" s="69">
        <v>711002</v>
      </c>
      <c r="B436" s="207">
        <f>VLOOKUP(A436,pravidla_SDcast!$A$1:$D$458,4,FALSE)</f>
        <v>37</v>
      </c>
      <c r="C436" s="69" t="s">
        <v>492</v>
      </c>
      <c r="D436" s="69"/>
      <c r="E436" s="69"/>
      <c r="F436" s="69"/>
      <c r="G436" s="69"/>
      <c r="H436" s="69"/>
      <c r="I436" s="69"/>
      <c r="J436" s="69"/>
      <c r="K436" s="208"/>
      <c r="L436" s="69"/>
      <c r="M436" s="69"/>
      <c r="N436" s="69"/>
      <c r="O436" s="69"/>
      <c r="P436" s="69"/>
    </row>
    <row r="437" spans="1:16" x14ac:dyDescent="0.25">
      <c r="A437" s="69">
        <v>711003</v>
      </c>
      <c r="B437" s="207">
        <f>VLOOKUP(A437,pravidla_SDcast!$A$1:$D$458,4,FALSE)</f>
        <v>37</v>
      </c>
      <c r="C437" s="69" t="s">
        <v>401</v>
      </c>
      <c r="D437" s="69"/>
      <c r="E437" s="69"/>
      <c r="F437" s="69"/>
      <c r="G437" s="69"/>
      <c r="H437" s="69"/>
      <c r="I437" s="69"/>
      <c r="J437" s="69"/>
      <c r="K437" s="208"/>
      <c r="L437" s="69"/>
      <c r="M437" s="69"/>
      <c r="N437" s="69"/>
      <c r="O437" s="69"/>
      <c r="P437" s="69"/>
    </row>
    <row r="438" spans="1:16" x14ac:dyDescent="0.25">
      <c r="A438" s="69">
        <v>711004</v>
      </c>
      <c r="B438" s="207">
        <f>VLOOKUP(A438,pravidla_SDcast!$A$1:$D$458,4,FALSE)</f>
        <v>37</v>
      </c>
      <c r="C438" s="69" t="s">
        <v>493</v>
      </c>
      <c r="D438" s="69"/>
      <c r="E438" s="69"/>
      <c r="F438" s="69"/>
      <c r="G438" s="69"/>
      <c r="H438" s="69"/>
      <c r="I438" s="69"/>
      <c r="J438" s="69"/>
      <c r="K438" s="208"/>
      <c r="L438" s="69"/>
      <c r="M438" s="69"/>
      <c r="N438" s="69"/>
      <c r="O438" s="69"/>
      <c r="P438" s="69"/>
    </row>
    <row r="439" spans="1:16" x14ac:dyDescent="0.25">
      <c r="A439" s="69">
        <v>711005</v>
      </c>
      <c r="B439" s="207">
        <f>VLOOKUP(A439,pravidla_SDcast!$A$1:$D$458,4,FALSE)</f>
        <v>37</v>
      </c>
      <c r="C439" s="69" t="s">
        <v>494</v>
      </c>
      <c r="D439" s="69"/>
      <c r="E439" s="69"/>
      <c r="F439" s="69"/>
      <c r="G439" s="69"/>
      <c r="H439" s="69"/>
      <c r="I439" s="69"/>
      <c r="J439" s="69"/>
      <c r="K439" s="208"/>
      <c r="L439" s="69"/>
      <c r="M439" s="69"/>
      <c r="N439" s="69"/>
      <c r="O439" s="69"/>
      <c r="P439" s="69"/>
    </row>
    <row r="440" spans="1:16" x14ac:dyDescent="0.25">
      <c r="A440" s="69">
        <v>711200</v>
      </c>
      <c r="B440" s="207" t="e">
        <f>VLOOKUP(A440,pravidla_SDcast!$A$1:$D$458,4,FALSE)</f>
        <v>#N/A</v>
      </c>
      <c r="C440" s="69" t="s">
        <v>849</v>
      </c>
      <c r="D440" s="69"/>
      <c r="E440" s="69"/>
      <c r="F440" s="69"/>
      <c r="G440" s="69"/>
      <c r="H440" s="69"/>
      <c r="I440" s="69"/>
      <c r="J440" s="69"/>
      <c r="K440" s="208"/>
      <c r="L440" s="69"/>
      <c r="M440" s="69"/>
      <c r="N440" s="69"/>
      <c r="O440" s="69"/>
      <c r="P440" s="69"/>
    </row>
    <row r="441" spans="1:16" x14ac:dyDescent="0.25">
      <c r="A441" s="69">
        <v>712000</v>
      </c>
      <c r="B441" s="207" t="e">
        <f>VLOOKUP(A441,pravidla_SDcast!$A$1:$D$458,4,FALSE)</f>
        <v>#N/A</v>
      </c>
      <c r="C441" s="69" t="s">
        <v>850</v>
      </c>
      <c r="D441" s="69"/>
      <c r="E441" s="69"/>
      <c r="F441" s="69"/>
      <c r="G441" s="69"/>
      <c r="H441" s="69"/>
      <c r="I441" s="69"/>
      <c r="J441" s="69"/>
      <c r="K441" s="208"/>
      <c r="L441" s="69"/>
      <c r="M441" s="69"/>
      <c r="N441" s="69"/>
      <c r="O441" s="69"/>
      <c r="P441" s="69"/>
    </row>
    <row r="442" spans="1:16" x14ac:dyDescent="0.25">
      <c r="A442" s="69">
        <v>712001</v>
      </c>
      <c r="B442" s="207">
        <f>VLOOKUP(A442,pravidla_SDcast!$A$1:$D$458,4,FALSE)</f>
        <v>37</v>
      </c>
      <c r="C442" s="69" t="s">
        <v>186</v>
      </c>
      <c r="D442" s="69"/>
      <c r="E442" s="69"/>
      <c r="F442" s="69"/>
      <c r="G442" s="69"/>
      <c r="H442" s="69"/>
      <c r="I442" s="69"/>
      <c r="J442" s="69"/>
      <c r="K442" s="208"/>
      <c r="L442" s="69"/>
      <c r="M442" s="69"/>
      <c r="N442" s="69"/>
      <c r="O442" s="69"/>
      <c r="P442" s="69"/>
    </row>
    <row r="443" spans="1:16" x14ac:dyDescent="0.25">
      <c r="A443" s="69">
        <v>712002</v>
      </c>
      <c r="B443" s="207">
        <f>VLOOKUP(A443,pravidla_SDcast!$A$1:$D$458,4,FALSE)</f>
        <v>37</v>
      </c>
      <c r="C443" s="69" t="s">
        <v>495</v>
      </c>
      <c r="D443" s="69"/>
      <c r="E443" s="69"/>
      <c r="F443" s="69"/>
      <c r="G443" s="69"/>
      <c r="H443" s="69"/>
      <c r="I443" s="69"/>
      <c r="J443" s="69"/>
      <c r="K443" s="208"/>
      <c r="L443" s="69"/>
      <c r="M443" s="69"/>
      <c r="N443" s="69"/>
      <c r="O443" s="69"/>
      <c r="P443" s="69"/>
    </row>
    <row r="444" spans="1:16" x14ac:dyDescent="0.25">
      <c r="A444" s="69">
        <v>713000</v>
      </c>
      <c r="B444" s="207">
        <f>VLOOKUP(A444,pravidla_SDcast!$A$1:$D$458,4,FALSE)</f>
        <v>37</v>
      </c>
      <c r="C444" s="69" t="s">
        <v>496</v>
      </c>
      <c r="D444" s="69"/>
      <c r="E444" s="69"/>
      <c r="F444" s="69"/>
      <c r="G444" s="69"/>
      <c r="H444" s="69"/>
      <c r="I444" s="69"/>
      <c r="J444" s="69"/>
      <c r="K444" s="208"/>
      <c r="L444" s="69"/>
      <c r="M444" s="69"/>
      <c r="N444" s="69"/>
      <c r="O444" s="69"/>
      <c r="P444" s="69"/>
    </row>
    <row r="445" spans="1:16" x14ac:dyDescent="0.25">
      <c r="A445" s="69">
        <v>713001</v>
      </c>
      <c r="B445" s="207">
        <f>VLOOKUP(A445,pravidla_SDcast!$A$1:$D$458,4,FALSE)</f>
        <v>37</v>
      </c>
      <c r="C445" s="69" t="s">
        <v>394</v>
      </c>
      <c r="D445" s="69"/>
      <c r="E445" s="69"/>
      <c r="F445" s="69"/>
      <c r="G445" s="69"/>
      <c r="H445" s="69"/>
      <c r="I445" s="69"/>
      <c r="J445" s="69"/>
      <c r="K445" s="208"/>
      <c r="L445" s="69"/>
      <c r="M445" s="69"/>
      <c r="N445" s="69"/>
      <c r="O445" s="69"/>
      <c r="P445" s="69"/>
    </row>
    <row r="446" spans="1:16" x14ac:dyDescent="0.25">
      <c r="A446" s="69">
        <v>713002</v>
      </c>
      <c r="B446" s="207">
        <f>VLOOKUP(A446,pravidla_SDcast!$A$1:$D$458,4,FALSE)</f>
        <v>37</v>
      </c>
      <c r="C446" s="69" t="s">
        <v>395</v>
      </c>
      <c r="D446" s="69"/>
      <c r="E446" s="69"/>
      <c r="F446" s="69"/>
      <c r="G446" s="69"/>
      <c r="H446" s="69"/>
      <c r="I446" s="69"/>
      <c r="J446" s="69"/>
      <c r="K446" s="208"/>
      <c r="L446" s="69"/>
      <c r="M446" s="69"/>
      <c r="N446" s="69"/>
      <c r="O446" s="69"/>
      <c r="P446" s="69"/>
    </row>
    <row r="447" spans="1:16" x14ac:dyDescent="0.25">
      <c r="A447" s="69">
        <v>713003</v>
      </c>
      <c r="B447" s="207">
        <f>VLOOKUP(A447,pravidla_SDcast!$A$1:$D$458,4,FALSE)</f>
        <v>37</v>
      </c>
      <c r="C447" s="69" t="s">
        <v>396</v>
      </c>
      <c r="D447" s="69"/>
      <c r="E447" s="69"/>
      <c r="F447" s="69"/>
      <c r="G447" s="69"/>
      <c r="H447" s="69"/>
      <c r="I447" s="69"/>
      <c r="J447" s="69"/>
      <c r="K447" s="208"/>
      <c r="L447" s="69"/>
      <c r="M447" s="69"/>
      <c r="N447" s="69"/>
      <c r="O447" s="69"/>
      <c r="P447" s="69"/>
    </row>
    <row r="448" spans="1:16" x14ac:dyDescent="0.25">
      <c r="A448" s="69">
        <v>713004</v>
      </c>
      <c r="B448" s="207">
        <f>VLOOKUP(A448,pravidla_SDcast!$A$1:$D$458,4,FALSE)</f>
        <v>37</v>
      </c>
      <c r="C448" s="69" t="s">
        <v>397</v>
      </c>
      <c r="D448" s="69"/>
      <c r="E448" s="69"/>
      <c r="F448" s="69"/>
      <c r="G448" s="69"/>
      <c r="H448" s="69"/>
      <c r="I448" s="69"/>
      <c r="J448" s="69"/>
      <c r="K448" s="208"/>
      <c r="L448" s="69"/>
      <c r="M448" s="69"/>
      <c r="N448" s="69"/>
      <c r="O448" s="69"/>
      <c r="P448" s="69"/>
    </row>
    <row r="449" spans="1:16" x14ac:dyDescent="0.25">
      <c r="A449" s="69">
        <v>713005</v>
      </c>
      <c r="B449" s="207">
        <f>VLOOKUP(A449,pravidla_SDcast!$A$1:$D$458,4,FALSE)</f>
        <v>37</v>
      </c>
      <c r="C449" s="69" t="s">
        <v>405</v>
      </c>
      <c r="D449" s="69"/>
      <c r="E449" s="69"/>
      <c r="F449" s="69"/>
      <c r="G449" s="69"/>
      <c r="H449" s="69"/>
      <c r="I449" s="69"/>
      <c r="J449" s="69"/>
      <c r="K449" s="208"/>
      <c r="L449" s="69"/>
      <c r="M449" s="69"/>
      <c r="N449" s="69"/>
      <c r="O449" s="69"/>
      <c r="P449" s="69"/>
    </row>
    <row r="450" spans="1:16" x14ac:dyDescent="0.25">
      <c r="A450" s="69">
        <v>713006</v>
      </c>
      <c r="B450" s="207">
        <f>VLOOKUP(A450,pravidla_SDcast!$A$1:$D$458,4,FALSE)</f>
        <v>37</v>
      </c>
      <c r="C450" s="69" t="s">
        <v>402</v>
      </c>
      <c r="D450" s="69"/>
      <c r="E450" s="69"/>
      <c r="F450" s="69"/>
      <c r="G450" s="69"/>
      <c r="H450" s="69"/>
      <c r="I450" s="69"/>
      <c r="J450" s="69"/>
      <c r="K450" s="208"/>
      <c r="L450" s="69"/>
      <c r="M450" s="69"/>
      <c r="N450" s="69"/>
      <c r="O450" s="69"/>
      <c r="P450" s="69"/>
    </row>
    <row r="451" spans="1:16" x14ac:dyDescent="0.25">
      <c r="A451" s="69">
        <v>714000</v>
      </c>
      <c r="B451" s="207">
        <f>VLOOKUP(A451,pravidla_SDcast!$A$1:$D$458,4,FALSE)</f>
        <v>37</v>
      </c>
      <c r="C451" s="69" t="s">
        <v>499</v>
      </c>
      <c r="D451" s="69"/>
      <c r="E451" s="69"/>
      <c r="F451" s="69"/>
      <c r="G451" s="69"/>
      <c r="H451" s="69"/>
      <c r="I451" s="69"/>
      <c r="J451" s="69"/>
      <c r="K451" s="208"/>
      <c r="L451" s="69"/>
      <c r="M451" s="69"/>
      <c r="N451" s="69"/>
      <c r="O451" s="69"/>
      <c r="P451" s="69"/>
    </row>
    <row r="452" spans="1:16" x14ac:dyDescent="0.25">
      <c r="A452" s="69">
        <v>714001</v>
      </c>
      <c r="B452" s="207">
        <f>VLOOKUP(A452,pravidla_SDcast!$A$1:$D$458,4,FALSE)</f>
        <v>37</v>
      </c>
      <c r="C452" s="69" t="s">
        <v>500</v>
      </c>
      <c r="D452" s="69"/>
      <c r="E452" s="69"/>
      <c r="F452" s="69"/>
      <c r="G452" s="69"/>
      <c r="H452" s="69"/>
      <c r="I452" s="69"/>
      <c r="J452" s="69"/>
      <c r="K452" s="208"/>
      <c r="L452" s="69"/>
      <c r="M452" s="69"/>
      <c r="N452" s="69"/>
      <c r="O452" s="69"/>
      <c r="P452" s="69"/>
    </row>
    <row r="453" spans="1:16" x14ac:dyDescent="0.25">
      <c r="A453" s="69">
        <v>714002</v>
      </c>
      <c r="B453" s="207">
        <f>VLOOKUP(A453,pravidla_SDcast!$A$1:$D$458,4,FALSE)</f>
        <v>37</v>
      </c>
      <c r="C453" s="69" t="s">
        <v>501</v>
      </c>
      <c r="D453" s="69"/>
      <c r="E453" s="69"/>
      <c r="F453" s="69"/>
      <c r="G453" s="69"/>
      <c r="H453" s="69"/>
      <c r="I453" s="69"/>
      <c r="J453" s="69"/>
      <c r="K453" s="208"/>
      <c r="L453" s="69"/>
      <c r="M453" s="69"/>
      <c r="N453" s="69"/>
      <c r="O453" s="69"/>
      <c r="P453" s="69"/>
    </row>
    <row r="454" spans="1:16" x14ac:dyDescent="0.25">
      <c r="A454" s="69">
        <v>714003</v>
      </c>
      <c r="B454" s="207">
        <f>VLOOKUP(A454,pravidla_SDcast!$A$1:$D$458,4,FALSE)</f>
        <v>37</v>
      </c>
      <c r="C454" s="69" t="s">
        <v>502</v>
      </c>
      <c r="D454" s="69"/>
      <c r="E454" s="69"/>
      <c r="F454" s="69"/>
      <c r="G454" s="69"/>
      <c r="H454" s="69"/>
      <c r="I454" s="69"/>
      <c r="J454" s="69"/>
      <c r="K454" s="208"/>
      <c r="L454" s="69"/>
      <c r="M454" s="69"/>
      <c r="N454" s="69"/>
      <c r="O454" s="69"/>
      <c r="P454" s="69"/>
    </row>
    <row r="455" spans="1:16" x14ac:dyDescent="0.25">
      <c r="A455" s="69">
        <v>714004</v>
      </c>
      <c r="B455" s="207">
        <f>VLOOKUP(A455,pravidla_SDcast!$A$1:$D$458,4,FALSE)</f>
        <v>37</v>
      </c>
      <c r="C455" s="69" t="s">
        <v>851</v>
      </c>
      <c r="D455" s="69"/>
      <c r="E455" s="69"/>
      <c r="F455" s="69"/>
      <c r="G455" s="69"/>
      <c r="H455" s="69"/>
      <c r="I455" s="69"/>
      <c r="J455" s="69"/>
      <c r="K455" s="208"/>
      <c r="L455" s="69"/>
      <c r="M455" s="69"/>
      <c r="N455" s="69"/>
      <c r="O455" s="69"/>
      <c r="P455" s="69"/>
    </row>
    <row r="456" spans="1:16" x14ac:dyDescent="0.25">
      <c r="A456" s="69">
        <v>714005</v>
      </c>
      <c r="B456" s="207">
        <f>VLOOKUP(A456,pravidla_SDcast!$A$1:$D$458,4,FALSE)</f>
        <v>37</v>
      </c>
      <c r="C456" s="69" t="s">
        <v>504</v>
      </c>
      <c r="D456" s="69"/>
      <c r="E456" s="69"/>
      <c r="F456" s="69"/>
      <c r="G456" s="69"/>
      <c r="H456" s="69"/>
      <c r="I456" s="69"/>
      <c r="J456" s="69"/>
      <c r="K456" s="208"/>
      <c r="L456" s="69"/>
      <c r="M456" s="69"/>
      <c r="N456" s="69"/>
      <c r="O456" s="69"/>
      <c r="P456" s="69"/>
    </row>
    <row r="457" spans="1:16" x14ac:dyDescent="0.25">
      <c r="A457" s="69">
        <v>714006</v>
      </c>
      <c r="B457" s="207">
        <f>VLOOKUP(A457,pravidla_SDcast!$A$1:$D$458,4,FALSE)</f>
        <v>37</v>
      </c>
      <c r="C457" s="69" t="s">
        <v>505</v>
      </c>
      <c r="D457" s="69"/>
      <c r="E457" s="69"/>
      <c r="F457" s="69"/>
      <c r="G457" s="69"/>
      <c r="H457" s="69"/>
      <c r="I457" s="69"/>
      <c r="J457" s="69"/>
      <c r="K457" s="208"/>
      <c r="L457" s="69"/>
      <c r="M457" s="69"/>
      <c r="N457" s="69"/>
      <c r="O457" s="69"/>
      <c r="P457" s="69"/>
    </row>
    <row r="458" spans="1:16" x14ac:dyDescent="0.25">
      <c r="A458" s="69">
        <v>716000</v>
      </c>
      <c r="B458" s="207">
        <f>VLOOKUP(A458,pravidla_SDcast!$A$1:$D$458,4,FALSE)</f>
        <v>37</v>
      </c>
      <c r="C458" s="69" t="s">
        <v>507</v>
      </c>
      <c r="D458" s="69"/>
      <c r="E458" s="69"/>
      <c r="F458" s="69"/>
      <c r="G458" s="69"/>
      <c r="H458" s="69"/>
      <c r="I458" s="69"/>
      <c r="J458" s="69"/>
      <c r="K458" s="208"/>
      <c r="L458" s="69"/>
      <c r="M458" s="69"/>
      <c r="N458" s="69"/>
      <c r="O458" s="69"/>
      <c r="P458" s="69"/>
    </row>
    <row r="459" spans="1:16" x14ac:dyDescent="0.25">
      <c r="A459" s="69">
        <v>717000</v>
      </c>
      <c r="B459" s="207">
        <f>VLOOKUP(A459,pravidla_SDcast!$A$1:$D$458,4,FALSE)</f>
        <v>37</v>
      </c>
      <c r="C459" s="69" t="s">
        <v>508</v>
      </c>
      <c r="D459" s="69"/>
      <c r="E459" s="69"/>
      <c r="F459" s="69"/>
      <c r="G459" s="69"/>
      <c r="H459" s="69"/>
      <c r="I459" s="69"/>
      <c r="J459" s="69"/>
      <c r="K459" s="208"/>
      <c r="L459" s="69"/>
      <c r="M459" s="69"/>
      <c r="N459" s="69"/>
      <c r="O459" s="69"/>
      <c r="P459" s="69"/>
    </row>
    <row r="460" spans="1:16" x14ac:dyDescent="0.25">
      <c r="A460" s="69">
        <v>717001</v>
      </c>
      <c r="B460" s="207">
        <f>VLOOKUP(A460,pravidla_SDcast!$A$1:$D$458,4,FALSE)</f>
        <v>37</v>
      </c>
      <c r="C460" s="69" t="s">
        <v>509</v>
      </c>
      <c r="D460" s="69"/>
      <c r="E460" s="69"/>
      <c r="F460" s="69"/>
      <c r="G460" s="69"/>
      <c r="H460" s="69"/>
      <c r="I460" s="69"/>
      <c r="J460" s="69"/>
      <c r="K460" s="208"/>
      <c r="L460" s="69"/>
      <c r="M460" s="69"/>
      <c r="N460" s="69"/>
      <c r="O460" s="69"/>
      <c r="P460" s="69"/>
    </row>
    <row r="461" spans="1:16" x14ac:dyDescent="0.25">
      <c r="A461" s="69">
        <v>717002</v>
      </c>
      <c r="B461" s="207">
        <f>VLOOKUP(A461,pravidla_SDcast!$A$1:$D$458,4,FALSE)</f>
        <v>37</v>
      </c>
      <c r="C461" s="69" t="s">
        <v>510</v>
      </c>
      <c r="D461" s="69"/>
      <c r="E461" s="69"/>
      <c r="F461" s="69"/>
      <c r="G461" s="69"/>
      <c r="H461" s="69"/>
      <c r="I461" s="69"/>
      <c r="J461" s="69"/>
      <c r="K461" s="208"/>
      <c r="L461" s="69"/>
      <c r="M461" s="69"/>
      <c r="N461" s="69"/>
      <c r="O461" s="69"/>
      <c r="P461" s="69"/>
    </row>
    <row r="462" spans="1:16" x14ac:dyDescent="0.25">
      <c r="A462" s="69">
        <v>717003</v>
      </c>
      <c r="B462" s="207">
        <f>VLOOKUP(A462,pravidla_SDcast!$A$1:$D$458,4,FALSE)</f>
        <v>37</v>
      </c>
      <c r="C462" s="69" t="s">
        <v>511</v>
      </c>
      <c r="D462" s="69"/>
      <c r="E462" s="69"/>
      <c r="F462" s="69"/>
      <c r="G462" s="69"/>
      <c r="H462" s="69"/>
      <c r="I462" s="69"/>
      <c r="J462" s="69"/>
      <c r="K462" s="208"/>
      <c r="L462" s="69"/>
      <c r="M462" s="69"/>
      <c r="N462" s="69"/>
      <c r="O462" s="69"/>
      <c r="P462" s="69"/>
    </row>
    <row r="463" spans="1:16" x14ac:dyDescent="0.25">
      <c r="A463" s="69">
        <v>718000</v>
      </c>
      <c r="B463" s="207" t="e">
        <f>VLOOKUP(A463,pravidla_SDcast!$A$1:$D$458,4,FALSE)</f>
        <v>#N/A</v>
      </c>
      <c r="C463" s="69" t="s">
        <v>510</v>
      </c>
      <c r="D463" s="69"/>
      <c r="E463" s="69"/>
      <c r="F463" s="69"/>
      <c r="G463" s="69"/>
      <c r="H463" s="69"/>
      <c r="I463" s="69"/>
      <c r="J463" s="69"/>
      <c r="K463" s="208"/>
      <c r="L463" s="69"/>
      <c r="M463" s="69"/>
      <c r="N463" s="69"/>
      <c r="O463" s="69"/>
      <c r="P463" s="69"/>
    </row>
    <row r="464" spans="1:16" x14ac:dyDescent="0.25">
      <c r="A464" s="69">
        <v>718002</v>
      </c>
      <c r="B464" s="207">
        <f>VLOOKUP(A464,pravidla_SDcast!$A$1:$D$458,4,FALSE)</f>
        <v>37</v>
      </c>
      <c r="C464" s="69" t="s">
        <v>395</v>
      </c>
      <c r="D464" s="69"/>
      <c r="E464" s="69"/>
      <c r="F464" s="69"/>
      <c r="G464" s="69"/>
      <c r="H464" s="69"/>
      <c r="I464" s="69"/>
      <c r="J464" s="69"/>
      <c r="K464" s="208"/>
      <c r="L464" s="69"/>
      <c r="M464" s="69"/>
      <c r="N464" s="69"/>
      <c r="O464" s="69"/>
      <c r="P464" s="69"/>
    </row>
    <row r="465" spans="1:16" x14ac:dyDescent="0.25">
      <c r="A465" s="69">
        <v>718003</v>
      </c>
      <c r="B465" s="207">
        <f>VLOOKUP(A465,pravidla_SDcast!$A$1:$D$458,4,FALSE)</f>
        <v>37</v>
      </c>
      <c r="C465" s="69" t="s">
        <v>396</v>
      </c>
      <c r="D465" s="69"/>
      <c r="E465" s="69"/>
      <c r="F465" s="69"/>
      <c r="G465" s="69"/>
      <c r="H465" s="69"/>
      <c r="I465" s="69"/>
      <c r="J465" s="69"/>
      <c r="K465" s="208"/>
      <c r="L465" s="69"/>
      <c r="M465" s="69"/>
      <c r="N465" s="69"/>
      <c r="O465" s="69"/>
      <c r="P465" s="69"/>
    </row>
    <row r="466" spans="1:16" x14ac:dyDescent="0.25">
      <c r="A466" s="69">
        <v>718004</v>
      </c>
      <c r="B466" s="207">
        <f>VLOOKUP(A466,pravidla_SDcast!$A$1:$D$458,4,FALSE)</f>
        <v>37</v>
      </c>
      <c r="C466" s="69" t="s">
        <v>397</v>
      </c>
      <c r="D466" s="69"/>
      <c r="E466" s="69"/>
      <c r="F466" s="69"/>
      <c r="G466" s="69"/>
      <c r="H466" s="69"/>
      <c r="I466" s="69"/>
      <c r="J466" s="69"/>
      <c r="K466" s="208"/>
      <c r="L466" s="69"/>
      <c r="M466" s="69"/>
      <c r="N466" s="69"/>
      <c r="O466" s="69"/>
      <c r="P466" s="69"/>
    </row>
    <row r="467" spans="1:16" x14ac:dyDescent="0.25">
      <c r="A467" s="69">
        <v>718005</v>
      </c>
      <c r="B467" s="207">
        <f>VLOOKUP(A467,pravidla_SDcast!$A$1:$D$458,4,FALSE)</f>
        <v>37</v>
      </c>
      <c r="C467" s="69" t="s">
        <v>398</v>
      </c>
      <c r="D467" s="69"/>
      <c r="E467" s="69"/>
      <c r="F467" s="69"/>
      <c r="G467" s="69"/>
      <c r="H467" s="69"/>
      <c r="I467" s="69"/>
      <c r="J467" s="69"/>
      <c r="K467" s="208"/>
      <c r="L467" s="69"/>
      <c r="M467" s="69"/>
      <c r="N467" s="69"/>
      <c r="O467" s="69"/>
      <c r="P467" s="69"/>
    </row>
    <row r="468" spans="1:16" x14ac:dyDescent="0.25">
      <c r="A468" s="69">
        <v>718006</v>
      </c>
      <c r="B468" s="207">
        <f>VLOOKUP(A468,pravidla_SDcast!$A$1:$D$458,4,FALSE)</f>
        <v>37</v>
      </c>
      <c r="C468" s="69" t="s">
        <v>401</v>
      </c>
      <c r="D468" s="69"/>
      <c r="E468" s="69"/>
      <c r="F468" s="69"/>
      <c r="G468" s="69"/>
      <c r="H468" s="69"/>
      <c r="I468" s="69"/>
      <c r="J468" s="69"/>
      <c r="K468" s="208"/>
      <c r="L468" s="69"/>
      <c r="M468" s="69"/>
      <c r="N468" s="69"/>
      <c r="O468" s="69"/>
      <c r="P468" s="69"/>
    </row>
    <row r="469" spans="1:16" x14ac:dyDescent="0.25">
      <c r="A469" s="69">
        <v>718007</v>
      </c>
      <c r="B469" s="207">
        <f>VLOOKUP(A469,pravidla_SDcast!$A$1:$D$458,4,FALSE)</f>
        <v>37</v>
      </c>
      <c r="C469" s="69" t="s">
        <v>402</v>
      </c>
      <c r="D469" s="69"/>
      <c r="E469" s="69"/>
      <c r="F469" s="69"/>
      <c r="G469" s="69"/>
      <c r="H469" s="69"/>
      <c r="I469" s="69"/>
      <c r="J469" s="69"/>
      <c r="K469" s="208"/>
      <c r="L469" s="69"/>
      <c r="M469" s="69"/>
      <c r="N469" s="69"/>
      <c r="O469" s="69"/>
      <c r="P469" s="69"/>
    </row>
    <row r="470" spans="1:16" x14ac:dyDescent="0.25">
      <c r="A470" s="69">
        <v>719000</v>
      </c>
      <c r="B470" s="207">
        <f>VLOOKUP(A470,pravidla_SDcast!$A$1:$D$458,4,FALSE)</f>
        <v>37</v>
      </c>
      <c r="C470" s="69" t="s">
        <v>513</v>
      </c>
      <c r="D470" s="69"/>
      <c r="E470" s="69"/>
      <c r="F470" s="69"/>
      <c r="G470" s="69"/>
      <c r="H470" s="69"/>
      <c r="I470" s="69"/>
      <c r="J470" s="69"/>
      <c r="K470" s="208"/>
      <c r="L470" s="69"/>
      <c r="M470" s="69"/>
      <c r="N470" s="69"/>
      <c r="O470" s="69"/>
      <c r="P470" s="69"/>
    </row>
    <row r="471" spans="1:16" x14ac:dyDescent="0.25">
      <c r="A471" s="69">
        <v>719001</v>
      </c>
      <c r="B471" s="207">
        <f>VLOOKUP(A471,pravidla_SDcast!$A$1:$D$458,4,FALSE)</f>
        <v>37</v>
      </c>
      <c r="C471" s="69" t="s">
        <v>514</v>
      </c>
      <c r="D471" s="69"/>
      <c r="E471" s="69"/>
      <c r="F471" s="69"/>
      <c r="G471" s="69"/>
      <c r="H471" s="69"/>
      <c r="I471" s="69"/>
      <c r="J471" s="69"/>
      <c r="K471" s="208"/>
      <c r="L471" s="69"/>
      <c r="M471" s="69"/>
      <c r="N471" s="69"/>
      <c r="O471" s="69"/>
      <c r="P471" s="69"/>
    </row>
    <row r="472" spans="1:16" x14ac:dyDescent="0.25">
      <c r="A472" s="69">
        <v>719002</v>
      </c>
      <c r="B472" s="207">
        <f>VLOOKUP(A472,pravidla_SDcast!$A$1:$D$458,4,FALSE)</f>
        <v>37</v>
      </c>
      <c r="C472" s="69" t="s">
        <v>515</v>
      </c>
      <c r="D472" s="69"/>
      <c r="E472" s="69"/>
      <c r="F472" s="69"/>
      <c r="G472" s="69"/>
      <c r="H472" s="69"/>
      <c r="I472" s="69"/>
      <c r="J472" s="69"/>
      <c r="K472" s="208"/>
      <c r="L472" s="69"/>
      <c r="M472" s="69"/>
      <c r="N472" s="69"/>
      <c r="O472" s="69"/>
      <c r="P472" s="69"/>
    </row>
    <row r="473" spans="1:16" x14ac:dyDescent="0.25">
      <c r="A473" s="69">
        <v>719004</v>
      </c>
      <c r="B473" s="207">
        <f>VLOOKUP(A473,pravidla_SDcast!$A$1:$D$458,4,FALSE)</f>
        <v>9</v>
      </c>
      <c r="C473" s="69" t="s">
        <v>516</v>
      </c>
      <c r="D473" s="69"/>
      <c r="E473" s="69"/>
      <c r="F473" s="69"/>
      <c r="G473" s="69"/>
      <c r="H473" s="69"/>
      <c r="I473" s="69"/>
      <c r="J473" s="69"/>
      <c r="K473" s="208"/>
      <c r="L473" s="69"/>
      <c r="M473" s="69"/>
      <c r="N473" s="69"/>
      <c r="O473" s="69"/>
      <c r="P473" s="69"/>
    </row>
    <row r="474" spans="1:16" x14ac:dyDescent="0.25">
      <c r="A474" s="69">
        <v>719012</v>
      </c>
      <c r="B474" s="207">
        <f>VLOOKUP(A474,pravidla_SDcast!$A$1:$D$458,4,FALSE)</f>
        <v>37</v>
      </c>
      <c r="C474" s="69" t="s">
        <v>517</v>
      </c>
      <c r="D474" s="69"/>
      <c r="E474" s="69"/>
      <c r="F474" s="69"/>
      <c r="G474" s="69"/>
      <c r="H474" s="69"/>
      <c r="I474" s="69"/>
      <c r="J474" s="69"/>
      <c r="K474" s="208"/>
      <c r="L474" s="69"/>
      <c r="M474" s="69"/>
      <c r="N474" s="69"/>
      <c r="O474" s="69"/>
      <c r="P474" s="69"/>
    </row>
    <row r="475" spans="1:16" x14ac:dyDescent="0.25">
      <c r="A475" s="69">
        <v>719013</v>
      </c>
      <c r="B475" s="207">
        <f>VLOOKUP(A475,pravidla_SDcast!$A$1:$D$458,4,FALSE)</f>
        <v>37</v>
      </c>
      <c r="C475" s="69" t="s">
        <v>518</v>
      </c>
      <c r="D475" s="69"/>
      <c r="E475" s="69"/>
      <c r="F475" s="69"/>
      <c r="G475" s="69"/>
      <c r="H475" s="69"/>
      <c r="I475" s="69"/>
      <c r="J475" s="69"/>
      <c r="K475" s="208"/>
      <c r="L475" s="69"/>
      <c r="M475" s="69"/>
      <c r="N475" s="69"/>
      <c r="O475" s="69"/>
      <c r="P475" s="69"/>
    </row>
    <row r="476" spans="1:16" x14ac:dyDescent="0.25">
      <c r="A476" s="69">
        <v>719014</v>
      </c>
      <c r="B476" s="207">
        <f>VLOOKUP(A476,pravidla_SDcast!$A$1:$D$458,4,FALSE)</f>
        <v>9</v>
      </c>
      <c r="C476" s="69" t="s">
        <v>441</v>
      </c>
      <c r="D476" s="69"/>
      <c r="E476" s="69"/>
      <c r="F476" s="69"/>
      <c r="G476" s="69"/>
      <c r="H476" s="69"/>
      <c r="I476" s="69"/>
      <c r="J476" s="69"/>
      <c r="K476" s="208"/>
      <c r="L476" s="69"/>
      <c r="M476" s="69"/>
      <c r="N476" s="69"/>
      <c r="O476" s="69"/>
      <c r="P476" s="69"/>
    </row>
    <row r="477" spans="1:16" x14ac:dyDescent="0.25">
      <c r="A477" s="69">
        <v>719200</v>
      </c>
      <c r="B477" s="207">
        <f>VLOOKUP(A477,pravidla_SDcast!$A$1:$D$458,4,FALSE)</f>
        <v>37</v>
      </c>
      <c r="C477" s="69" t="s">
        <v>146</v>
      </c>
      <c r="D477" s="69"/>
      <c r="E477" s="69"/>
      <c r="F477" s="69"/>
      <c r="G477" s="69"/>
      <c r="H477" s="69"/>
      <c r="I477" s="69"/>
      <c r="J477" s="69"/>
      <c r="K477" s="208"/>
      <c r="L477" s="69"/>
      <c r="M477" s="69"/>
      <c r="N477" s="69"/>
      <c r="O477" s="69"/>
      <c r="P477" s="69"/>
    </row>
    <row r="478" spans="1:16" x14ac:dyDescent="0.25">
      <c r="A478" s="69">
        <v>720000</v>
      </c>
      <c r="B478" s="207" t="e">
        <f>VLOOKUP(A478,pravidla_SDcast!$A$1:$D$458,4,FALSE)</f>
        <v>#N/A</v>
      </c>
      <c r="C478" s="69" t="s">
        <v>852</v>
      </c>
      <c r="D478" s="69"/>
      <c r="E478" s="69"/>
      <c r="F478" s="69"/>
      <c r="G478" s="69"/>
      <c r="H478" s="69"/>
      <c r="I478" s="69"/>
      <c r="J478" s="69"/>
      <c r="K478" s="208"/>
      <c r="L478" s="69"/>
      <c r="M478" s="69"/>
      <c r="N478" s="69"/>
      <c r="O478" s="69"/>
      <c r="P478" s="69"/>
    </row>
    <row r="479" spans="1:16" x14ac:dyDescent="0.25">
      <c r="A479" s="69">
        <v>721000</v>
      </c>
      <c r="B479" s="207">
        <f>VLOOKUP(A479,pravidla_SDcast!$A$1:$D$458,4,FALSE)</f>
        <v>2</v>
      </c>
      <c r="C479" s="69" t="s">
        <v>328</v>
      </c>
      <c r="D479" s="69"/>
      <c r="E479" s="69"/>
      <c r="F479" s="69"/>
      <c r="G479" s="69"/>
      <c r="H479" s="69"/>
      <c r="I479" s="69"/>
      <c r="J479" s="69"/>
      <c r="K479" s="208"/>
      <c r="L479" s="69"/>
      <c r="M479" s="69"/>
      <c r="N479" s="69"/>
      <c r="O479" s="69"/>
      <c r="P479" s="69"/>
    </row>
    <row r="480" spans="1:16" x14ac:dyDescent="0.25">
      <c r="A480" s="69">
        <v>721001</v>
      </c>
      <c r="B480" s="207">
        <f>VLOOKUP(A480,pravidla_SDcast!$A$1:$D$458,4,FALSE)</f>
        <v>2</v>
      </c>
      <c r="C480" s="69" t="s">
        <v>610</v>
      </c>
      <c r="D480" s="69"/>
      <c r="E480" s="69"/>
      <c r="F480" s="69"/>
      <c r="G480" s="69"/>
      <c r="H480" s="69"/>
      <c r="I480" s="69"/>
      <c r="J480" s="69"/>
      <c r="K480" s="208"/>
      <c r="L480" s="69"/>
      <c r="M480" s="69"/>
      <c r="N480" s="69"/>
      <c r="O480" s="69"/>
      <c r="P480" s="69"/>
    </row>
    <row r="481" spans="1:16" x14ac:dyDescent="0.25">
      <c r="A481" s="69">
        <v>721002</v>
      </c>
      <c r="B481" s="207">
        <f>VLOOKUP(A481,pravidla_SDcast!$A$1:$D$458,4,FALSE)</f>
        <v>2</v>
      </c>
      <c r="C481" s="69" t="s">
        <v>613</v>
      </c>
      <c r="D481" s="69"/>
      <c r="E481" s="69"/>
      <c r="F481" s="69"/>
      <c r="G481" s="69"/>
      <c r="H481" s="69"/>
      <c r="I481" s="69"/>
      <c r="J481" s="69"/>
      <c r="K481" s="208"/>
      <c r="L481" s="69"/>
      <c r="M481" s="69"/>
      <c r="N481" s="69"/>
      <c r="O481" s="69"/>
      <c r="P481" s="69"/>
    </row>
    <row r="482" spans="1:16" x14ac:dyDescent="0.25">
      <c r="A482" s="69">
        <v>721003</v>
      </c>
      <c r="B482" s="207">
        <f>VLOOKUP(A482,pravidla_SDcast!$A$1:$D$458,4,FALSE)</f>
        <v>2</v>
      </c>
      <c r="C482" s="69" t="s">
        <v>614</v>
      </c>
      <c r="D482" s="69"/>
      <c r="E482" s="69"/>
      <c r="F482" s="69"/>
      <c r="G482" s="69"/>
      <c r="H482" s="69"/>
      <c r="I482" s="69"/>
      <c r="J482" s="69"/>
      <c r="K482" s="208"/>
      <c r="L482" s="69"/>
      <c r="M482" s="69"/>
      <c r="N482" s="69"/>
      <c r="O482" s="69"/>
      <c r="P482" s="69"/>
    </row>
    <row r="483" spans="1:16" x14ac:dyDescent="0.25">
      <c r="A483" s="69">
        <v>721004</v>
      </c>
      <c r="B483" s="207">
        <f>VLOOKUP(A483,pravidla_SDcast!$A$1:$D$458,4,FALSE)</f>
        <v>2</v>
      </c>
      <c r="C483" s="69" t="s">
        <v>621</v>
      </c>
      <c r="D483" s="69"/>
      <c r="E483" s="69"/>
      <c r="F483" s="69"/>
      <c r="G483" s="69"/>
      <c r="H483" s="69"/>
      <c r="I483" s="69"/>
      <c r="J483" s="69"/>
      <c r="K483" s="208"/>
      <c r="L483" s="69"/>
      <c r="M483" s="69"/>
      <c r="N483" s="69"/>
      <c r="O483" s="69"/>
      <c r="P483" s="69"/>
    </row>
    <row r="484" spans="1:16" x14ac:dyDescent="0.25">
      <c r="A484" s="69">
        <v>721005</v>
      </c>
      <c r="B484" s="207">
        <f>VLOOKUP(A484,pravidla_SDcast!$A$1:$D$458,4,FALSE)</f>
        <v>2</v>
      </c>
      <c r="C484" s="69" t="s">
        <v>611</v>
      </c>
      <c r="D484" s="69"/>
      <c r="E484" s="69"/>
      <c r="F484" s="69"/>
      <c r="G484" s="69"/>
      <c r="H484" s="69"/>
      <c r="I484" s="69"/>
      <c r="J484" s="69"/>
      <c r="K484" s="208"/>
      <c r="L484" s="69"/>
      <c r="M484" s="69"/>
      <c r="N484" s="69"/>
      <c r="O484" s="69"/>
      <c r="P484" s="69"/>
    </row>
    <row r="485" spans="1:16" x14ac:dyDescent="0.25">
      <c r="A485" s="69">
        <v>721006</v>
      </c>
      <c r="B485" s="207">
        <f>VLOOKUP(A485,pravidla_SDcast!$A$1:$D$458,4,FALSE)</f>
        <v>2</v>
      </c>
      <c r="C485" s="69" t="s">
        <v>622</v>
      </c>
      <c r="D485" s="69"/>
      <c r="E485" s="69"/>
      <c r="F485" s="69"/>
      <c r="G485" s="69"/>
      <c r="H485" s="69"/>
      <c r="I485" s="69"/>
      <c r="J485" s="69"/>
      <c r="K485" s="208"/>
      <c r="L485" s="69"/>
      <c r="M485" s="69"/>
      <c r="N485" s="69"/>
      <c r="O485" s="69"/>
      <c r="P485" s="69"/>
    </row>
    <row r="486" spans="1:16" x14ac:dyDescent="0.25">
      <c r="A486" s="69">
        <v>721007</v>
      </c>
      <c r="B486" s="207">
        <f>VLOOKUP(A486,pravidla_SDcast!$A$1:$D$458,4,FALSE)</f>
        <v>2</v>
      </c>
      <c r="C486" s="69" t="s">
        <v>623</v>
      </c>
      <c r="D486" s="69"/>
      <c r="E486" s="69"/>
      <c r="F486" s="69"/>
      <c r="G486" s="69"/>
      <c r="H486" s="69"/>
      <c r="I486" s="69"/>
      <c r="J486" s="69"/>
      <c r="K486" s="208"/>
      <c r="L486" s="69"/>
      <c r="M486" s="69"/>
      <c r="N486" s="69"/>
      <c r="O486" s="69"/>
      <c r="P486" s="69"/>
    </row>
    <row r="487" spans="1:16" x14ac:dyDescent="0.25">
      <c r="A487" s="69">
        <v>721008</v>
      </c>
      <c r="B487" s="207">
        <f>VLOOKUP(A487,pravidla_SDcast!$A$1:$D$458,4,FALSE)</f>
        <v>2</v>
      </c>
      <c r="C487" s="69" t="s">
        <v>617</v>
      </c>
      <c r="D487" s="69"/>
      <c r="E487" s="69"/>
      <c r="F487" s="69"/>
      <c r="G487" s="69"/>
      <c r="H487" s="69"/>
      <c r="I487" s="69"/>
      <c r="J487" s="69"/>
      <c r="K487" s="208"/>
      <c r="L487" s="69"/>
      <c r="M487" s="69"/>
      <c r="N487" s="69"/>
      <c r="O487" s="69"/>
      <c r="P487" s="69"/>
    </row>
    <row r="488" spans="1:16" x14ac:dyDescent="0.25">
      <c r="A488" s="69">
        <v>721009</v>
      </c>
      <c r="B488" s="207">
        <f>VLOOKUP(A488,pravidla_SDcast!$A$1:$D$458,4,FALSE)</f>
        <v>2</v>
      </c>
      <c r="C488" s="69" t="s">
        <v>618</v>
      </c>
      <c r="D488" s="69"/>
      <c r="E488" s="69"/>
      <c r="F488" s="69"/>
      <c r="G488" s="69"/>
      <c r="H488" s="69"/>
      <c r="I488" s="69"/>
      <c r="J488" s="69"/>
      <c r="K488" s="208"/>
      <c r="L488" s="69"/>
      <c r="M488" s="69"/>
      <c r="N488" s="69"/>
      <c r="O488" s="69"/>
      <c r="P488" s="69"/>
    </row>
    <row r="489" spans="1:16" x14ac:dyDescent="0.25">
      <c r="A489" s="69">
        <v>722000</v>
      </c>
      <c r="B489" s="207" t="e">
        <f>VLOOKUP(A489,pravidla_SDcast!$A$1:$D$458,4,FALSE)</f>
        <v>#N/A</v>
      </c>
      <c r="C489" s="69" t="s">
        <v>835</v>
      </c>
      <c r="D489" s="69"/>
      <c r="E489" s="69"/>
      <c r="F489" s="69"/>
      <c r="G489" s="69"/>
      <c r="H489" s="69"/>
      <c r="I489" s="69"/>
      <c r="J489" s="69"/>
      <c r="K489" s="208"/>
      <c r="L489" s="69"/>
      <c r="M489" s="69"/>
      <c r="N489" s="69"/>
      <c r="O489" s="69"/>
      <c r="P489" s="69"/>
    </row>
    <row r="490" spans="1:16" x14ac:dyDescent="0.25">
      <c r="A490" s="69">
        <v>722001</v>
      </c>
      <c r="B490" s="207">
        <f>VLOOKUP(A490,pravidla_SDcast!$A$1:$D$458,4,FALSE)</f>
        <v>37</v>
      </c>
      <c r="C490" s="69" t="s">
        <v>442</v>
      </c>
      <c r="D490" s="69"/>
      <c r="E490" s="69"/>
      <c r="F490" s="69"/>
      <c r="G490" s="69"/>
      <c r="H490" s="69"/>
      <c r="I490" s="69"/>
      <c r="J490" s="69"/>
      <c r="K490" s="208"/>
      <c r="L490" s="69"/>
      <c r="M490" s="69"/>
      <c r="N490" s="69"/>
      <c r="O490" s="69"/>
      <c r="P490" s="69"/>
    </row>
    <row r="491" spans="1:16" x14ac:dyDescent="0.25">
      <c r="A491" s="69">
        <v>722002</v>
      </c>
      <c r="B491" s="207">
        <f>VLOOKUP(A491,pravidla_SDcast!$A$1:$D$458,4,FALSE)</f>
        <v>37</v>
      </c>
      <c r="C491" s="69" t="s">
        <v>853</v>
      </c>
      <c r="D491" s="69"/>
      <c r="E491" s="69"/>
      <c r="F491" s="69"/>
      <c r="G491" s="69"/>
      <c r="H491" s="69"/>
      <c r="I491" s="69"/>
      <c r="J491" s="69"/>
      <c r="K491" s="208"/>
      <c r="L491" s="69"/>
      <c r="M491" s="69"/>
      <c r="N491" s="69"/>
      <c r="O491" s="69"/>
      <c r="P491" s="69"/>
    </row>
    <row r="492" spans="1:16" x14ac:dyDescent="0.25">
      <c r="A492" s="69">
        <v>722003</v>
      </c>
      <c r="B492" s="207">
        <f>VLOOKUP(A492,pravidla_SDcast!$A$1:$D$458,4,FALSE)</f>
        <v>37</v>
      </c>
      <c r="C492" s="69" t="s">
        <v>519</v>
      </c>
      <c r="D492" s="69"/>
      <c r="E492" s="69"/>
      <c r="F492" s="69"/>
      <c r="G492" s="69"/>
      <c r="H492" s="69"/>
      <c r="I492" s="69"/>
      <c r="J492" s="69"/>
      <c r="K492" s="208"/>
      <c r="L492" s="69"/>
      <c r="M492" s="69"/>
      <c r="N492" s="69"/>
      <c r="O492" s="69"/>
      <c r="P492" s="69"/>
    </row>
    <row r="493" spans="1:16" x14ac:dyDescent="0.25">
      <c r="A493" s="69">
        <v>722004</v>
      </c>
      <c r="B493" s="207">
        <f>VLOOKUP(A493,pravidla_SDcast!$A$1:$D$458,4,FALSE)</f>
        <v>37</v>
      </c>
      <c r="C493" s="69" t="s">
        <v>453</v>
      </c>
      <c r="D493" s="69"/>
      <c r="E493" s="69"/>
      <c r="F493" s="69"/>
      <c r="G493" s="69"/>
      <c r="H493" s="69"/>
      <c r="I493" s="69"/>
      <c r="J493" s="69"/>
      <c r="K493" s="208"/>
      <c r="L493" s="69"/>
      <c r="M493" s="69"/>
      <c r="N493" s="69"/>
      <c r="O493" s="69"/>
      <c r="P493" s="69"/>
    </row>
    <row r="494" spans="1:16" x14ac:dyDescent="0.25">
      <c r="A494" s="69">
        <v>723000</v>
      </c>
      <c r="B494" s="207" t="e">
        <f>VLOOKUP(A494,pravidla_SDcast!$A$1:$D$458,4,FALSE)</f>
        <v>#N/A</v>
      </c>
      <c r="C494" s="69" t="s">
        <v>838</v>
      </c>
      <c r="D494" s="69"/>
      <c r="E494" s="69"/>
      <c r="F494" s="69"/>
      <c r="G494" s="69"/>
      <c r="H494" s="69"/>
      <c r="I494" s="69"/>
      <c r="J494" s="69"/>
      <c r="K494" s="208"/>
      <c r="L494" s="69"/>
      <c r="M494" s="69"/>
      <c r="N494" s="69"/>
      <c r="O494" s="69"/>
      <c r="P494" s="69"/>
    </row>
    <row r="495" spans="1:16" x14ac:dyDescent="0.25">
      <c r="A495" s="69">
        <v>723001</v>
      </c>
      <c r="B495" s="207" t="str">
        <f>VLOOKUP(A495,pravidla_SDcast!$A$1:$D$458,4,FALSE)</f>
        <v>data</v>
      </c>
      <c r="C495" s="69" t="s">
        <v>180</v>
      </c>
      <c r="D495" s="69"/>
      <c r="E495" s="69"/>
      <c r="F495" s="69"/>
      <c r="G495" s="69"/>
      <c r="H495" s="69"/>
      <c r="I495" s="69"/>
      <c r="J495" s="69"/>
      <c r="K495" s="208"/>
      <c r="L495" s="69"/>
      <c r="M495" s="69"/>
      <c r="N495" s="69"/>
      <c r="O495" s="69"/>
      <c r="P495" s="69"/>
    </row>
    <row r="496" spans="1:16" x14ac:dyDescent="0.25">
      <c r="A496" s="69">
        <v>723002</v>
      </c>
      <c r="B496" s="207">
        <f>VLOOKUP(A496,pravidla_SDcast!$A$1:$D$458,4,FALSE)</f>
        <v>37</v>
      </c>
      <c r="C496" s="69" t="s">
        <v>520</v>
      </c>
      <c r="D496" s="69"/>
      <c r="E496" s="69"/>
      <c r="F496" s="69"/>
      <c r="G496" s="69"/>
      <c r="H496" s="69"/>
      <c r="I496" s="69"/>
      <c r="J496" s="69"/>
      <c r="K496" s="208"/>
      <c r="L496" s="69"/>
      <c r="M496" s="69"/>
      <c r="N496" s="69"/>
      <c r="O496" s="69"/>
      <c r="P496" s="69"/>
    </row>
    <row r="497" spans="1:16" x14ac:dyDescent="0.25">
      <c r="A497" s="69">
        <v>723003</v>
      </c>
      <c r="B497" s="207">
        <f>VLOOKUP(A497,pravidla_SDcast!$A$1:$D$458,4,FALSE)</f>
        <v>37</v>
      </c>
      <c r="C497" s="69" t="s">
        <v>474</v>
      </c>
      <c r="D497" s="69"/>
      <c r="E497" s="69"/>
      <c r="F497" s="69"/>
      <c r="G497" s="69"/>
      <c r="H497" s="69"/>
      <c r="I497" s="69"/>
      <c r="J497" s="69"/>
      <c r="K497" s="208"/>
      <c r="L497" s="69"/>
      <c r="M497" s="69"/>
      <c r="N497" s="69"/>
      <c r="O497" s="69"/>
      <c r="P497" s="69"/>
    </row>
    <row r="498" spans="1:16" x14ac:dyDescent="0.25">
      <c r="A498" s="69">
        <v>723004</v>
      </c>
      <c r="B498" s="207">
        <f>VLOOKUP(A498,pravidla_SDcast!$A$1:$D$458,4,FALSE)</f>
        <v>9</v>
      </c>
      <c r="C498" s="69" t="s">
        <v>521</v>
      </c>
      <c r="D498" s="69"/>
      <c r="E498" s="69"/>
      <c r="F498" s="69"/>
      <c r="G498" s="69"/>
      <c r="H498" s="69"/>
      <c r="I498" s="69"/>
      <c r="J498" s="69"/>
      <c r="K498" s="208"/>
      <c r="L498" s="69"/>
      <c r="M498" s="69"/>
      <c r="N498" s="69"/>
      <c r="O498" s="69"/>
      <c r="P498" s="69"/>
    </row>
    <row r="499" spans="1:16" x14ac:dyDescent="0.25">
      <c r="A499" s="69">
        <v>723005</v>
      </c>
      <c r="B499" s="207">
        <f>VLOOKUP(A499,pravidla_SDcast!$A$1:$D$458,4,FALSE)</f>
        <v>37</v>
      </c>
      <c r="C499" s="69" t="s">
        <v>840</v>
      </c>
      <c r="D499" s="69"/>
      <c r="E499" s="69"/>
      <c r="F499" s="69"/>
      <c r="G499" s="69"/>
      <c r="H499" s="69"/>
      <c r="I499" s="69"/>
      <c r="J499" s="69"/>
      <c r="K499" s="208"/>
      <c r="L499" s="69"/>
      <c r="M499" s="69"/>
      <c r="N499" s="69"/>
      <c r="O499" s="69"/>
      <c r="P499" s="69"/>
    </row>
    <row r="500" spans="1:16" x14ac:dyDescent="0.25">
      <c r="A500" s="69">
        <v>725000</v>
      </c>
      <c r="B500" s="207" t="e">
        <f>VLOOKUP(A500,pravidla_SDcast!$A$1:$D$458,4,FALSE)</f>
        <v>#N/A</v>
      </c>
      <c r="C500" s="69" t="s">
        <v>843</v>
      </c>
      <c r="D500" s="69"/>
      <c r="E500" s="69"/>
      <c r="F500" s="69"/>
      <c r="G500" s="69"/>
      <c r="H500" s="69"/>
      <c r="I500" s="69"/>
      <c r="J500" s="69"/>
      <c r="K500" s="208"/>
      <c r="L500" s="69"/>
      <c r="M500" s="69"/>
      <c r="N500" s="69"/>
      <c r="O500" s="69"/>
      <c r="P500" s="69"/>
    </row>
    <row r="501" spans="1:16" x14ac:dyDescent="0.25">
      <c r="A501" s="69">
        <v>725001</v>
      </c>
      <c r="B501" s="207">
        <f>VLOOKUP(A501,pravidla_SDcast!$A$1:$D$458,4,FALSE)</f>
        <v>37</v>
      </c>
      <c r="C501" s="69" t="s">
        <v>484</v>
      </c>
      <c r="D501" s="69"/>
      <c r="E501" s="69"/>
      <c r="F501" s="69"/>
      <c r="G501" s="69"/>
      <c r="H501" s="69"/>
      <c r="I501" s="69"/>
      <c r="J501" s="69"/>
      <c r="K501" s="208"/>
      <c r="L501" s="69"/>
      <c r="M501" s="69"/>
      <c r="N501" s="69"/>
      <c r="O501" s="69"/>
      <c r="P501" s="69"/>
    </row>
    <row r="502" spans="1:16" x14ac:dyDescent="0.25">
      <c r="A502" s="69">
        <v>725002</v>
      </c>
      <c r="B502" s="207">
        <f>VLOOKUP(A502,pravidla_SDcast!$A$1:$D$458,4,FALSE)</f>
        <v>37</v>
      </c>
      <c r="C502" s="69" t="s">
        <v>485</v>
      </c>
      <c r="D502" s="69"/>
      <c r="E502" s="69"/>
      <c r="F502" s="69"/>
      <c r="G502" s="69"/>
      <c r="H502" s="69"/>
      <c r="I502" s="69"/>
      <c r="J502" s="69"/>
      <c r="K502" s="208"/>
      <c r="L502" s="69"/>
      <c r="M502" s="69"/>
      <c r="N502" s="69"/>
      <c r="O502" s="69"/>
      <c r="P502" s="69"/>
    </row>
    <row r="503" spans="1:16" x14ac:dyDescent="0.25">
      <c r="A503" s="69">
        <v>725003</v>
      </c>
      <c r="B503" s="207">
        <f>VLOOKUP(A503,pravidla_SDcast!$A$1:$D$458,4,FALSE)</f>
        <v>37</v>
      </c>
      <c r="C503" s="69" t="s">
        <v>483</v>
      </c>
      <c r="D503" s="69"/>
      <c r="E503" s="69"/>
      <c r="F503" s="69"/>
      <c r="G503" s="69"/>
      <c r="H503" s="69"/>
      <c r="I503" s="69"/>
      <c r="J503" s="69"/>
      <c r="K503" s="208"/>
      <c r="L503" s="69"/>
      <c r="M503" s="69"/>
      <c r="N503" s="69"/>
      <c r="O503" s="69"/>
      <c r="P503" s="69"/>
    </row>
    <row r="504" spans="1:16" x14ac:dyDescent="0.25">
      <c r="A504" s="69">
        <v>726000</v>
      </c>
      <c r="B504" s="207" t="e">
        <f>VLOOKUP(A504,pravidla_SDcast!$A$1:$D$458,4,FALSE)</f>
        <v>#N/A</v>
      </c>
      <c r="C504" s="69" t="s">
        <v>854</v>
      </c>
      <c r="D504" s="69"/>
      <c r="E504" s="69"/>
      <c r="F504" s="69"/>
      <c r="G504" s="69"/>
      <c r="H504" s="69"/>
      <c r="I504" s="69"/>
      <c r="J504" s="69"/>
      <c r="K504" s="208"/>
      <c r="L504" s="69"/>
      <c r="M504" s="69"/>
      <c r="N504" s="69"/>
      <c r="O504" s="69"/>
      <c r="P504" s="69"/>
    </row>
    <row r="505" spans="1:16" x14ac:dyDescent="0.25">
      <c r="A505" s="69">
        <v>400000</v>
      </c>
      <c r="B505" s="207" t="e">
        <f>VLOOKUP(A505,pravidla_SDcast!$A$1:$D$458,4,FALSE)</f>
        <v>#N/A</v>
      </c>
      <c r="C505" s="69" t="s">
        <v>855</v>
      </c>
      <c r="D505" s="69"/>
      <c r="E505" s="69"/>
      <c r="F505" s="69"/>
      <c r="G505" s="69"/>
      <c r="H505" s="69"/>
      <c r="I505" s="69"/>
      <c r="J505" s="69"/>
      <c r="K505" s="208"/>
      <c r="L505" s="69"/>
      <c r="M505" s="69"/>
      <c r="N505" s="69"/>
      <c r="O505" s="69"/>
      <c r="P505" s="69"/>
    </row>
    <row r="506" spans="1:16" x14ac:dyDescent="0.25">
      <c r="A506" s="69">
        <v>410000</v>
      </c>
      <c r="B506" s="207" t="e">
        <f>VLOOKUP(A506,pravidla_SDcast!$A$1:$D$458,4,FALSE)</f>
        <v>#N/A</v>
      </c>
      <c r="C506" s="69" t="s">
        <v>856</v>
      </c>
      <c r="D506" s="69"/>
      <c r="E506" s="69"/>
      <c r="F506" s="69"/>
      <c r="G506" s="69"/>
      <c r="H506" s="69"/>
      <c r="I506" s="69"/>
      <c r="J506" s="69"/>
      <c r="K506" s="208"/>
      <c r="L506" s="69"/>
      <c r="M506" s="69"/>
      <c r="N506" s="69"/>
      <c r="O506" s="69"/>
      <c r="P506" s="69"/>
    </row>
    <row r="507" spans="1:16" x14ac:dyDescent="0.25">
      <c r="A507" s="69">
        <v>411000</v>
      </c>
      <c r="B507" s="207" t="e">
        <f>VLOOKUP(A507,pravidla_SDcast!$A$1:$D$458,4,FALSE)</f>
        <v>#N/A</v>
      </c>
      <c r="C507" s="69" t="s">
        <v>857</v>
      </c>
      <c r="D507" s="69"/>
      <c r="E507" s="69"/>
      <c r="F507" s="69"/>
      <c r="G507" s="69"/>
      <c r="H507" s="69"/>
      <c r="I507" s="69"/>
      <c r="J507" s="69"/>
      <c r="K507" s="208"/>
      <c r="L507" s="69"/>
      <c r="M507" s="69"/>
      <c r="N507" s="69"/>
      <c r="O507" s="69"/>
      <c r="P507" s="69"/>
    </row>
    <row r="508" spans="1:16" x14ac:dyDescent="0.25">
      <c r="A508" s="69">
        <v>411001</v>
      </c>
      <c r="B508" s="207" t="e">
        <f>VLOOKUP(A508,pravidla_SDcast!$A$1:$D$458,4,FALSE)</f>
        <v>#N/A</v>
      </c>
      <c r="C508" s="69" t="s">
        <v>858</v>
      </c>
      <c r="D508" s="69"/>
      <c r="E508" s="69"/>
      <c r="F508" s="69"/>
      <c r="G508" s="69"/>
      <c r="H508" s="69"/>
      <c r="I508" s="69"/>
      <c r="J508" s="69"/>
      <c r="K508" s="208"/>
      <c r="L508" s="69"/>
      <c r="M508" s="69"/>
      <c r="N508" s="69"/>
      <c r="O508" s="69"/>
      <c r="P508" s="69"/>
    </row>
    <row r="509" spans="1:16" x14ac:dyDescent="0.25">
      <c r="A509" s="69">
        <v>411002</v>
      </c>
      <c r="B509" s="207" t="e">
        <f>VLOOKUP(A509,pravidla_SDcast!$A$1:$D$458,4,FALSE)</f>
        <v>#N/A</v>
      </c>
      <c r="C509" s="69" t="s">
        <v>859</v>
      </c>
      <c r="D509" s="69"/>
      <c r="E509" s="69"/>
      <c r="F509" s="69"/>
      <c r="G509" s="69"/>
      <c r="H509" s="69"/>
      <c r="I509" s="69"/>
      <c r="J509" s="69"/>
      <c r="K509" s="208"/>
      <c r="L509" s="69"/>
      <c r="M509" s="69"/>
      <c r="N509" s="69"/>
      <c r="O509" s="69"/>
      <c r="P509" s="69"/>
    </row>
    <row r="510" spans="1:16" x14ac:dyDescent="0.25">
      <c r="A510" s="69">
        <v>411003</v>
      </c>
      <c r="B510" s="207" t="e">
        <f>VLOOKUP(A510,pravidla_SDcast!$A$1:$D$458,4,FALSE)</f>
        <v>#N/A</v>
      </c>
      <c r="C510" s="69" t="s">
        <v>860</v>
      </c>
      <c r="D510" s="69"/>
      <c r="E510" s="69"/>
      <c r="F510" s="69"/>
      <c r="G510" s="69"/>
      <c r="H510" s="69"/>
      <c r="I510" s="69"/>
      <c r="J510" s="69"/>
      <c r="K510" s="208"/>
      <c r="L510" s="69"/>
      <c r="M510" s="69"/>
      <c r="N510" s="69"/>
      <c r="O510" s="69"/>
      <c r="P510" s="69"/>
    </row>
    <row r="511" spans="1:16" x14ac:dyDescent="0.25">
      <c r="A511" s="69">
        <v>411004</v>
      </c>
      <c r="B511" s="207" t="e">
        <f>VLOOKUP(A511,pravidla_SDcast!$A$1:$D$458,4,FALSE)</f>
        <v>#N/A</v>
      </c>
      <c r="C511" s="69" t="s">
        <v>861</v>
      </c>
      <c r="D511" s="69"/>
      <c r="E511" s="69"/>
      <c r="F511" s="69"/>
      <c r="G511" s="69"/>
      <c r="H511" s="69"/>
      <c r="I511" s="69"/>
      <c r="J511" s="69"/>
      <c r="K511" s="208"/>
      <c r="L511" s="69"/>
      <c r="M511" s="69"/>
      <c r="N511" s="69"/>
      <c r="O511" s="69"/>
      <c r="P511" s="69"/>
    </row>
    <row r="512" spans="1:16" x14ac:dyDescent="0.25">
      <c r="A512" s="69">
        <v>411005</v>
      </c>
      <c r="B512" s="207" t="e">
        <f>VLOOKUP(A512,pravidla_SDcast!$A$1:$D$458,4,FALSE)</f>
        <v>#N/A</v>
      </c>
      <c r="C512" s="69" t="s">
        <v>862</v>
      </c>
      <c r="D512" s="69"/>
      <c r="E512" s="69"/>
      <c r="F512" s="69"/>
      <c r="G512" s="69"/>
      <c r="H512" s="69"/>
      <c r="I512" s="69"/>
      <c r="J512" s="69"/>
      <c r="K512" s="208"/>
      <c r="L512" s="69"/>
      <c r="M512" s="69"/>
      <c r="N512" s="69"/>
      <c r="O512" s="69"/>
      <c r="P512" s="69"/>
    </row>
    <row r="513" spans="1:16" x14ac:dyDescent="0.25">
      <c r="A513" s="69">
        <v>411006</v>
      </c>
      <c r="B513" s="207" t="e">
        <f>VLOOKUP(A513,pravidla_SDcast!$A$1:$D$458,4,FALSE)</f>
        <v>#N/A</v>
      </c>
      <c r="C513" s="69" t="s">
        <v>863</v>
      </c>
      <c r="D513" s="69"/>
      <c r="E513" s="69"/>
      <c r="F513" s="69"/>
      <c r="G513" s="69"/>
      <c r="H513" s="69"/>
      <c r="I513" s="69"/>
      <c r="J513" s="69"/>
      <c r="K513" s="208"/>
      <c r="L513" s="69"/>
      <c r="M513" s="69"/>
      <c r="N513" s="69"/>
      <c r="O513" s="69"/>
      <c r="P513" s="69"/>
    </row>
    <row r="514" spans="1:16" x14ac:dyDescent="0.25">
      <c r="A514" s="69">
        <v>411007</v>
      </c>
      <c r="B514" s="207" t="e">
        <f>VLOOKUP(A514,pravidla_SDcast!$A$1:$D$458,4,FALSE)</f>
        <v>#N/A</v>
      </c>
      <c r="C514" s="69" t="s">
        <v>864</v>
      </c>
      <c r="D514" s="69"/>
      <c r="E514" s="69"/>
      <c r="F514" s="69"/>
      <c r="G514" s="69"/>
      <c r="H514" s="69"/>
      <c r="I514" s="69"/>
      <c r="J514" s="69"/>
      <c r="K514" s="208"/>
      <c r="L514" s="69"/>
      <c r="M514" s="69"/>
      <c r="N514" s="69"/>
      <c r="O514" s="69"/>
      <c r="P514" s="69"/>
    </row>
    <row r="515" spans="1:16" x14ac:dyDescent="0.25">
      <c r="A515" s="69">
        <v>411009</v>
      </c>
      <c r="B515" s="207" t="e">
        <f>VLOOKUP(A515,pravidla_SDcast!$A$1:$D$458,4,FALSE)</f>
        <v>#N/A</v>
      </c>
      <c r="C515" s="69" t="s">
        <v>865</v>
      </c>
      <c r="D515" s="69"/>
      <c r="E515" s="69"/>
      <c r="F515" s="69"/>
      <c r="G515" s="69"/>
      <c r="H515" s="69"/>
      <c r="I515" s="69"/>
      <c r="J515" s="69"/>
      <c r="K515" s="208"/>
      <c r="L515" s="69"/>
      <c r="M515" s="69"/>
      <c r="N515" s="69"/>
      <c r="O515" s="69"/>
      <c r="P515" s="69"/>
    </row>
    <row r="516" spans="1:16" x14ac:dyDescent="0.25">
      <c r="A516" s="69">
        <v>411010</v>
      </c>
      <c r="B516" s="207" t="e">
        <f>VLOOKUP(A516,pravidla_SDcast!$A$1:$D$458,4,FALSE)</f>
        <v>#N/A</v>
      </c>
      <c r="C516" s="69" t="s">
        <v>866</v>
      </c>
      <c r="D516" s="69"/>
      <c r="E516" s="69"/>
      <c r="F516" s="69"/>
      <c r="G516" s="69"/>
      <c r="H516" s="69"/>
      <c r="I516" s="69"/>
      <c r="J516" s="69"/>
      <c r="K516" s="208"/>
      <c r="L516" s="69"/>
      <c r="M516" s="69"/>
      <c r="N516" s="69"/>
      <c r="O516" s="69"/>
      <c r="P516" s="69"/>
    </row>
    <row r="517" spans="1:16" x14ac:dyDescent="0.25">
      <c r="A517" s="69">
        <v>420000</v>
      </c>
      <c r="B517" s="207" t="e">
        <f>VLOOKUP(A517,pravidla_SDcast!$A$1:$D$458,4,FALSE)</f>
        <v>#N/A</v>
      </c>
      <c r="C517" s="69" t="s">
        <v>867</v>
      </c>
      <c r="D517" s="69"/>
      <c r="E517" s="69"/>
      <c r="F517" s="69"/>
      <c r="G517" s="69"/>
      <c r="H517" s="69"/>
      <c r="I517" s="69"/>
      <c r="J517" s="69"/>
      <c r="K517" s="208"/>
      <c r="L517" s="69"/>
      <c r="M517" s="69"/>
      <c r="N517" s="69"/>
      <c r="O517" s="69"/>
      <c r="P517" s="69"/>
    </row>
    <row r="518" spans="1:16" x14ac:dyDescent="0.25">
      <c r="A518" s="69">
        <v>429000</v>
      </c>
      <c r="B518" s="207" t="e">
        <f>VLOOKUP(A518,pravidla_SDcast!$A$1:$D$458,4,FALSE)</f>
        <v>#N/A</v>
      </c>
      <c r="C518" s="69" t="s">
        <v>868</v>
      </c>
      <c r="D518" s="69"/>
      <c r="E518" s="69"/>
      <c r="F518" s="69"/>
      <c r="G518" s="69"/>
      <c r="H518" s="69"/>
      <c r="I518" s="69"/>
      <c r="J518" s="69"/>
      <c r="K518" s="208"/>
      <c r="L518" s="69"/>
      <c r="M518" s="69"/>
      <c r="N518" s="69"/>
      <c r="O518" s="69"/>
      <c r="P518" s="69"/>
    </row>
    <row r="519" spans="1:16" x14ac:dyDescent="0.25">
      <c r="A519" s="69">
        <v>430000</v>
      </c>
      <c r="B519" s="207" t="e">
        <f>VLOOKUP(A519,pravidla_SDcast!$A$1:$D$458,4,FALSE)</f>
        <v>#N/A</v>
      </c>
      <c r="C519" s="69" t="s">
        <v>869</v>
      </c>
      <c r="D519" s="69"/>
      <c r="E519" s="69"/>
      <c r="F519" s="69"/>
      <c r="G519" s="69"/>
      <c r="H519" s="69"/>
      <c r="I519" s="69"/>
      <c r="J519" s="69"/>
      <c r="K519" s="208"/>
      <c r="L519" s="69"/>
      <c r="M519" s="69"/>
      <c r="N519" s="69"/>
      <c r="O519" s="69"/>
      <c r="P519" s="69"/>
    </row>
    <row r="520" spans="1:16" x14ac:dyDescent="0.25">
      <c r="A520" s="69">
        <v>431000</v>
      </c>
      <c r="B520" s="207" t="e">
        <f>VLOOKUP(A520,pravidla_SDcast!$A$1:$D$458,4,FALSE)</f>
        <v>#N/A</v>
      </c>
      <c r="C520" s="69" t="s">
        <v>870</v>
      </c>
      <c r="D520" s="69"/>
      <c r="E520" s="69"/>
      <c r="F520" s="69"/>
      <c r="G520" s="69"/>
      <c r="H520" s="69"/>
      <c r="I520" s="69"/>
      <c r="J520" s="69"/>
      <c r="K520" s="208"/>
      <c r="L520" s="69"/>
      <c r="M520" s="69"/>
      <c r="N520" s="69"/>
      <c r="O520" s="69"/>
      <c r="P520" s="69"/>
    </row>
    <row r="521" spans="1:16" x14ac:dyDescent="0.25">
      <c r="A521" s="69">
        <v>432000</v>
      </c>
      <c r="B521" s="207" t="e">
        <f>VLOOKUP(A521,pravidla_SDcast!$A$1:$D$458,4,FALSE)</f>
        <v>#N/A</v>
      </c>
      <c r="C521" s="69" t="s">
        <v>871</v>
      </c>
      <c r="D521" s="69"/>
      <c r="E521" s="69"/>
      <c r="F521" s="69"/>
      <c r="G521" s="69"/>
      <c r="H521" s="69"/>
      <c r="I521" s="69"/>
      <c r="J521" s="69"/>
      <c r="K521" s="208"/>
      <c r="L521" s="69"/>
      <c r="M521" s="69"/>
      <c r="N521" s="69"/>
      <c r="O521" s="69"/>
      <c r="P521" s="69"/>
    </row>
    <row r="522" spans="1:16" x14ac:dyDescent="0.25">
      <c r="A522" s="69">
        <v>440000</v>
      </c>
      <c r="B522" s="207" t="e">
        <f>VLOOKUP(A522,pravidla_SDcast!$A$1:$D$458,4,FALSE)</f>
        <v>#N/A</v>
      </c>
      <c r="C522" s="69" t="s">
        <v>872</v>
      </c>
      <c r="D522" s="69"/>
      <c r="E522" s="69"/>
      <c r="F522" s="69"/>
      <c r="G522" s="69"/>
      <c r="H522" s="69"/>
      <c r="I522" s="69"/>
      <c r="J522" s="69"/>
      <c r="K522" s="208"/>
      <c r="L522" s="69"/>
      <c r="M522" s="69"/>
      <c r="N522" s="69"/>
      <c r="O522" s="69"/>
      <c r="P522" s="69"/>
    </row>
    <row r="523" spans="1:16" x14ac:dyDescent="0.25">
      <c r="A523" s="69">
        <v>441000</v>
      </c>
      <c r="B523" s="207" t="e">
        <f>VLOOKUP(A523,pravidla_SDcast!$A$1:$D$458,4,FALSE)</f>
        <v>#N/A</v>
      </c>
      <c r="C523" s="69" t="s">
        <v>873</v>
      </c>
      <c r="D523" s="69"/>
      <c r="E523" s="69"/>
      <c r="F523" s="69"/>
      <c r="G523" s="69"/>
      <c r="H523" s="69"/>
      <c r="I523" s="69"/>
      <c r="J523" s="69"/>
      <c r="K523" s="208"/>
      <c r="L523" s="69"/>
      <c r="M523" s="69"/>
      <c r="N523" s="69"/>
      <c r="O523" s="69"/>
      <c r="P523" s="69"/>
    </row>
    <row r="524" spans="1:16" x14ac:dyDescent="0.25">
      <c r="A524" s="69">
        <v>442000</v>
      </c>
      <c r="B524" s="207" t="e">
        <f>VLOOKUP(A524,pravidla_SDcast!$A$1:$D$458,4,FALSE)</f>
        <v>#N/A</v>
      </c>
      <c r="C524" s="69" t="s">
        <v>874</v>
      </c>
      <c r="D524" s="69"/>
      <c r="E524" s="69"/>
      <c r="F524" s="69"/>
      <c r="G524" s="69"/>
      <c r="H524" s="69"/>
      <c r="I524" s="69"/>
      <c r="J524" s="69"/>
      <c r="K524" s="208"/>
      <c r="L524" s="69"/>
      <c r="M524" s="69"/>
      <c r="N524" s="69"/>
      <c r="O524" s="69"/>
      <c r="P524" s="69"/>
    </row>
    <row r="525" spans="1:16" x14ac:dyDescent="0.25">
      <c r="A525" s="69">
        <v>450000</v>
      </c>
      <c r="B525" s="207" t="e">
        <f>VLOOKUP(A525,pravidla_SDcast!$A$1:$D$458,4,FALSE)</f>
        <v>#N/A</v>
      </c>
      <c r="C525" s="69" t="s">
        <v>875</v>
      </c>
      <c r="D525" s="69"/>
      <c r="E525" s="69"/>
      <c r="F525" s="69"/>
      <c r="G525" s="69"/>
      <c r="H525" s="69"/>
      <c r="I525" s="69"/>
      <c r="J525" s="69"/>
      <c r="K525" s="208"/>
      <c r="L525" s="69"/>
      <c r="M525" s="69"/>
      <c r="N525" s="69"/>
      <c r="O525" s="69"/>
      <c r="P525" s="69"/>
    </row>
    <row r="526" spans="1:16" x14ac:dyDescent="0.25">
      <c r="A526" s="69">
        <v>451000</v>
      </c>
      <c r="B526" s="207" t="e">
        <f>VLOOKUP(A526,pravidla_SDcast!$A$1:$D$458,4,FALSE)</f>
        <v>#N/A</v>
      </c>
      <c r="C526" s="69" t="s">
        <v>876</v>
      </c>
      <c r="D526" s="69"/>
      <c r="E526" s="69"/>
      <c r="F526" s="69"/>
      <c r="G526" s="69"/>
      <c r="H526" s="69"/>
      <c r="I526" s="69"/>
      <c r="J526" s="69"/>
      <c r="K526" s="208"/>
      <c r="L526" s="69"/>
      <c r="M526" s="69"/>
      <c r="N526" s="69"/>
      <c r="O526" s="69"/>
      <c r="P526" s="69"/>
    </row>
    <row r="527" spans="1:16" x14ac:dyDescent="0.25">
      <c r="A527" s="69">
        <v>452000</v>
      </c>
      <c r="B527" s="207" t="e">
        <f>VLOOKUP(A527,pravidla_SDcast!$A$1:$D$458,4,FALSE)</f>
        <v>#N/A</v>
      </c>
      <c r="C527" s="69" t="s">
        <v>877</v>
      </c>
      <c r="D527" s="69"/>
      <c r="E527" s="69"/>
      <c r="F527" s="69"/>
      <c r="G527" s="69"/>
      <c r="H527" s="69"/>
      <c r="I527" s="69"/>
      <c r="J527" s="69"/>
      <c r="K527" s="208"/>
      <c r="L527" s="69"/>
      <c r="M527" s="69"/>
      <c r="N527" s="69"/>
      <c r="O527" s="69"/>
      <c r="P527" s="69"/>
    </row>
    <row r="528" spans="1:16" x14ac:dyDescent="0.25">
      <c r="A528" s="69">
        <v>453000</v>
      </c>
      <c r="B528" s="207" t="e">
        <f>VLOOKUP(A528,pravidla_SDcast!$A$1:$D$458,4,FALSE)</f>
        <v>#N/A</v>
      </c>
      <c r="C528" s="69" t="s">
        <v>878</v>
      </c>
      <c r="D528" s="69"/>
      <c r="E528" s="69"/>
      <c r="F528" s="69"/>
      <c r="G528" s="69"/>
      <c r="H528" s="69"/>
      <c r="I528" s="69"/>
      <c r="J528" s="69"/>
      <c r="K528" s="208"/>
      <c r="L528" s="69"/>
      <c r="M528" s="69"/>
      <c r="N528" s="69"/>
      <c r="O528" s="69"/>
      <c r="P528" s="69"/>
    </row>
    <row r="529" spans="1:16" x14ac:dyDescent="0.25">
      <c r="A529" s="69">
        <v>454000</v>
      </c>
      <c r="B529" s="207" t="e">
        <f>VLOOKUP(A529,pravidla_SDcast!$A$1:$D$458,4,FALSE)</f>
        <v>#N/A</v>
      </c>
      <c r="C529" s="69" t="s">
        <v>879</v>
      </c>
      <c r="D529" s="69"/>
      <c r="E529" s="69"/>
      <c r="F529" s="69"/>
      <c r="G529" s="69"/>
      <c r="H529" s="69"/>
      <c r="I529" s="69"/>
      <c r="J529" s="69"/>
      <c r="K529" s="208"/>
      <c r="L529" s="69"/>
      <c r="M529" s="69"/>
      <c r="N529" s="69"/>
      <c r="O529" s="69"/>
      <c r="P529" s="69"/>
    </row>
    <row r="530" spans="1:16" x14ac:dyDescent="0.25">
      <c r="A530" s="69">
        <v>454001</v>
      </c>
      <c r="B530" s="207" t="e">
        <f>VLOOKUP(A530,pravidla_SDcast!$A$1:$D$458,4,FALSE)</f>
        <v>#N/A</v>
      </c>
      <c r="C530" s="69" t="s">
        <v>880</v>
      </c>
      <c r="D530" s="69"/>
      <c r="E530" s="69"/>
      <c r="F530" s="69"/>
      <c r="G530" s="69"/>
      <c r="H530" s="69"/>
      <c r="I530" s="69"/>
      <c r="J530" s="69"/>
      <c r="K530" s="208"/>
      <c r="L530" s="69"/>
      <c r="M530" s="69"/>
      <c r="N530" s="69"/>
      <c r="O530" s="69"/>
      <c r="P530" s="69"/>
    </row>
    <row r="531" spans="1:16" x14ac:dyDescent="0.25">
      <c r="A531" s="69">
        <v>454002</v>
      </c>
      <c r="B531" s="207" t="e">
        <f>VLOOKUP(A531,pravidla_SDcast!$A$1:$D$458,4,FALSE)</f>
        <v>#N/A</v>
      </c>
      <c r="C531" s="69" t="s">
        <v>881</v>
      </c>
      <c r="D531" s="69"/>
      <c r="E531" s="69"/>
      <c r="F531" s="69"/>
      <c r="G531" s="69"/>
      <c r="H531" s="69"/>
      <c r="I531" s="69"/>
      <c r="J531" s="69"/>
      <c r="K531" s="208"/>
      <c r="L531" s="69"/>
      <c r="M531" s="69"/>
      <c r="N531" s="69"/>
      <c r="O531" s="69"/>
      <c r="P531" s="69"/>
    </row>
    <row r="532" spans="1:16" x14ac:dyDescent="0.25">
      <c r="A532" s="69">
        <v>454003</v>
      </c>
      <c r="B532" s="207" t="e">
        <f>VLOOKUP(A532,pravidla_SDcast!$A$1:$D$458,4,FALSE)</f>
        <v>#N/A</v>
      </c>
      <c r="C532" s="69" t="s">
        <v>882</v>
      </c>
      <c r="D532" s="69"/>
      <c r="E532" s="69"/>
      <c r="F532" s="69"/>
      <c r="G532" s="69"/>
      <c r="H532" s="69"/>
      <c r="I532" s="69"/>
      <c r="J532" s="69"/>
      <c r="K532" s="208"/>
      <c r="L532" s="69"/>
      <c r="M532" s="69"/>
      <c r="N532" s="69"/>
      <c r="O532" s="69"/>
      <c r="P532" s="69"/>
    </row>
    <row r="533" spans="1:16" x14ac:dyDescent="0.25">
      <c r="A533" s="69">
        <v>455000</v>
      </c>
      <c r="B533" s="207" t="e">
        <f>VLOOKUP(A533,pravidla_SDcast!$A$1:$D$458,4,FALSE)</f>
        <v>#N/A</v>
      </c>
      <c r="C533" s="69" t="s">
        <v>883</v>
      </c>
      <c r="D533" s="69"/>
      <c r="E533" s="69"/>
      <c r="F533" s="69"/>
      <c r="G533" s="69"/>
      <c r="H533" s="69"/>
      <c r="I533" s="69"/>
      <c r="J533" s="69"/>
      <c r="K533" s="208"/>
      <c r="L533" s="69"/>
      <c r="M533" s="69"/>
      <c r="N533" s="69"/>
      <c r="O533" s="69"/>
      <c r="P533" s="69"/>
    </row>
    <row r="534" spans="1:16" x14ac:dyDescent="0.25">
      <c r="A534" s="69">
        <v>456000</v>
      </c>
      <c r="B534" s="207" t="e">
        <f>VLOOKUP(A534,pravidla_SDcast!$A$1:$D$458,4,FALSE)</f>
        <v>#N/A</v>
      </c>
      <c r="C534" s="69" t="s">
        <v>884</v>
      </c>
      <c r="D534" s="69"/>
      <c r="E534" s="69"/>
      <c r="F534" s="69"/>
      <c r="G534" s="69"/>
      <c r="H534" s="69"/>
      <c r="I534" s="69"/>
      <c r="J534" s="69"/>
      <c r="K534" s="208"/>
      <c r="L534" s="69"/>
      <c r="M534" s="69"/>
      <c r="N534" s="69"/>
      <c r="O534" s="69"/>
      <c r="P534" s="69"/>
    </row>
    <row r="535" spans="1:16" x14ac:dyDescent="0.25">
      <c r="A535" s="69">
        <v>456001</v>
      </c>
      <c r="B535" s="207" t="e">
        <f>VLOOKUP(A535,pravidla_SDcast!$A$1:$D$458,4,FALSE)</f>
        <v>#N/A</v>
      </c>
      <c r="C535" s="69" t="s">
        <v>885</v>
      </c>
      <c r="D535" s="69"/>
      <c r="E535" s="69"/>
      <c r="F535" s="69"/>
      <c r="G535" s="69"/>
      <c r="H535" s="69"/>
      <c r="I535" s="69"/>
      <c r="J535" s="69"/>
      <c r="K535" s="208"/>
      <c r="L535" s="69"/>
      <c r="M535" s="69"/>
      <c r="N535" s="69"/>
      <c r="O535" s="69"/>
      <c r="P535" s="69"/>
    </row>
    <row r="536" spans="1:16" x14ac:dyDescent="0.25">
      <c r="A536" s="69">
        <v>456002</v>
      </c>
      <c r="B536" s="207" t="e">
        <f>VLOOKUP(A536,pravidla_SDcast!$A$1:$D$458,4,FALSE)</f>
        <v>#N/A</v>
      </c>
      <c r="C536" s="69" t="s">
        <v>886</v>
      </c>
      <c r="D536" s="69"/>
      <c r="E536" s="69"/>
      <c r="F536" s="69"/>
      <c r="G536" s="69"/>
      <c r="H536" s="69"/>
      <c r="I536" s="69"/>
      <c r="J536" s="69"/>
      <c r="K536" s="208"/>
      <c r="L536" s="69"/>
      <c r="M536" s="69"/>
      <c r="N536" s="69"/>
      <c r="O536" s="69"/>
      <c r="P536" s="69"/>
    </row>
    <row r="537" spans="1:16" x14ac:dyDescent="0.25">
      <c r="A537" s="69">
        <v>500000</v>
      </c>
      <c r="B537" s="207" t="e">
        <f>VLOOKUP(A537,pravidla_SDcast!$A$1:$D$458,4,FALSE)</f>
        <v>#N/A</v>
      </c>
      <c r="C537" s="69" t="s">
        <v>887</v>
      </c>
      <c r="D537" s="69"/>
      <c r="E537" s="69"/>
      <c r="F537" s="69"/>
      <c r="G537" s="69"/>
      <c r="H537" s="69"/>
      <c r="I537" s="69"/>
      <c r="J537" s="69"/>
      <c r="K537" s="208"/>
      <c r="L537" s="69"/>
      <c r="M537" s="69"/>
      <c r="N537" s="69"/>
      <c r="O537" s="69"/>
      <c r="P537" s="69"/>
    </row>
    <row r="538" spans="1:16" x14ac:dyDescent="0.25">
      <c r="A538" s="69">
        <v>510000</v>
      </c>
      <c r="B538" s="207" t="e">
        <f>VLOOKUP(A538,pravidla_SDcast!$A$1:$D$458,4,FALSE)</f>
        <v>#N/A</v>
      </c>
      <c r="C538" s="69" t="s">
        <v>888</v>
      </c>
      <c r="D538" s="69"/>
      <c r="E538" s="69"/>
      <c r="F538" s="69"/>
      <c r="G538" s="69"/>
      <c r="H538" s="69"/>
      <c r="I538" s="69"/>
      <c r="J538" s="69"/>
      <c r="K538" s="208"/>
      <c r="L538" s="69"/>
      <c r="M538" s="69"/>
      <c r="N538" s="69"/>
      <c r="O538" s="69"/>
      <c r="P538" s="69"/>
    </row>
    <row r="539" spans="1:16" x14ac:dyDescent="0.25">
      <c r="A539" s="69">
        <v>512000</v>
      </c>
      <c r="B539" s="207" t="e">
        <f>VLOOKUP(A539,pravidla_SDcast!$A$1:$D$458,4,FALSE)</f>
        <v>#N/A</v>
      </c>
      <c r="C539" s="69" t="s">
        <v>889</v>
      </c>
      <c r="D539" s="69"/>
      <c r="E539" s="69"/>
      <c r="F539" s="69"/>
      <c r="G539" s="69"/>
      <c r="H539" s="69"/>
      <c r="I539" s="69"/>
      <c r="J539" s="69"/>
      <c r="K539" s="208"/>
      <c r="L539" s="69"/>
      <c r="M539" s="69"/>
      <c r="N539" s="69"/>
      <c r="O539" s="69"/>
      <c r="P539" s="69"/>
    </row>
    <row r="540" spans="1:16" x14ac:dyDescent="0.25">
      <c r="A540" s="69">
        <v>512002</v>
      </c>
      <c r="B540" s="207" t="e">
        <f>VLOOKUP(A540,pravidla_SDcast!$A$1:$D$458,4,FALSE)</f>
        <v>#N/A</v>
      </c>
      <c r="C540" s="69" t="s">
        <v>890</v>
      </c>
      <c r="D540" s="69"/>
      <c r="E540" s="69"/>
      <c r="F540" s="69"/>
      <c r="G540" s="69"/>
      <c r="H540" s="69"/>
      <c r="I540" s="69"/>
      <c r="J540" s="69"/>
      <c r="K540" s="208"/>
      <c r="L540" s="69"/>
      <c r="M540" s="69"/>
      <c r="N540" s="69"/>
      <c r="O540" s="69"/>
      <c r="P540" s="69"/>
    </row>
    <row r="541" spans="1:16" x14ac:dyDescent="0.25">
      <c r="A541" s="69">
        <v>513001</v>
      </c>
      <c r="B541" s="207" t="e">
        <f>VLOOKUP(A541,pravidla_SDcast!$A$1:$D$458,4,FALSE)</f>
        <v>#N/A</v>
      </c>
      <c r="C541" s="69" t="s">
        <v>891</v>
      </c>
      <c r="D541" s="69"/>
      <c r="E541" s="69"/>
      <c r="F541" s="69"/>
      <c r="G541" s="69"/>
      <c r="H541" s="69"/>
      <c r="I541" s="69"/>
      <c r="J541" s="69"/>
      <c r="K541" s="208"/>
      <c r="L541" s="69"/>
      <c r="M541" s="69"/>
      <c r="N541" s="69"/>
      <c r="O541" s="69"/>
      <c r="P541" s="69"/>
    </row>
    <row r="542" spans="1:16" x14ac:dyDescent="0.25">
      <c r="A542" s="69">
        <v>513002</v>
      </c>
      <c r="B542" s="207" t="e">
        <f>VLOOKUP(A542,pravidla_SDcast!$A$1:$D$458,4,FALSE)</f>
        <v>#N/A</v>
      </c>
      <c r="C542" s="69" t="s">
        <v>890</v>
      </c>
      <c r="D542" s="69"/>
      <c r="E542" s="69"/>
      <c r="F542" s="69"/>
      <c r="G542" s="69"/>
      <c r="H542" s="69"/>
      <c r="I542" s="69"/>
      <c r="J542" s="69"/>
      <c r="K542" s="208"/>
      <c r="L542" s="69"/>
      <c r="M542" s="69"/>
      <c r="N542" s="69"/>
      <c r="O542" s="69"/>
      <c r="P542" s="69"/>
    </row>
    <row r="543" spans="1:16" x14ac:dyDescent="0.25">
      <c r="A543" s="69">
        <v>514000</v>
      </c>
      <c r="B543" s="207" t="e">
        <f>VLOOKUP(A543,pravidla_SDcast!$A$1:$D$458,4,FALSE)</f>
        <v>#N/A</v>
      </c>
      <c r="C543" s="69" t="s">
        <v>892</v>
      </c>
      <c r="D543" s="69"/>
      <c r="E543" s="69"/>
      <c r="F543" s="69"/>
      <c r="G543" s="69"/>
      <c r="H543" s="69"/>
      <c r="I543" s="69"/>
      <c r="J543" s="69"/>
      <c r="K543" s="208"/>
      <c r="L543" s="69"/>
      <c r="M543" s="69"/>
      <c r="N543" s="69"/>
      <c r="O543" s="69"/>
      <c r="P543" s="69"/>
    </row>
    <row r="544" spans="1:16" x14ac:dyDescent="0.25">
      <c r="A544" s="69">
        <v>514001</v>
      </c>
      <c r="B544" s="207" t="e">
        <f>VLOOKUP(A544,pravidla_SDcast!$A$1:$D$458,4,FALSE)</f>
        <v>#N/A</v>
      </c>
      <c r="C544" s="69" t="s">
        <v>891</v>
      </c>
      <c r="D544" s="69"/>
      <c r="E544" s="69"/>
      <c r="F544" s="69"/>
      <c r="G544" s="69"/>
      <c r="H544" s="69"/>
      <c r="I544" s="69"/>
      <c r="J544" s="69"/>
      <c r="K544" s="208"/>
      <c r="L544" s="69"/>
      <c r="M544" s="69"/>
      <c r="N544" s="69"/>
      <c r="O544" s="69"/>
      <c r="P544" s="69"/>
    </row>
    <row r="545" spans="1:16" x14ac:dyDescent="0.25">
      <c r="A545" s="69">
        <v>514002</v>
      </c>
      <c r="B545" s="207" t="e">
        <f>VLOOKUP(A545,pravidla_SDcast!$A$1:$D$458,4,FALSE)</f>
        <v>#N/A</v>
      </c>
      <c r="C545" s="69" t="s">
        <v>890</v>
      </c>
      <c r="D545" s="69"/>
      <c r="E545" s="69"/>
      <c r="F545" s="69"/>
      <c r="G545" s="69"/>
      <c r="H545" s="69"/>
      <c r="I545" s="69"/>
      <c r="J545" s="69"/>
      <c r="K545" s="208"/>
      <c r="L545" s="69"/>
      <c r="M545" s="69"/>
      <c r="N545" s="69"/>
      <c r="O545" s="69"/>
      <c r="P545" s="69"/>
    </row>
    <row r="546" spans="1:16" x14ac:dyDescent="0.25">
      <c r="A546" s="69">
        <v>515000</v>
      </c>
      <c r="B546" s="207" t="e">
        <f>VLOOKUP(A546,pravidla_SDcast!$A$1:$D$458,4,FALSE)</f>
        <v>#N/A</v>
      </c>
      <c r="C546" s="69" t="s">
        <v>893</v>
      </c>
      <c r="D546" s="69"/>
      <c r="E546" s="69"/>
      <c r="F546" s="69"/>
      <c r="G546" s="69"/>
      <c r="H546" s="69"/>
      <c r="I546" s="69"/>
      <c r="J546" s="69"/>
      <c r="K546" s="208"/>
      <c r="L546" s="69"/>
      <c r="M546" s="69"/>
      <c r="N546" s="69"/>
      <c r="O546" s="69"/>
      <c r="P546" s="69"/>
    </row>
    <row r="547" spans="1:16" x14ac:dyDescent="0.25">
      <c r="A547" s="69">
        <v>520000</v>
      </c>
      <c r="B547" s="207" t="e">
        <f>VLOOKUP(A547,pravidla_SDcast!$A$1:$D$458,4,FALSE)</f>
        <v>#N/A</v>
      </c>
      <c r="C547" s="69" t="s">
        <v>894</v>
      </c>
      <c r="D547" s="69"/>
      <c r="E547" s="69"/>
      <c r="F547" s="69"/>
      <c r="G547" s="69"/>
      <c r="H547" s="69"/>
      <c r="I547" s="69"/>
      <c r="J547" s="69"/>
      <c r="K547" s="208"/>
      <c r="L547" s="69"/>
      <c r="M547" s="69"/>
      <c r="N547" s="69"/>
      <c r="O547" s="69"/>
      <c r="P547" s="69"/>
    </row>
    <row r="548" spans="1:16" x14ac:dyDescent="0.25">
      <c r="A548" s="69">
        <v>521000</v>
      </c>
      <c r="B548" s="207" t="e">
        <f>VLOOKUP(A548,pravidla_SDcast!$A$1:$D$458,4,FALSE)</f>
        <v>#N/A</v>
      </c>
      <c r="C548" s="69" t="s">
        <v>895</v>
      </c>
      <c r="D548" s="69"/>
      <c r="E548" s="69"/>
      <c r="F548" s="69"/>
      <c r="G548" s="69"/>
      <c r="H548" s="69"/>
      <c r="I548" s="69"/>
      <c r="J548" s="69"/>
      <c r="K548" s="208"/>
      <c r="L548" s="69"/>
      <c r="M548" s="69"/>
      <c r="N548" s="69"/>
      <c r="O548" s="69"/>
      <c r="P548" s="69"/>
    </row>
    <row r="549" spans="1:16" x14ac:dyDescent="0.25">
      <c r="A549" s="69">
        <v>521001</v>
      </c>
      <c r="B549" s="207" t="e">
        <f>VLOOKUP(A549,pravidla_SDcast!$A$1:$D$458,4,FALSE)</f>
        <v>#N/A</v>
      </c>
      <c r="C549" s="69" t="s">
        <v>891</v>
      </c>
      <c r="D549" s="69"/>
      <c r="E549" s="69"/>
      <c r="F549" s="69"/>
      <c r="G549" s="69"/>
      <c r="H549" s="69"/>
      <c r="I549" s="69"/>
      <c r="J549" s="69"/>
      <c r="K549" s="208"/>
      <c r="L549" s="69"/>
      <c r="M549" s="69"/>
      <c r="N549" s="69"/>
      <c r="O549" s="69"/>
      <c r="P549" s="69"/>
    </row>
    <row r="550" spans="1:16" x14ac:dyDescent="0.25">
      <c r="A550" s="69">
        <v>521002</v>
      </c>
      <c r="B550" s="207" t="e">
        <f>VLOOKUP(A550,pravidla_SDcast!$A$1:$D$458,4,FALSE)</f>
        <v>#N/A</v>
      </c>
      <c r="C550" s="69" t="s">
        <v>890</v>
      </c>
      <c r="D550" s="69"/>
      <c r="E550" s="69"/>
      <c r="F550" s="69"/>
      <c r="G550" s="69"/>
      <c r="H550" s="69"/>
      <c r="I550" s="69"/>
      <c r="J550" s="69"/>
      <c r="K550" s="208"/>
      <c r="L550" s="69"/>
      <c r="M550" s="69"/>
      <c r="N550" s="69"/>
      <c r="O550" s="69"/>
      <c r="P550" s="69"/>
    </row>
    <row r="551" spans="1:16" x14ac:dyDescent="0.25">
      <c r="A551" s="69">
        <v>522000</v>
      </c>
      <c r="B551" s="207" t="e">
        <f>VLOOKUP(A551,pravidla_SDcast!$A$1:$D$458,4,FALSE)</f>
        <v>#N/A</v>
      </c>
      <c r="C551" s="69" t="s">
        <v>896</v>
      </c>
      <c r="D551" s="69"/>
      <c r="E551" s="69"/>
      <c r="F551" s="69"/>
      <c r="G551" s="69"/>
      <c r="H551" s="69"/>
      <c r="I551" s="69"/>
      <c r="J551" s="69"/>
      <c r="K551" s="208"/>
      <c r="L551" s="69"/>
      <c r="M551" s="69"/>
      <c r="N551" s="69"/>
      <c r="O551" s="69"/>
      <c r="P551" s="69"/>
    </row>
    <row r="552" spans="1:16" x14ac:dyDescent="0.25">
      <c r="A552" s="69">
        <v>522001</v>
      </c>
      <c r="B552" s="207" t="e">
        <f>VLOOKUP(A552,pravidla_SDcast!$A$1:$D$458,4,FALSE)</f>
        <v>#N/A</v>
      </c>
      <c r="C552" s="69" t="s">
        <v>891</v>
      </c>
      <c r="D552" s="69"/>
      <c r="E552" s="69"/>
      <c r="F552" s="69"/>
      <c r="G552" s="69"/>
      <c r="H552" s="69"/>
      <c r="I552" s="69"/>
      <c r="J552" s="69"/>
      <c r="K552" s="208"/>
      <c r="L552" s="69"/>
      <c r="M552" s="69"/>
      <c r="N552" s="69"/>
      <c r="O552" s="69"/>
      <c r="P552" s="69"/>
    </row>
    <row r="553" spans="1:16" x14ac:dyDescent="0.25">
      <c r="A553" s="69">
        <v>522002</v>
      </c>
      <c r="B553" s="207" t="e">
        <f>VLOOKUP(A553,pravidla_SDcast!$A$1:$D$458,4,FALSE)</f>
        <v>#N/A</v>
      </c>
      <c r="C553" s="69" t="s">
        <v>890</v>
      </c>
      <c r="D553" s="69"/>
      <c r="E553" s="69"/>
      <c r="F553" s="69"/>
      <c r="G553" s="69"/>
      <c r="H553" s="69"/>
      <c r="I553" s="69"/>
      <c r="J553" s="69"/>
      <c r="K553" s="208"/>
      <c r="L553" s="69"/>
      <c r="M553" s="69"/>
      <c r="N553" s="69"/>
      <c r="O553" s="69"/>
      <c r="P553" s="69"/>
    </row>
    <row r="554" spans="1:16" x14ac:dyDescent="0.25">
      <c r="A554" s="69">
        <v>523000</v>
      </c>
      <c r="B554" s="207" t="e">
        <f>VLOOKUP(A554,pravidla_SDcast!$A$1:$D$458,4,FALSE)</f>
        <v>#N/A</v>
      </c>
      <c r="C554" s="69" t="s">
        <v>897</v>
      </c>
      <c r="D554" s="69"/>
      <c r="E554" s="69"/>
      <c r="F554" s="69"/>
      <c r="G554" s="69"/>
      <c r="H554" s="69"/>
      <c r="I554" s="69"/>
      <c r="J554" s="69"/>
      <c r="K554" s="208"/>
      <c r="L554" s="69"/>
      <c r="M554" s="69"/>
      <c r="N554" s="69"/>
      <c r="O554" s="69"/>
      <c r="P554" s="69"/>
    </row>
    <row r="555" spans="1:16" x14ac:dyDescent="0.25">
      <c r="A555" s="69">
        <v>523001</v>
      </c>
      <c r="B555" s="207" t="e">
        <f>VLOOKUP(A555,pravidla_SDcast!$A$1:$D$458,4,FALSE)</f>
        <v>#N/A</v>
      </c>
      <c r="C555" s="69" t="s">
        <v>891</v>
      </c>
      <c r="D555" s="69"/>
      <c r="E555" s="69"/>
      <c r="F555" s="69"/>
      <c r="G555" s="69"/>
      <c r="H555" s="69"/>
      <c r="I555" s="69"/>
      <c r="J555" s="69"/>
      <c r="K555" s="208"/>
      <c r="L555" s="69"/>
      <c r="M555" s="69"/>
      <c r="N555" s="69"/>
      <c r="O555" s="69"/>
      <c r="P555" s="69"/>
    </row>
    <row r="556" spans="1:16" x14ac:dyDescent="0.25">
      <c r="A556" s="69">
        <v>523002</v>
      </c>
      <c r="B556" s="207" t="e">
        <f>VLOOKUP(A556,pravidla_SDcast!$A$1:$D$458,4,FALSE)</f>
        <v>#N/A</v>
      </c>
      <c r="C556" s="69" t="s">
        <v>890</v>
      </c>
      <c r="D556" s="69"/>
      <c r="E556" s="69"/>
      <c r="F556" s="69"/>
      <c r="G556" s="69"/>
      <c r="H556" s="69"/>
      <c r="I556" s="69"/>
      <c r="J556" s="69"/>
      <c r="K556" s="208"/>
      <c r="L556" s="69"/>
      <c r="M556" s="69"/>
      <c r="N556" s="69"/>
      <c r="O556" s="69"/>
      <c r="P556" s="69"/>
    </row>
    <row r="557" spans="1:16" x14ac:dyDescent="0.25">
      <c r="A557" s="69">
        <v>524000</v>
      </c>
      <c r="B557" s="207" t="e">
        <f>VLOOKUP(A557,pravidla_SDcast!$A$1:$D$458,4,FALSE)</f>
        <v>#N/A</v>
      </c>
      <c r="C557" s="69" t="s">
        <v>898</v>
      </c>
      <c r="D557" s="69"/>
      <c r="E557" s="69"/>
      <c r="F557" s="69"/>
      <c r="G557" s="69"/>
      <c r="H557" s="69"/>
      <c r="I557" s="69"/>
      <c r="J557" s="69"/>
      <c r="K557" s="208"/>
      <c r="L557" s="69"/>
      <c r="M557" s="69"/>
      <c r="N557" s="69"/>
      <c r="O557" s="69"/>
      <c r="P557" s="69"/>
    </row>
    <row r="558" spans="1:16" x14ac:dyDescent="0.25">
      <c r="A558" s="69">
        <v>524001</v>
      </c>
      <c r="B558" s="207" t="e">
        <f>VLOOKUP(A558,pravidla_SDcast!$A$1:$D$458,4,FALSE)</f>
        <v>#N/A</v>
      </c>
      <c r="C558" s="69" t="s">
        <v>899</v>
      </c>
      <c r="D558" s="69"/>
      <c r="E558" s="69"/>
      <c r="F558" s="69"/>
      <c r="G558" s="69"/>
      <c r="H558" s="69"/>
      <c r="I558" s="69"/>
      <c r="J558" s="69"/>
      <c r="K558" s="208"/>
      <c r="L558" s="69"/>
      <c r="M558" s="69"/>
      <c r="N558" s="69"/>
      <c r="O558" s="69"/>
      <c r="P558" s="69"/>
    </row>
    <row r="559" spans="1:16" x14ac:dyDescent="0.25">
      <c r="A559" s="69">
        <v>524002</v>
      </c>
      <c r="B559" s="207" t="e">
        <f>VLOOKUP(A559,pravidla_SDcast!$A$1:$D$458,4,FALSE)</f>
        <v>#N/A</v>
      </c>
      <c r="C559" s="69" t="s">
        <v>900</v>
      </c>
      <c r="D559" s="69"/>
      <c r="E559" s="69"/>
      <c r="F559" s="69"/>
      <c r="G559" s="69"/>
      <c r="H559" s="69"/>
      <c r="I559" s="69"/>
      <c r="J559" s="69"/>
      <c r="K559" s="208"/>
      <c r="L559" s="69"/>
      <c r="M559" s="69"/>
      <c r="N559" s="69"/>
      <c r="O559" s="69"/>
      <c r="P559" s="69"/>
    </row>
    <row r="560" spans="1:16" x14ac:dyDescent="0.25">
      <c r="A560" s="69">
        <v>525000</v>
      </c>
      <c r="B560" s="207" t="e">
        <f>VLOOKUP(A560,pravidla_SDcast!$A$1:$D$458,4,FALSE)</f>
        <v>#N/A</v>
      </c>
      <c r="C560" s="69" t="s">
        <v>901</v>
      </c>
      <c r="D560" s="69"/>
      <c r="E560" s="69"/>
      <c r="F560" s="69"/>
      <c r="G560" s="69"/>
      <c r="H560" s="69"/>
      <c r="I560" s="69"/>
      <c r="J560" s="69"/>
      <c r="K560" s="208"/>
      <c r="L560" s="69"/>
      <c r="M560" s="69"/>
      <c r="N560" s="69"/>
      <c r="O560" s="69"/>
      <c r="P560" s="69"/>
    </row>
    <row r="561" spans="1:16" x14ac:dyDescent="0.25">
      <c r="A561" s="69">
        <v>526000</v>
      </c>
      <c r="B561" s="207" t="e">
        <f>VLOOKUP(A561,pravidla_SDcast!$A$1:$D$458,4,FALSE)</f>
        <v>#N/A</v>
      </c>
      <c r="C561" s="69" t="s">
        <v>889</v>
      </c>
      <c r="D561" s="69"/>
      <c r="E561" s="69"/>
      <c r="F561" s="69"/>
      <c r="G561" s="69"/>
      <c r="H561" s="69"/>
      <c r="I561" s="69"/>
      <c r="J561" s="69"/>
      <c r="K561" s="208"/>
      <c r="L561" s="69"/>
      <c r="M561" s="69"/>
      <c r="N561" s="69"/>
      <c r="O561" s="69"/>
      <c r="P561" s="69"/>
    </row>
    <row r="562" spans="1:16" x14ac:dyDescent="0.25">
      <c r="A562" s="69">
        <v>526001</v>
      </c>
      <c r="B562" s="207" t="e">
        <f>VLOOKUP(A562,pravidla_SDcast!$A$1:$D$458,4,FALSE)</f>
        <v>#N/A</v>
      </c>
      <c r="C562" s="69" t="s">
        <v>891</v>
      </c>
      <c r="D562" s="69"/>
      <c r="E562" s="69"/>
      <c r="F562" s="69"/>
      <c r="G562" s="69"/>
      <c r="H562" s="69"/>
      <c r="I562" s="69"/>
      <c r="J562" s="69"/>
      <c r="K562" s="208"/>
      <c r="L562" s="69"/>
      <c r="M562" s="69"/>
      <c r="N562" s="69"/>
      <c r="O562" s="69"/>
      <c r="P562" s="69"/>
    </row>
    <row r="563" spans="1:16" x14ac:dyDescent="0.25">
      <c r="A563" s="69">
        <v>526002</v>
      </c>
      <c r="B563" s="207" t="e">
        <f>VLOOKUP(A563,pravidla_SDcast!$A$1:$D$458,4,FALSE)</f>
        <v>#N/A</v>
      </c>
      <c r="C563" s="69" t="s">
        <v>890</v>
      </c>
      <c r="D563" s="69"/>
      <c r="E563" s="69"/>
      <c r="F563" s="69"/>
      <c r="G563" s="69"/>
      <c r="H563" s="69"/>
      <c r="I563" s="69"/>
      <c r="J563" s="69"/>
      <c r="K563" s="208"/>
      <c r="L563" s="69"/>
      <c r="M563" s="69"/>
      <c r="N563" s="69"/>
      <c r="O563" s="69"/>
      <c r="P563" s="69"/>
    </row>
    <row r="564" spans="1:16" x14ac:dyDescent="0.25">
      <c r="A564" s="69">
        <v>529000</v>
      </c>
      <c r="B564" s="207" t="e">
        <f>VLOOKUP(A564,pravidla_SDcast!$A$1:$D$458,4,FALSE)</f>
        <v>#N/A</v>
      </c>
      <c r="C564" s="69" t="s">
        <v>902</v>
      </c>
      <c r="D564" s="69"/>
      <c r="E564" s="69"/>
      <c r="F564" s="69"/>
      <c r="G564" s="69"/>
      <c r="H564" s="69"/>
      <c r="I564" s="69"/>
      <c r="J564" s="69"/>
      <c r="K564" s="208"/>
      <c r="L564" s="69"/>
      <c r="M564" s="69"/>
      <c r="N564" s="69"/>
      <c r="O564" s="69"/>
      <c r="P564" s="69"/>
    </row>
    <row r="565" spans="1:16" x14ac:dyDescent="0.25">
      <c r="A565" s="69">
        <v>529001</v>
      </c>
      <c r="B565" s="207" t="e">
        <f>VLOOKUP(A565,pravidla_SDcast!$A$1:$D$458,4,FALSE)</f>
        <v>#N/A</v>
      </c>
      <c r="C565" s="69" t="s">
        <v>891</v>
      </c>
      <c r="D565" s="69"/>
      <c r="E565" s="69"/>
      <c r="F565" s="69"/>
      <c r="G565" s="69"/>
      <c r="H565" s="69"/>
      <c r="I565" s="69"/>
      <c r="J565" s="69"/>
      <c r="K565" s="208"/>
      <c r="L565" s="69"/>
      <c r="M565" s="69"/>
      <c r="N565" s="69"/>
      <c r="O565" s="69"/>
      <c r="P565" s="69"/>
    </row>
    <row r="566" spans="1:16" x14ac:dyDescent="0.25">
      <c r="A566" s="69">
        <v>529002</v>
      </c>
      <c r="B566" s="207" t="e">
        <f>VLOOKUP(A566,pravidla_SDcast!$A$1:$D$458,4,FALSE)</f>
        <v>#N/A</v>
      </c>
      <c r="C566" s="69" t="s">
        <v>890</v>
      </c>
      <c r="D566" s="69"/>
      <c r="E566" s="69"/>
      <c r="F566" s="69"/>
      <c r="G566" s="69"/>
      <c r="H566" s="69"/>
      <c r="I566" s="69"/>
      <c r="J566" s="69"/>
      <c r="K566" s="208"/>
      <c r="L566" s="69"/>
      <c r="M566" s="69"/>
      <c r="N566" s="69"/>
      <c r="O566" s="69"/>
      <c r="P566" s="69"/>
    </row>
    <row r="567" spans="1:16" x14ac:dyDescent="0.25">
      <c r="A567" s="69">
        <v>800000</v>
      </c>
      <c r="B567" s="207" t="e">
        <f>VLOOKUP(A567,pravidla_SDcast!$A$1:$D$458,4,FALSE)</f>
        <v>#N/A</v>
      </c>
      <c r="C567" s="69" t="s">
        <v>903</v>
      </c>
      <c r="D567" s="69"/>
      <c r="E567" s="69"/>
      <c r="F567" s="69"/>
      <c r="G567" s="69"/>
      <c r="H567" s="69"/>
      <c r="I567" s="69"/>
      <c r="J567" s="69"/>
      <c r="K567" s="208"/>
      <c r="L567" s="69"/>
      <c r="M567" s="69"/>
      <c r="N567" s="69"/>
      <c r="O567" s="69"/>
      <c r="P567" s="69"/>
    </row>
    <row r="568" spans="1:16" x14ac:dyDescent="0.25">
      <c r="A568" s="69">
        <v>810000</v>
      </c>
      <c r="B568" s="207" t="e">
        <f>VLOOKUP(A568,pravidla_SDcast!$A$1:$D$458,4,FALSE)</f>
        <v>#N/A</v>
      </c>
      <c r="C568" s="69" t="s">
        <v>904</v>
      </c>
      <c r="D568" s="69"/>
      <c r="E568" s="69"/>
      <c r="F568" s="69"/>
      <c r="G568" s="69"/>
      <c r="H568" s="69"/>
      <c r="I568" s="69"/>
      <c r="J568" s="69"/>
      <c r="K568" s="208"/>
      <c r="L568" s="69"/>
      <c r="M568" s="69"/>
      <c r="N568" s="69"/>
      <c r="O568" s="69"/>
      <c r="P568" s="69"/>
    </row>
    <row r="569" spans="1:16" x14ac:dyDescent="0.25">
      <c r="A569" s="69">
        <v>811000</v>
      </c>
      <c r="B569" s="207" t="e">
        <f>VLOOKUP(A569,pravidla_SDcast!$A$1:$D$458,4,FALSE)</f>
        <v>#N/A</v>
      </c>
      <c r="C569" s="69" t="s">
        <v>905</v>
      </c>
      <c r="D569" s="69"/>
      <c r="E569" s="69"/>
      <c r="F569" s="69"/>
      <c r="G569" s="69"/>
      <c r="H569" s="69"/>
      <c r="I569" s="69"/>
      <c r="J569" s="69"/>
      <c r="K569" s="208"/>
      <c r="L569" s="69"/>
      <c r="M569" s="69"/>
      <c r="N569" s="69"/>
      <c r="O569" s="69"/>
      <c r="P569" s="69"/>
    </row>
    <row r="570" spans="1:16" x14ac:dyDescent="0.25">
      <c r="A570" s="69">
        <v>811001</v>
      </c>
      <c r="B570" s="207" t="e">
        <f>VLOOKUP(A570,pravidla_SDcast!$A$1:$D$458,4,FALSE)</f>
        <v>#N/A</v>
      </c>
      <c r="C570" s="69" t="s">
        <v>612</v>
      </c>
      <c r="D570" s="69"/>
      <c r="E570" s="69"/>
      <c r="F570" s="69"/>
      <c r="G570" s="69"/>
      <c r="H570" s="69"/>
      <c r="I570" s="69"/>
      <c r="J570" s="69"/>
      <c r="K570" s="208"/>
      <c r="L570" s="69"/>
      <c r="M570" s="69"/>
      <c r="N570" s="69"/>
      <c r="O570" s="69"/>
      <c r="P570" s="69"/>
    </row>
    <row r="571" spans="1:16" x14ac:dyDescent="0.25">
      <c r="A571" s="69">
        <v>811002</v>
      </c>
      <c r="B571" s="207" t="e">
        <f>VLOOKUP(A571,pravidla_SDcast!$A$1:$D$458,4,FALSE)</f>
        <v>#N/A</v>
      </c>
      <c r="C571" s="69" t="s">
        <v>611</v>
      </c>
      <c r="D571" s="69"/>
      <c r="E571" s="69"/>
      <c r="F571" s="69"/>
      <c r="G571" s="69"/>
      <c r="H571" s="69"/>
      <c r="I571" s="69"/>
      <c r="J571" s="69"/>
      <c r="K571" s="208"/>
      <c r="L571" s="69"/>
      <c r="M571" s="69"/>
      <c r="N571" s="69"/>
      <c r="O571" s="69"/>
      <c r="P571" s="69"/>
    </row>
    <row r="572" spans="1:16" x14ac:dyDescent="0.25">
      <c r="A572" s="69">
        <v>811003</v>
      </c>
      <c r="B572" s="207" t="e">
        <f>VLOOKUP(A572,pravidla_SDcast!$A$1:$D$458,4,FALSE)</f>
        <v>#N/A</v>
      </c>
      <c r="C572" s="69" t="s">
        <v>622</v>
      </c>
      <c r="D572" s="69"/>
      <c r="E572" s="69"/>
      <c r="F572" s="69"/>
      <c r="G572" s="69"/>
      <c r="H572" s="69"/>
      <c r="I572" s="69"/>
      <c r="J572" s="69"/>
      <c r="K572" s="208"/>
      <c r="L572" s="69"/>
      <c r="M572" s="69"/>
      <c r="N572" s="69"/>
      <c r="O572" s="69"/>
      <c r="P572" s="69"/>
    </row>
    <row r="573" spans="1:16" x14ac:dyDescent="0.25">
      <c r="A573" s="69">
        <v>811004</v>
      </c>
      <c r="B573" s="207" t="e">
        <f>VLOOKUP(A573,pravidla_SDcast!$A$1:$D$458,4,FALSE)</f>
        <v>#N/A</v>
      </c>
      <c r="C573" s="69" t="s">
        <v>623</v>
      </c>
      <c r="D573" s="69"/>
      <c r="E573" s="69"/>
      <c r="F573" s="69"/>
      <c r="G573" s="69"/>
      <c r="H573" s="69"/>
      <c r="I573" s="69"/>
      <c r="J573" s="69"/>
      <c r="K573" s="208"/>
      <c r="L573" s="69"/>
      <c r="M573" s="69"/>
      <c r="N573" s="69"/>
      <c r="O573" s="69"/>
      <c r="P573" s="69"/>
    </row>
    <row r="574" spans="1:16" x14ac:dyDescent="0.25">
      <c r="A574" s="69">
        <v>811005</v>
      </c>
      <c r="B574" s="207" t="e">
        <f>VLOOKUP(A574,pravidla_SDcast!$A$1:$D$458,4,FALSE)</f>
        <v>#N/A</v>
      </c>
      <c r="C574" s="69" t="s">
        <v>618</v>
      </c>
      <c r="D574" s="69"/>
      <c r="E574" s="69"/>
      <c r="F574" s="69"/>
      <c r="G574" s="69"/>
      <c r="H574" s="69"/>
      <c r="I574" s="69"/>
      <c r="J574" s="69"/>
      <c r="K574" s="208"/>
      <c r="L574" s="69"/>
      <c r="M574" s="69"/>
      <c r="N574" s="69"/>
      <c r="O574" s="69"/>
      <c r="P574" s="69"/>
    </row>
    <row r="575" spans="1:16" x14ac:dyDescent="0.25">
      <c r="A575" s="69">
        <v>811006</v>
      </c>
      <c r="B575" s="207" t="e">
        <f>VLOOKUP(A575,pravidla_SDcast!$A$1:$D$458,4,FALSE)</f>
        <v>#N/A</v>
      </c>
      <c r="C575" s="69" t="s">
        <v>906</v>
      </c>
      <c r="D575" s="69"/>
      <c r="E575" s="69"/>
      <c r="F575" s="69"/>
      <c r="G575" s="69"/>
      <c r="H575" s="69"/>
      <c r="I575" s="69"/>
      <c r="J575" s="69"/>
      <c r="K575" s="208"/>
      <c r="L575" s="69"/>
      <c r="M575" s="69"/>
      <c r="N575" s="69"/>
      <c r="O575" s="69"/>
      <c r="P575" s="69"/>
    </row>
    <row r="576" spans="1:16" x14ac:dyDescent="0.25">
      <c r="A576" s="69">
        <v>812000</v>
      </c>
      <c r="B576" s="207" t="e">
        <f>VLOOKUP(A576,pravidla_SDcast!$A$1:$D$458,4,FALSE)</f>
        <v>#N/A</v>
      </c>
      <c r="C576" s="69" t="s">
        <v>907</v>
      </c>
      <c r="D576" s="69"/>
      <c r="E576" s="69"/>
      <c r="F576" s="69"/>
      <c r="G576" s="69"/>
      <c r="H576" s="69"/>
      <c r="I576" s="69"/>
      <c r="J576" s="69"/>
      <c r="K576" s="208"/>
      <c r="L576" s="69"/>
      <c r="M576" s="69"/>
      <c r="N576" s="69"/>
      <c r="O576" s="69"/>
      <c r="P576" s="69"/>
    </row>
    <row r="577" spans="1:16" x14ac:dyDescent="0.25">
      <c r="A577" s="69">
        <v>812001</v>
      </c>
      <c r="B577" s="207" t="e">
        <f>VLOOKUP(A577,pravidla_SDcast!$A$1:$D$458,4,FALSE)</f>
        <v>#N/A</v>
      </c>
      <c r="C577" s="69" t="s">
        <v>453</v>
      </c>
      <c r="D577" s="69"/>
      <c r="E577" s="69"/>
      <c r="F577" s="69"/>
      <c r="G577" s="69"/>
      <c r="H577" s="69"/>
      <c r="I577" s="69"/>
      <c r="J577" s="69"/>
      <c r="K577" s="208"/>
      <c r="L577" s="69"/>
      <c r="M577" s="69"/>
      <c r="N577" s="69"/>
      <c r="O577" s="69"/>
      <c r="P577" s="69"/>
    </row>
    <row r="578" spans="1:16" x14ac:dyDescent="0.25">
      <c r="A578" s="69">
        <v>812002</v>
      </c>
      <c r="B578" s="207" t="e">
        <f>VLOOKUP(A578,pravidla_SDcast!$A$1:$D$458,4,FALSE)</f>
        <v>#N/A</v>
      </c>
      <c r="C578" s="69" t="s">
        <v>908</v>
      </c>
      <c r="D578" s="69"/>
      <c r="E578" s="69"/>
      <c r="F578" s="69"/>
      <c r="G578" s="69"/>
      <c r="H578" s="69"/>
      <c r="I578" s="69"/>
      <c r="J578" s="69"/>
      <c r="K578" s="208"/>
      <c r="L578" s="69"/>
      <c r="M578" s="69"/>
      <c r="N578" s="69"/>
      <c r="O578" s="69"/>
      <c r="P578" s="69"/>
    </row>
    <row r="579" spans="1:16" x14ac:dyDescent="0.25">
      <c r="A579" s="69">
        <v>813000</v>
      </c>
      <c r="B579" s="207" t="e">
        <f>VLOOKUP(A579,pravidla_SDcast!$A$1:$D$458,4,FALSE)</f>
        <v>#N/A</v>
      </c>
      <c r="C579" s="69" t="s">
        <v>909</v>
      </c>
      <c r="D579" s="69"/>
      <c r="E579" s="69"/>
      <c r="F579" s="69"/>
      <c r="G579" s="69"/>
      <c r="H579" s="69"/>
      <c r="I579" s="69"/>
      <c r="J579" s="69"/>
      <c r="K579" s="208"/>
      <c r="L579" s="69"/>
      <c r="M579" s="69"/>
      <c r="N579" s="69"/>
      <c r="O579" s="69"/>
      <c r="P579" s="69"/>
    </row>
    <row r="580" spans="1:16" x14ac:dyDescent="0.25">
      <c r="A580" s="69">
        <v>813001</v>
      </c>
      <c r="B580" s="207" t="e">
        <f>VLOOKUP(A580,pravidla_SDcast!$A$1:$D$458,4,FALSE)</f>
        <v>#N/A</v>
      </c>
      <c r="C580" s="69" t="s">
        <v>910</v>
      </c>
      <c r="D580" s="69"/>
      <c r="E580" s="69"/>
      <c r="F580" s="69"/>
      <c r="G580" s="69"/>
      <c r="H580" s="69"/>
      <c r="I580" s="69"/>
      <c r="J580" s="69"/>
      <c r="K580" s="208"/>
      <c r="L580" s="69"/>
      <c r="M580" s="69"/>
      <c r="N580" s="69"/>
      <c r="O580" s="69"/>
      <c r="P580" s="69"/>
    </row>
    <row r="581" spans="1:16" x14ac:dyDescent="0.25">
      <c r="A581" s="69">
        <v>813002</v>
      </c>
      <c r="B581" s="207" t="e">
        <f>VLOOKUP(A581,pravidla_SDcast!$A$1:$D$458,4,FALSE)</f>
        <v>#N/A</v>
      </c>
      <c r="C581" s="69" t="s">
        <v>146</v>
      </c>
      <c r="D581" s="69"/>
      <c r="E581" s="69"/>
      <c r="F581" s="69"/>
      <c r="G581" s="69"/>
      <c r="H581" s="69"/>
      <c r="I581" s="69"/>
      <c r="J581" s="69"/>
      <c r="K581" s="208"/>
      <c r="L581" s="69"/>
      <c r="M581" s="69"/>
      <c r="N581" s="69"/>
      <c r="O581" s="69"/>
      <c r="P581" s="69"/>
    </row>
    <row r="582" spans="1:16" x14ac:dyDescent="0.25">
      <c r="A582" s="69">
        <v>814000</v>
      </c>
      <c r="B582" s="207" t="e">
        <f>VLOOKUP(A582,pravidla_SDcast!$A$1:$D$458,4,FALSE)</f>
        <v>#N/A</v>
      </c>
      <c r="C582" s="69" t="s">
        <v>911</v>
      </c>
      <c r="D582" s="69"/>
      <c r="E582" s="69"/>
      <c r="F582" s="69"/>
      <c r="G582" s="69"/>
      <c r="H582" s="69"/>
      <c r="I582" s="69"/>
      <c r="J582" s="69"/>
      <c r="K582" s="208"/>
      <c r="L582" s="69"/>
      <c r="M582" s="69"/>
      <c r="N582" s="69"/>
      <c r="O582" s="69"/>
      <c r="P582" s="69"/>
    </row>
    <row r="583" spans="1:16" x14ac:dyDescent="0.25">
      <c r="A583" s="69">
        <v>814001</v>
      </c>
      <c r="B583" s="207" t="e">
        <f>VLOOKUP(A583,pravidla_SDcast!$A$1:$D$458,4,FALSE)</f>
        <v>#N/A</v>
      </c>
      <c r="C583" s="69" t="s">
        <v>912</v>
      </c>
      <c r="D583" s="69"/>
      <c r="E583" s="69"/>
      <c r="F583" s="69"/>
      <c r="G583" s="69"/>
      <c r="H583" s="69"/>
      <c r="I583" s="69"/>
      <c r="J583" s="69"/>
      <c r="K583" s="208"/>
      <c r="L583" s="69"/>
      <c r="M583" s="69"/>
      <c r="N583" s="69"/>
      <c r="O583" s="69"/>
      <c r="P583" s="69"/>
    </row>
    <row r="584" spans="1:16" x14ac:dyDescent="0.25">
      <c r="A584" s="69">
        <v>814002</v>
      </c>
      <c r="B584" s="207" t="e">
        <f>VLOOKUP(A584,pravidla_SDcast!$A$1:$D$458,4,FALSE)</f>
        <v>#N/A</v>
      </c>
      <c r="C584" s="69" t="s">
        <v>913</v>
      </c>
      <c r="D584" s="69"/>
      <c r="E584" s="69"/>
      <c r="F584" s="69"/>
      <c r="G584" s="69"/>
      <c r="H584" s="69"/>
      <c r="I584" s="69"/>
      <c r="J584" s="69"/>
      <c r="K584" s="208"/>
      <c r="L584" s="69"/>
      <c r="M584" s="69"/>
      <c r="N584" s="69"/>
      <c r="O584" s="69"/>
      <c r="P584" s="69"/>
    </row>
    <row r="585" spans="1:16" x14ac:dyDescent="0.25">
      <c r="A585" s="69">
        <v>815000</v>
      </c>
      <c r="B585" s="207" t="e">
        <f>VLOOKUP(A585,pravidla_SDcast!$A$1:$D$458,4,FALSE)</f>
        <v>#N/A</v>
      </c>
      <c r="C585" s="69" t="s">
        <v>883</v>
      </c>
      <c r="D585" s="69"/>
      <c r="E585" s="69"/>
      <c r="F585" s="69"/>
      <c r="G585" s="69"/>
      <c r="H585" s="69"/>
      <c r="I585" s="69"/>
      <c r="J585" s="69"/>
      <c r="K585" s="208"/>
      <c r="L585" s="69"/>
      <c r="M585" s="69"/>
      <c r="N585" s="69"/>
      <c r="O585" s="69"/>
      <c r="P585" s="69"/>
    </row>
    <row r="586" spans="1:16" x14ac:dyDescent="0.25">
      <c r="A586" s="69">
        <v>817000</v>
      </c>
      <c r="B586" s="207" t="e">
        <f>VLOOKUP(A586,pravidla_SDcast!$A$1:$D$458,4,FALSE)</f>
        <v>#N/A</v>
      </c>
      <c r="C586" s="69" t="s">
        <v>914</v>
      </c>
      <c r="D586" s="69"/>
      <c r="E586" s="69"/>
      <c r="F586" s="69"/>
      <c r="G586" s="69"/>
      <c r="H586" s="69"/>
      <c r="I586" s="69"/>
      <c r="J586" s="69"/>
      <c r="K586" s="208"/>
      <c r="L586" s="69"/>
      <c r="M586" s="69"/>
      <c r="N586" s="69"/>
      <c r="O586" s="69"/>
      <c r="P586" s="69"/>
    </row>
    <row r="587" spans="1:16" x14ac:dyDescent="0.25">
      <c r="A587" s="69">
        <v>818000</v>
      </c>
      <c r="B587" s="207" t="e">
        <f>VLOOKUP(A587,pravidla_SDcast!$A$1:$D$458,4,FALSE)</f>
        <v>#N/A</v>
      </c>
      <c r="C587" s="69" t="s">
        <v>915</v>
      </c>
      <c r="D587" s="69"/>
      <c r="E587" s="69"/>
      <c r="F587" s="69"/>
      <c r="G587" s="69"/>
      <c r="H587" s="69"/>
      <c r="I587" s="69"/>
      <c r="J587" s="69"/>
      <c r="K587" s="208"/>
      <c r="L587" s="69"/>
      <c r="M587" s="69"/>
      <c r="N587" s="69"/>
      <c r="O587" s="69"/>
      <c r="P587" s="69"/>
    </row>
    <row r="588" spans="1:16" x14ac:dyDescent="0.25">
      <c r="A588" s="69">
        <v>819000</v>
      </c>
      <c r="B588" s="207" t="e">
        <f>VLOOKUP(A588,pravidla_SDcast!$A$1:$D$458,4,FALSE)</f>
        <v>#N/A</v>
      </c>
      <c r="C588" s="69" t="s">
        <v>916</v>
      </c>
      <c r="D588" s="69"/>
      <c r="E588" s="69"/>
      <c r="F588" s="69"/>
      <c r="G588" s="69"/>
      <c r="H588" s="69"/>
      <c r="I588" s="69"/>
      <c r="J588" s="69"/>
      <c r="K588" s="208"/>
      <c r="L588" s="69"/>
      <c r="M588" s="69"/>
      <c r="N588" s="69"/>
      <c r="O588" s="69"/>
      <c r="P588" s="69"/>
    </row>
    <row r="589" spans="1:16" x14ac:dyDescent="0.25">
      <c r="A589" s="69">
        <v>819001</v>
      </c>
      <c r="B589" s="207" t="e">
        <f>VLOOKUP(A589,pravidla_SDcast!$A$1:$D$458,4,FALSE)</f>
        <v>#N/A</v>
      </c>
      <c r="C589" s="69" t="s">
        <v>917</v>
      </c>
      <c r="D589" s="69"/>
      <c r="E589" s="69"/>
      <c r="F589" s="69"/>
      <c r="G589" s="69"/>
      <c r="H589" s="69"/>
      <c r="I589" s="69"/>
      <c r="J589" s="69"/>
      <c r="K589" s="208"/>
      <c r="L589" s="69"/>
      <c r="M589" s="69"/>
      <c r="N589" s="69"/>
      <c r="O589" s="69"/>
      <c r="P589" s="69"/>
    </row>
    <row r="590" spans="1:16" x14ac:dyDescent="0.25">
      <c r="A590" s="69">
        <v>819002</v>
      </c>
      <c r="B590" s="207" t="e">
        <f>VLOOKUP(A590,pravidla_SDcast!$A$1:$D$458,4,FALSE)</f>
        <v>#N/A</v>
      </c>
      <c r="C590" s="69" t="s">
        <v>918</v>
      </c>
      <c r="D590" s="69"/>
      <c r="E590" s="69"/>
      <c r="F590" s="69"/>
      <c r="G590" s="69"/>
      <c r="H590" s="69"/>
      <c r="I590" s="69"/>
      <c r="J590" s="69"/>
      <c r="K590" s="208"/>
      <c r="L590" s="69"/>
      <c r="M590" s="69"/>
      <c r="N590" s="69"/>
      <c r="O590" s="69"/>
      <c r="P590" s="69"/>
    </row>
    <row r="591" spans="1:16" x14ac:dyDescent="0.25">
      <c r="A591" s="69">
        <v>820000</v>
      </c>
      <c r="B591" s="207" t="e">
        <f>VLOOKUP(A591,pravidla_SDcast!$A$1:$D$458,4,FALSE)</f>
        <v>#N/A</v>
      </c>
      <c r="C591" s="69" t="s">
        <v>919</v>
      </c>
      <c r="D591" s="69"/>
      <c r="E591" s="69"/>
      <c r="F591" s="69"/>
      <c r="G591" s="69"/>
      <c r="H591" s="69"/>
      <c r="I591" s="69"/>
      <c r="J591" s="69"/>
      <c r="K591" s="208"/>
      <c r="L591" s="69"/>
      <c r="M591" s="69"/>
      <c r="N591" s="69"/>
      <c r="O591" s="69"/>
      <c r="P591" s="69"/>
    </row>
    <row r="592" spans="1:16" x14ac:dyDescent="0.25">
      <c r="A592" s="69">
        <v>821000</v>
      </c>
      <c r="B592" s="207" t="e">
        <f>VLOOKUP(A592,pravidla_SDcast!$A$1:$D$458,4,FALSE)</f>
        <v>#N/A</v>
      </c>
      <c r="C592" s="69" t="s">
        <v>920</v>
      </c>
      <c r="D592" s="69"/>
      <c r="E592" s="69"/>
      <c r="F592" s="69"/>
      <c r="G592" s="69"/>
      <c r="H592" s="69"/>
      <c r="I592" s="69"/>
      <c r="J592" s="69"/>
      <c r="K592" s="208"/>
      <c r="L592" s="69"/>
      <c r="M592" s="69"/>
      <c r="N592" s="69"/>
      <c r="O592" s="69"/>
      <c r="P592" s="69"/>
    </row>
    <row r="593" spans="1:16" x14ac:dyDescent="0.25">
      <c r="A593" s="69">
        <v>821001</v>
      </c>
      <c r="B593" s="207" t="e">
        <f>VLOOKUP(A593,pravidla_SDcast!$A$1:$D$458,4,FALSE)</f>
        <v>#N/A</v>
      </c>
      <c r="C593" s="69" t="s">
        <v>901</v>
      </c>
      <c r="D593" s="69"/>
      <c r="E593" s="69"/>
      <c r="F593" s="69"/>
      <c r="G593" s="69"/>
      <c r="H593" s="69"/>
      <c r="I593" s="69"/>
      <c r="J593" s="69"/>
      <c r="K593" s="208"/>
      <c r="L593" s="69"/>
      <c r="M593" s="69"/>
      <c r="N593" s="69"/>
      <c r="O593" s="69"/>
      <c r="P593" s="69"/>
    </row>
    <row r="594" spans="1:16" x14ac:dyDescent="0.25">
      <c r="A594" s="69">
        <v>821002</v>
      </c>
      <c r="B594" s="207" t="e">
        <f>VLOOKUP(A594,pravidla_SDcast!$A$1:$D$458,4,FALSE)</f>
        <v>#N/A</v>
      </c>
      <c r="C594" s="69" t="s">
        <v>921</v>
      </c>
      <c r="D594" s="69"/>
      <c r="E594" s="69"/>
      <c r="F594" s="69"/>
      <c r="G594" s="69"/>
      <c r="H594" s="69"/>
      <c r="I594" s="69"/>
      <c r="J594" s="69"/>
      <c r="K594" s="208"/>
      <c r="L594" s="69"/>
      <c r="M594" s="69"/>
      <c r="N594" s="69"/>
      <c r="O594" s="69"/>
      <c r="P594" s="69"/>
    </row>
    <row r="595" spans="1:16" x14ac:dyDescent="0.25">
      <c r="A595" s="69">
        <v>821003</v>
      </c>
      <c r="B595" s="207" t="e">
        <f>VLOOKUP(A595,pravidla_SDcast!$A$1:$D$458,4,FALSE)</f>
        <v>#N/A</v>
      </c>
      <c r="C595" s="69" t="s">
        <v>922</v>
      </c>
      <c r="D595" s="69"/>
      <c r="E595" s="69"/>
      <c r="F595" s="69"/>
      <c r="G595" s="69"/>
      <c r="H595" s="69"/>
      <c r="I595" s="69"/>
      <c r="J595" s="69"/>
      <c r="K595" s="208"/>
      <c r="L595" s="69"/>
      <c r="M595" s="69"/>
      <c r="N595" s="69"/>
      <c r="O595" s="69"/>
      <c r="P595" s="69"/>
    </row>
    <row r="596" spans="1:16" x14ac:dyDescent="0.25">
      <c r="A596" s="69">
        <v>821004</v>
      </c>
      <c r="B596" s="207" t="e">
        <f>VLOOKUP(A596,pravidla_SDcast!$A$1:$D$458,4,FALSE)</f>
        <v>#N/A</v>
      </c>
      <c r="C596" s="69" t="s">
        <v>923</v>
      </c>
      <c r="D596" s="69"/>
      <c r="E596" s="69"/>
      <c r="F596" s="69"/>
      <c r="G596" s="69"/>
      <c r="H596" s="69"/>
      <c r="I596" s="69"/>
      <c r="J596" s="69"/>
      <c r="K596" s="208"/>
      <c r="L596" s="69"/>
      <c r="M596" s="69"/>
      <c r="N596" s="69"/>
      <c r="O596" s="69"/>
      <c r="P596" s="69"/>
    </row>
    <row r="597" spans="1:16" x14ac:dyDescent="0.25">
      <c r="A597" s="69">
        <v>821005</v>
      </c>
      <c r="B597" s="207" t="e">
        <f>VLOOKUP(A597,pravidla_SDcast!$A$1:$D$458,4,FALSE)</f>
        <v>#N/A</v>
      </c>
      <c r="C597" s="69" t="s">
        <v>924</v>
      </c>
      <c r="D597" s="69"/>
      <c r="E597" s="69"/>
      <c r="F597" s="69"/>
      <c r="G597" s="69"/>
      <c r="H597" s="69"/>
      <c r="I597" s="69"/>
      <c r="J597" s="69"/>
      <c r="K597" s="208"/>
      <c r="L597" s="69"/>
      <c r="M597" s="69"/>
      <c r="N597" s="69"/>
      <c r="O597" s="69"/>
      <c r="P597" s="69"/>
    </row>
    <row r="598" spans="1:16" x14ac:dyDescent="0.25">
      <c r="A598" s="69">
        <v>821006</v>
      </c>
      <c r="B598" s="207" t="e">
        <f>VLOOKUP(A598,pravidla_SDcast!$A$1:$D$458,4,FALSE)</f>
        <v>#N/A</v>
      </c>
      <c r="C598" s="69" t="s">
        <v>925</v>
      </c>
      <c r="D598" s="69"/>
      <c r="E598" s="69"/>
      <c r="F598" s="69"/>
      <c r="G598" s="69"/>
      <c r="H598" s="69"/>
      <c r="I598" s="69"/>
      <c r="J598" s="69"/>
      <c r="K598" s="208"/>
      <c r="L598" s="69"/>
      <c r="M598" s="69"/>
      <c r="N598" s="69"/>
      <c r="O598" s="69"/>
      <c r="P598" s="69"/>
    </row>
    <row r="599" spans="1:16" x14ac:dyDescent="0.25">
      <c r="A599" s="69">
        <v>821007</v>
      </c>
      <c r="B599" s="207" t="e">
        <f>VLOOKUP(A599,pravidla_SDcast!$A$1:$D$458,4,FALSE)</f>
        <v>#N/A</v>
      </c>
      <c r="C599" s="69" t="s">
        <v>926</v>
      </c>
      <c r="D599" s="69"/>
      <c r="E599" s="69"/>
      <c r="F599" s="69"/>
      <c r="G599" s="69"/>
      <c r="H599" s="69"/>
      <c r="I599" s="69"/>
      <c r="J599" s="69"/>
      <c r="K599" s="208"/>
      <c r="L599" s="69"/>
      <c r="M599" s="69"/>
      <c r="N599" s="69"/>
      <c r="O599" s="69"/>
      <c r="P599" s="69"/>
    </row>
    <row r="600" spans="1:16" x14ac:dyDescent="0.25">
      <c r="A600" s="69">
        <v>821008</v>
      </c>
      <c r="B600" s="207" t="e">
        <f>VLOOKUP(A600,pravidla_SDcast!$A$1:$D$458,4,FALSE)</f>
        <v>#N/A</v>
      </c>
      <c r="C600" s="69" t="s">
        <v>927</v>
      </c>
      <c r="D600" s="69"/>
      <c r="E600" s="69"/>
      <c r="F600" s="69"/>
      <c r="G600" s="69"/>
      <c r="H600" s="69"/>
      <c r="I600" s="69"/>
      <c r="J600" s="69"/>
      <c r="K600" s="208"/>
      <c r="L600" s="69"/>
      <c r="M600" s="69"/>
      <c r="N600" s="69"/>
      <c r="O600" s="69"/>
      <c r="P600" s="69"/>
    </row>
    <row r="601" spans="1:16" x14ac:dyDescent="0.25">
      <c r="A601" s="69">
        <v>822000</v>
      </c>
      <c r="B601" s="207" t="e">
        <f>VLOOKUP(A601,pravidla_SDcast!$A$1:$D$458,4,FALSE)</f>
        <v>#N/A</v>
      </c>
      <c r="C601" s="69" t="s">
        <v>928</v>
      </c>
      <c r="D601" s="69"/>
      <c r="E601" s="69"/>
      <c r="F601" s="69"/>
      <c r="G601" s="69"/>
      <c r="H601" s="69"/>
      <c r="I601" s="69"/>
      <c r="J601" s="69"/>
      <c r="K601" s="208"/>
      <c r="L601" s="69"/>
      <c r="M601" s="69"/>
      <c r="N601" s="69"/>
      <c r="O601" s="69"/>
      <c r="P601" s="69"/>
    </row>
    <row r="602" spans="1:16" x14ac:dyDescent="0.25">
      <c r="A602" s="69">
        <v>822001</v>
      </c>
      <c r="B602" s="207" t="e">
        <f>VLOOKUP(A602,pravidla_SDcast!$A$1:$D$458,4,FALSE)</f>
        <v>#N/A</v>
      </c>
      <c r="C602" s="69" t="s">
        <v>483</v>
      </c>
      <c r="D602" s="69"/>
      <c r="E602" s="69"/>
      <c r="F602" s="69"/>
      <c r="G602" s="69"/>
      <c r="H602" s="69"/>
      <c r="I602" s="69"/>
      <c r="J602" s="69"/>
      <c r="K602" s="208"/>
      <c r="L602" s="69"/>
      <c r="M602" s="69"/>
      <c r="N602" s="69"/>
      <c r="O602" s="69"/>
      <c r="P602" s="69"/>
    </row>
    <row r="603" spans="1:16" x14ac:dyDescent="0.25">
      <c r="A603" s="69">
        <v>822002</v>
      </c>
      <c r="B603" s="207" t="e">
        <f>VLOOKUP(A603,pravidla_SDcast!$A$1:$D$458,4,FALSE)</f>
        <v>#N/A</v>
      </c>
      <c r="C603" s="69" t="s">
        <v>668</v>
      </c>
      <c r="D603" s="69"/>
      <c r="E603" s="69"/>
      <c r="F603" s="69"/>
      <c r="G603" s="69"/>
      <c r="H603" s="69"/>
      <c r="I603" s="69"/>
      <c r="J603" s="69"/>
      <c r="K603" s="208"/>
      <c r="L603" s="69"/>
      <c r="M603" s="69"/>
      <c r="N603" s="69"/>
      <c r="O603" s="69"/>
      <c r="P603" s="69"/>
    </row>
    <row r="604" spans="1:16" x14ac:dyDescent="0.25">
      <c r="A604" s="69">
        <v>822003</v>
      </c>
      <c r="B604" s="207" t="e">
        <f>VLOOKUP(A604,pravidla_SDcast!$A$1:$D$458,4,FALSE)</f>
        <v>#N/A</v>
      </c>
      <c r="C604" s="69" t="s">
        <v>485</v>
      </c>
      <c r="D604" s="69"/>
      <c r="E604" s="69"/>
      <c r="F604" s="69"/>
      <c r="G604" s="69"/>
      <c r="H604" s="69"/>
      <c r="I604" s="69"/>
      <c r="J604" s="69"/>
      <c r="K604" s="208"/>
      <c r="L604" s="69"/>
      <c r="M604" s="69"/>
      <c r="N604" s="69"/>
      <c r="O604" s="69"/>
      <c r="P604" s="69"/>
    </row>
    <row r="605" spans="1:16" x14ac:dyDescent="0.25">
      <c r="A605" s="69">
        <v>822004</v>
      </c>
      <c r="B605" s="207" t="e">
        <f>VLOOKUP(A605,pravidla_SDcast!$A$1:$D$458,4,FALSE)</f>
        <v>#N/A</v>
      </c>
      <c r="C605" s="69" t="s">
        <v>929</v>
      </c>
      <c r="D605" s="69"/>
      <c r="E605" s="69"/>
      <c r="F605" s="69"/>
      <c r="G605" s="69"/>
      <c r="H605" s="69"/>
      <c r="I605" s="69"/>
      <c r="J605" s="69"/>
      <c r="K605" s="208"/>
      <c r="L605" s="69"/>
      <c r="M605" s="69"/>
      <c r="N605" s="69"/>
      <c r="O605" s="69"/>
      <c r="P605" s="69"/>
    </row>
    <row r="606" spans="1:16" x14ac:dyDescent="0.25">
      <c r="A606" s="69">
        <v>822005</v>
      </c>
      <c r="B606" s="207" t="e">
        <f>VLOOKUP(A606,pravidla_SDcast!$A$1:$D$458,4,FALSE)</f>
        <v>#N/A</v>
      </c>
      <c r="C606" s="69" t="s">
        <v>930</v>
      </c>
      <c r="D606" s="69"/>
      <c r="E606" s="69"/>
      <c r="F606" s="69"/>
      <c r="G606" s="69"/>
      <c r="H606" s="69"/>
      <c r="I606" s="69"/>
      <c r="J606" s="69"/>
      <c r="K606" s="208"/>
      <c r="L606" s="69"/>
      <c r="M606" s="69"/>
      <c r="N606" s="69"/>
      <c r="O606" s="69"/>
      <c r="P606" s="69"/>
    </row>
    <row r="607" spans="1:16" x14ac:dyDescent="0.25">
      <c r="A607" s="69">
        <v>822006</v>
      </c>
      <c r="B607" s="207" t="e">
        <f>VLOOKUP(A607,pravidla_SDcast!$A$1:$D$458,4,FALSE)</f>
        <v>#N/A</v>
      </c>
      <c r="C607" s="69" t="s">
        <v>901</v>
      </c>
      <c r="D607" s="69"/>
      <c r="E607" s="69"/>
      <c r="F607" s="69"/>
      <c r="G607" s="69"/>
      <c r="H607" s="69"/>
      <c r="I607" s="69"/>
      <c r="J607" s="69"/>
      <c r="K607" s="208"/>
      <c r="L607" s="69"/>
      <c r="M607" s="69"/>
      <c r="N607" s="69"/>
      <c r="O607" s="69"/>
      <c r="P607" s="69"/>
    </row>
    <row r="608" spans="1:16" x14ac:dyDescent="0.25">
      <c r="A608" s="69">
        <v>822007</v>
      </c>
      <c r="B608" s="207" t="e">
        <f>VLOOKUP(A608,pravidla_SDcast!$A$1:$D$458,4,FALSE)</f>
        <v>#N/A</v>
      </c>
      <c r="C608" s="69" t="s">
        <v>889</v>
      </c>
      <c r="D608" s="69"/>
      <c r="E608" s="69"/>
      <c r="F608" s="69"/>
      <c r="G608" s="69"/>
      <c r="H608" s="69"/>
      <c r="I608" s="69"/>
      <c r="J608" s="69"/>
      <c r="K608" s="208"/>
      <c r="L608" s="69"/>
      <c r="M608" s="69"/>
      <c r="N608" s="69"/>
      <c r="O608" s="69"/>
      <c r="P608" s="69"/>
    </row>
    <row r="609" spans="1:16" x14ac:dyDescent="0.25">
      <c r="A609" s="69">
        <v>823000</v>
      </c>
      <c r="B609" s="207" t="e">
        <f>VLOOKUP(A609,pravidla_SDcast!$A$1:$D$458,4,FALSE)</f>
        <v>#N/A</v>
      </c>
      <c r="C609" s="69" t="s">
        <v>931</v>
      </c>
      <c r="D609" s="69"/>
      <c r="E609" s="69"/>
      <c r="F609" s="69"/>
      <c r="G609" s="69"/>
      <c r="H609" s="69"/>
      <c r="I609" s="69"/>
      <c r="J609" s="69"/>
      <c r="K609" s="208"/>
      <c r="L609" s="69"/>
      <c r="M609" s="69"/>
      <c r="N609" s="69"/>
      <c r="O609" s="69"/>
      <c r="P609" s="69"/>
    </row>
    <row r="610" spans="1:16" x14ac:dyDescent="0.25">
      <c r="A610" s="69">
        <v>823001</v>
      </c>
      <c r="B610" s="207" t="e">
        <f>VLOOKUP(A610,pravidla_SDcast!$A$1:$D$458,4,FALSE)</f>
        <v>#N/A</v>
      </c>
      <c r="C610" s="69" t="s">
        <v>485</v>
      </c>
      <c r="D610" s="69"/>
      <c r="E610" s="69"/>
      <c r="F610" s="69"/>
      <c r="G610" s="69"/>
      <c r="H610" s="69"/>
      <c r="I610" s="69"/>
      <c r="J610" s="69"/>
      <c r="K610" s="208"/>
      <c r="L610" s="69"/>
      <c r="M610" s="69"/>
      <c r="N610" s="69"/>
      <c r="O610" s="69"/>
      <c r="P610" s="69"/>
    </row>
    <row r="611" spans="1:16" x14ac:dyDescent="0.25">
      <c r="A611" s="69">
        <v>823002</v>
      </c>
      <c r="B611" s="207" t="e">
        <f>VLOOKUP(A611,pravidla_SDcast!$A$1:$D$458,4,FALSE)</f>
        <v>#N/A</v>
      </c>
      <c r="C611" s="69" t="s">
        <v>483</v>
      </c>
      <c r="D611" s="69"/>
      <c r="E611" s="69"/>
      <c r="F611" s="69"/>
      <c r="G611" s="69"/>
      <c r="H611" s="69"/>
      <c r="I611" s="69"/>
      <c r="J611" s="69"/>
      <c r="K611" s="208"/>
      <c r="L611" s="69"/>
      <c r="M611" s="69"/>
      <c r="N611" s="69"/>
      <c r="O611" s="69"/>
      <c r="P611" s="69"/>
    </row>
    <row r="612" spans="1:16" x14ac:dyDescent="0.25">
      <c r="A612" s="69">
        <v>823003</v>
      </c>
      <c r="B612" s="207" t="e">
        <f>VLOOKUP(A612,pravidla_SDcast!$A$1:$D$458,4,FALSE)</f>
        <v>#N/A</v>
      </c>
      <c r="C612" s="69" t="s">
        <v>668</v>
      </c>
      <c r="D612" s="69"/>
      <c r="E612" s="69"/>
      <c r="F612" s="69"/>
      <c r="G612" s="69"/>
      <c r="H612" s="69"/>
      <c r="I612" s="69"/>
      <c r="J612" s="69"/>
      <c r="K612" s="208"/>
      <c r="L612" s="69"/>
      <c r="M612" s="69"/>
      <c r="N612" s="69"/>
      <c r="O612" s="69"/>
      <c r="P612" s="69"/>
    </row>
    <row r="613" spans="1:16" x14ac:dyDescent="0.25">
      <c r="A613" s="69">
        <v>823004</v>
      </c>
      <c r="B613" s="207" t="e">
        <f>VLOOKUP(A613,pravidla_SDcast!$A$1:$D$458,4,FALSE)</f>
        <v>#N/A</v>
      </c>
      <c r="C613" s="69" t="s">
        <v>930</v>
      </c>
      <c r="D613" s="69"/>
      <c r="E613" s="69"/>
      <c r="F613" s="69"/>
      <c r="G613" s="69"/>
      <c r="H613" s="69"/>
      <c r="I613" s="69"/>
      <c r="J613" s="69"/>
      <c r="K613" s="208"/>
      <c r="L613" s="69"/>
      <c r="M613" s="69"/>
      <c r="N613" s="69"/>
      <c r="O613" s="69"/>
      <c r="P613" s="69"/>
    </row>
    <row r="614" spans="1:16" x14ac:dyDescent="0.25">
      <c r="A614" s="69">
        <v>823005</v>
      </c>
      <c r="B614" s="207" t="e">
        <f>VLOOKUP(A614,pravidla_SDcast!$A$1:$D$458,4,FALSE)</f>
        <v>#N/A</v>
      </c>
      <c r="C614" s="69" t="s">
        <v>929</v>
      </c>
      <c r="D614" s="69"/>
      <c r="E614" s="69"/>
      <c r="F614" s="69"/>
      <c r="G614" s="69"/>
      <c r="H614" s="69"/>
      <c r="I614" s="69"/>
      <c r="J614" s="69"/>
      <c r="K614" s="208"/>
      <c r="L614" s="69"/>
      <c r="M614" s="69"/>
      <c r="N614" s="69"/>
      <c r="O614" s="69"/>
      <c r="P614" s="69"/>
    </row>
    <row r="615" spans="1:16" x14ac:dyDescent="0.25">
      <c r="A615" s="69">
        <v>823006</v>
      </c>
      <c r="B615" s="207" t="e">
        <f>VLOOKUP(A615,pravidla_SDcast!$A$1:$D$458,4,FALSE)</f>
        <v>#N/A</v>
      </c>
      <c r="C615" s="69" t="s">
        <v>889</v>
      </c>
      <c r="D615" s="69"/>
      <c r="E615" s="69"/>
      <c r="F615" s="69"/>
      <c r="G615" s="69"/>
      <c r="H615" s="69"/>
      <c r="I615" s="69"/>
      <c r="J615" s="69"/>
      <c r="K615" s="208"/>
      <c r="L615" s="69"/>
      <c r="M615" s="69"/>
      <c r="N615" s="69"/>
      <c r="O615" s="69"/>
      <c r="P615" s="69"/>
    </row>
    <row r="616" spans="1:16" x14ac:dyDescent="0.25">
      <c r="A616" s="69">
        <v>824000</v>
      </c>
      <c r="B616" s="207" t="e">
        <f>VLOOKUP(A616,pravidla_SDcast!$A$1:$D$458,4,FALSE)</f>
        <v>#N/A</v>
      </c>
      <c r="C616" s="69" t="s">
        <v>932</v>
      </c>
      <c r="D616" s="69"/>
      <c r="E616" s="69"/>
      <c r="F616" s="69"/>
      <c r="G616" s="69"/>
      <c r="H616" s="69"/>
      <c r="I616" s="69"/>
      <c r="J616" s="69"/>
      <c r="K616" s="208"/>
      <c r="L616" s="69"/>
      <c r="M616" s="69"/>
      <c r="N616" s="69"/>
      <c r="O616" s="69"/>
      <c r="P616" s="69"/>
    </row>
  </sheetData>
  <mergeCells count="4">
    <mergeCell ref="A2:C2"/>
    <mergeCell ref="M1:P1"/>
    <mergeCell ref="K1:K2"/>
    <mergeCell ref="L1:L2"/>
  </mergeCells>
  <pageMargins left="0.7" right="0.7" top="0.75" bottom="0.75" header="0.3" footer="0.3"/>
  <pageSetup paperSize="9" orientation="portrait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D274E04972CC6448E7CDAFF602B5EBC" ma:contentTypeVersion="3" ma:contentTypeDescription="Umožňuje vytvoriť nový dokument." ma:contentTypeScope="" ma:versionID="80ee8ee156f53f2296ecf5fdede8a19e">
  <xsd:schema xmlns:xsd="http://www.w3.org/2001/XMLSchema" xmlns:xs="http://www.w3.org/2001/XMLSchema" xmlns:p="http://schemas.microsoft.com/office/2006/metadata/properties" xmlns:ns2="ff691899-9eb7-4807-b4ff-7884f9194702" targetNamespace="http://schemas.microsoft.com/office/2006/metadata/properties" ma:root="true" ma:fieldsID="5aeff5138c055dcb5291138edecf07aa" ns2:_="">
    <xsd:import namespace="ff691899-9eb7-4807-b4ff-7884f91947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691899-9eb7-4807-b4ff-7884f919470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Príkaz hash indikátora zdieľania" ma:internalName="SharingHintHash" ma:readOnly="true">
      <xsd:simpleType>
        <xsd:restriction base="dms:Text"/>
      </xsd:simpleType>
    </xsd:element>
    <xsd:element name="SharedWithDetails" ma:index="10" nillable="true" ma:displayName="Zdieľané s podrobnosťami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5AC778B-D426-41ED-A047-440F28832EC1}"/>
</file>

<file path=customXml/itemProps2.xml><?xml version="1.0" encoding="utf-8"?>
<ds:datastoreItem xmlns:ds="http://schemas.openxmlformats.org/officeDocument/2006/customXml" ds:itemID="{A6F43BE4-F17D-4DC2-9CF3-07DF79FCCD02}"/>
</file>

<file path=customXml/itemProps3.xml><?xml version="1.0" encoding="utf-8"?>
<ds:datastoreItem xmlns:ds="http://schemas.openxmlformats.org/officeDocument/2006/customXml" ds:itemID="{7DEAFC9C-4484-474A-A02E-C45692F9C00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14</vt:i4>
      </vt:variant>
    </vt:vector>
  </HeadingPairs>
  <TitlesOfParts>
    <vt:vector size="14" baseType="lpstr">
      <vt:lpstr>uvod</vt:lpstr>
      <vt:lpstr>vystup_ESA95_SDcast</vt:lpstr>
      <vt:lpstr>vystup_ZS2013</vt:lpstr>
      <vt:lpstr>SD_prognozy</vt:lpstr>
      <vt:lpstr>DD_projekcie</vt:lpstr>
      <vt:lpstr>uroky</vt:lpstr>
      <vt:lpstr>EU_fondy</vt:lpstr>
      <vt:lpstr>pravidla_SDcast</vt:lpstr>
      <vt:lpstr>indexy_SDcast</vt:lpstr>
      <vt:lpstr>EKRK_rozdelenie_podpoloziek</vt:lpstr>
      <vt:lpstr>SDcast</vt:lpstr>
      <vt:lpstr>sumarizacia</vt:lpstr>
      <vt:lpstr>data</vt:lpstr>
      <vt:lpstr>ciselnik_pravidiel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 Bugyi</dc:creator>
  <cp:lastModifiedBy>bugyi</cp:lastModifiedBy>
  <cp:lastPrinted>2015-02-23T11:51:53Z</cp:lastPrinted>
  <dcterms:created xsi:type="dcterms:W3CDTF">2014-04-11T20:50:01Z</dcterms:created>
  <dcterms:modified xsi:type="dcterms:W3CDTF">2015-04-29T08:49:42Z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0x0101002D274E04972CC6448E7CDAFF602B5EBC</vt:lpwstr>
  </property>
</Properties>
</file>